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Y:\5400\H2FC\Infrastructure Analysis (Melaina)\A1 DOE Hydrogen\2.2 H2A and Fuel Cell Power Models\2018 H2A Cases update for MAC\"/>
    </mc:Choice>
  </mc:AlternateContent>
  <xr:revisionPtr revIDLastSave="0" documentId="13_ncr:1_{7FE43D34-F91C-476D-8267-084CD7F51EE0}" xr6:coauthVersionLast="45" xr6:coauthVersionMax="45" xr10:uidLastSave="{00000000-0000-0000-0000-000000000000}"/>
  <bookViews>
    <workbookView xWindow="-120" yWindow="-120" windowWidth="57840" windowHeight="32190" tabRatio="942" xr2:uid="{73CDD858-01FF-49BA-86AD-244FD0980CEC}"/>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Input_Sheet_Template!$E$104</definedName>
    <definedName name="acres">Input_Sheet_Template!$E$105</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Data'!$K$94:$L$130</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Input_Sheet_Template!$E$160</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Input_Sheet_Template!$C$91</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Data'!$A$94:$B$119</definedName>
    <definedName name="Delete_As_List">Lists!$A$15:$A$20</definedName>
    <definedName name="depr_cap">Input_Sheet_Template!$E$101</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Costs'!$F$36</definedName>
    <definedName name="Det_scaled_cap">'Plant Scaling'!$G$27</definedName>
    <definedName name="direct_cap">Input_Sheet_Template!$C$90</definedName>
    <definedName name="DR_Carbon_Sequestration_1">'Carbon Sequestration'!$C$30:$C$48</definedName>
    <definedName name="DR_Carbon_Sequestration_2">'Carbon Sequestration'!$C$36</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Input_Sheet_Template!$F$81:$F$82</definedName>
    <definedName name="Dynamic_Feed_Total">Input_Sheet_Template!$F$73:$F$76</definedName>
    <definedName name="Dynamic_NonE_Byprod_Total">Input_Sheet_Template!$E$143:$E$144</definedName>
    <definedName name="Dynamic_NonE_Feed_Total">Input_Sheet_Template!$E$138:$E$143</definedName>
    <definedName name="Dynamic_Utilities_Total">Input_Sheet_Template!$F$76:$F$81</definedName>
    <definedName name="Energy_Feed_List">Lists!$K$12</definedName>
    <definedName name="Energy_Feed_Years">Lists!$K$14</definedName>
    <definedName name="Engin">Input_Sheet_Template!$E$95</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Input_Sheet_Template!#REF!</definedName>
    <definedName name="feedstockIndustrial_Natural_Gas_Price">Input_Sheet_Template!#REF!</definedName>
    <definedName name="feedstockResidential_Electricity_Price">Input_Sheet_Template!#REF!</definedName>
    <definedName name="feedstockResidential_Natural_Gas_Price">Input_Sheet_Template!#REF!</definedName>
    <definedName name="feedstockWoody_Biomass_Price">Input_Sheet_Template!$D$75</definedName>
    <definedName name="feedstockWoody_Biomass_Usage">Input_Sheet_Template!$E$75</definedName>
    <definedName name="Fees">Input_Sheet_Template!$E$99</definedName>
    <definedName name="fixed">Input_Sheet_Template!$E$126</definedName>
    <definedName name="FTE_cost">Input_Sheet_Template!$E$114</definedName>
    <definedName name="FTEs">Input_Sheet_Template!$E$113</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Input_Sheet_Template!$E$115</definedName>
    <definedName name="land_cost">Input_Sheet_Template!$E$106</definedName>
    <definedName name="lb_to_kg">'Constants and Conversions'!$C$7</definedName>
    <definedName name="licensing">Input_Sheet_Template!$E$118</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Input_Sheet_Template!$E$122</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Input_Sheet_Template!$E$108</definedName>
    <definedName name="non_dep_infl">'Cash Flow Analysis'!$B$52</definedName>
    <definedName name="NPV">'Cash Flow Analysis'!$E$26</definedName>
    <definedName name="operator_profit">Input_Sheet_Template!$E$158</definedName>
    <definedName name="other_fees">Input_Sheet_Template!$E$124</definedName>
    <definedName name="other_fixed">Input_Sheet_Template!$E$125</definedName>
    <definedName name="Other_indirect">Input_Sheet_Template!$E$98</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Input_Sheet_Template!$E$117</definedName>
    <definedName name="overhead_rate">Input_Sheet_Template!$C$116</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Input_Sheet_Template!$E$100</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Input_Sheet_Template!$B$128:$G$165</definedName>
    <definedName name="_xlnm.Print_Area" localSheetId="6">'Plant Scaling'!$B$2:$K$27</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Input_Sheet_Template!$E$161</definedName>
    <definedName name="Proc_CO2_taxpYear">Input_Sheet_Template!$E$162</definedName>
    <definedName name="ProcEqpCap">'Plant Scaling'!$E$27</definedName>
    <definedName name="Process_cont">Input_Sheet_Template!$E$96</definedName>
    <definedName name="prod_maint">Input_Sheet_Template!$E$123</definedName>
    <definedName name="Project_cont">Input_Sheet_Template!$E$97</definedName>
    <definedName name="Pump_Eff">'Carbon Sequestration'!$C$33</definedName>
    <definedName name="pump_power">'Carbon Sequestration'!$C$68</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Input_Sheet_Template!$E$121</definedName>
    <definedName name="replace_factor">Input_Sheet_Template!$C$156</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Input_Sheet_Template!$E$157</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Input_Sheet_Template!$C$90</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Input_Sheet_Template!$E$94</definedName>
    <definedName name="solidwaste_treat">Input_Sheet_Template!$E$155</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Input_Sheet_Template!$A$82</definedName>
    <definedName name="START_FEED">Input_Sheet_Template!$A$76</definedName>
    <definedName name="START_NONE_BYPROD">Input_Sheet_Template!$A$144</definedName>
    <definedName name="START_NONE_FEED">Input_Sheet_Template!$A$143</definedName>
    <definedName name="START_NONE_TOP">Input_Sheet_Template!$A$138</definedName>
    <definedName name="start_time">Input_Sheet_Template!$C$38</definedName>
    <definedName name="START_TOP">Input_Sheet_Template!$A$73</definedName>
    <definedName name="START_UTILITY">Input_Sheet_Template!$A$81</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Input_Sheet_Template!$E$159</definedName>
    <definedName name="tax_ins_rate">Input_Sheet_Template!$C$119</definedName>
    <definedName name="tax_insurance">Input_Sheet_Template!$E$120</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Data'!$G$94:$H$118</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Data'!$D$94:$E$118</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Input_Sheet_Template!$C$137</definedName>
    <definedName name="TMP_NonE_Feed">Input_Sheet_Template!$C$133</definedName>
    <definedName name="TMP_NonE_StartPrice">Input_Sheet_Template!$C$134</definedName>
    <definedName name="TMP_NonE_StartYrCost">Input_Sheet_Template!$C$136</definedName>
    <definedName name="TMP_NonE_Type">Input_Sheet_Template!$B$133</definedName>
    <definedName name="TMP_NonE_Usage">Input_Sheet_Template!$C$135</definedName>
    <definedName name="TMP_NonE_Usage_txt">Input_Sheet_Template!$B$134</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Input_Sheet_Template!$C$150</definedName>
    <definedName name="total_cap">Input_Sheet_Template!$C$110</definedName>
    <definedName name="Total_Energy_Byproduct_Cost">Input_Sheet_Template!$D$86</definedName>
    <definedName name="Total_Energy_Byproduct_Credit">Input_Sheet_Template!$F$86</definedName>
    <definedName name="Total_Energy_Feed_Cost">Input_Sheet_Template!$F$84</definedName>
    <definedName name="Total_Energy_Utilities_Cost">Input_Sheet_Template!$F$85</definedName>
    <definedName name="total_feedstock">Input_Sheet_Template!$C$148</definedName>
    <definedName name="total_non_energy_byproduct_credit">Input_Sheet_Template!$C$146</definedName>
    <definedName name="Total_Non_Energy_Feed_Cost">Input_Sheet_Template!$C$145</definedName>
    <definedName name="total_other_raw">Input_Sheet_Template!$E$153</definedName>
    <definedName name="total_tax_rate">Input_Sheet_Template!$C$55</definedName>
    <definedName name="total_utilities">Input_Sheet_Template!$C$149</definedName>
    <definedName name="total_var">Input_Sheet_Template!$E$165</definedName>
    <definedName name="upper_capacity_limit">'Plant Scaling'!$C$8</definedName>
    <definedName name="Upstream_CO2_tax">Input_Sheet_Template!$E$163</definedName>
    <definedName name="Upstream_CO2_taxpYear">Input_Sheet_Template!$E$164</definedName>
    <definedName name="Upstream_GHG_total">Results!$G$77</definedName>
    <definedName name="Use_Default">Lists!$A$4:$A$5</definedName>
    <definedName name="utilityCommercial_Electricity_Price">Input_Sheet_Template!$D$80</definedName>
    <definedName name="utilityCommercial_Electricity_Usage">Input_Sheet_Template!$E$80</definedName>
    <definedName name="utilityCommercial_Natural_Gas_Price">Input_Sheet_Template!$D$78</definedName>
    <definedName name="utilityCommercial_Natural_Gas_Usage">Input_Sheet_Template!$E$78</definedName>
    <definedName name="utilityIndustrial_Electricity_Price">Input_Sheet_Template!#REF!</definedName>
    <definedName name="VAR_FEED_VALUES">Input_Sheet_Template!$B$65:$D$70</definedName>
    <definedName name="var_misc">Input_Sheet_Template!$E$152</definedName>
    <definedName name="VAR_NonE_FEED_VALUES">Input_Sheet_Template!$B$133:$D$137</definedName>
    <definedName name="waste_treat">Input_Sheet_Template!$E$154</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13" l="1"/>
  <c r="Q134" i="15" l="1"/>
  <c r="Q133" i="15"/>
  <c r="Q132" i="15"/>
  <c r="Q131" i="15"/>
  <c r="G135" i="15"/>
  <c r="G134" i="15"/>
  <c r="G132" i="15"/>
  <c r="G131" i="15"/>
  <c r="F135" i="15"/>
  <c r="F134" i="15"/>
  <c r="F132" i="15"/>
  <c r="F131" i="15"/>
  <c r="B135" i="15"/>
  <c r="B134" i="15"/>
  <c r="B132" i="15"/>
  <c r="B131" i="15"/>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P134" i="15"/>
  <c r="P133" i="15"/>
  <c r="P132" i="15"/>
  <c r="P131" i="15"/>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C141" i="12"/>
  <c r="C140" i="12"/>
  <c r="C139" i="12"/>
  <c r="C138" i="12"/>
  <c r="C137" i="12"/>
  <c r="C136" i="12"/>
  <c r="C135" i="12"/>
  <c r="C134" i="12"/>
  <c r="C133" i="12"/>
  <c r="V23" i="119" l="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67" i="33"/>
  <c r="C41" i="33"/>
  <c r="B18" i="17" l="1"/>
  <c r="C146" i="6"/>
  <c r="C145" i="6"/>
  <c r="C3" i="24"/>
  <c r="C36" i="35"/>
  <c r="C11" i="35"/>
  <c r="F86"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4" i="6"/>
  <c r="E114" i="6" s="1"/>
  <c r="C12" i="35"/>
  <c r="F13" i="24"/>
  <c r="F14" i="24"/>
  <c r="F15" i="24"/>
  <c r="F16" i="24"/>
  <c r="F17" i="24"/>
  <c r="F18" i="24"/>
  <c r="F19" i="24"/>
  <c r="F20" i="24"/>
  <c r="F21" i="24"/>
  <c r="F22" i="24"/>
  <c r="F23" i="24"/>
  <c r="F24" i="24"/>
  <c r="F25" i="24"/>
  <c r="F26" i="24"/>
  <c r="E93" i="6"/>
  <c r="C93" i="6"/>
  <c r="E151" i="6"/>
  <c r="C151" i="6"/>
  <c r="E112" i="6"/>
  <c r="C112" i="6"/>
  <c r="E103" i="6"/>
  <c r="C103" i="6"/>
  <c r="C9" i="35"/>
  <c r="B15" i="24"/>
  <c r="B16" i="24"/>
  <c r="B17" i="24"/>
  <c r="B18" i="24"/>
  <c r="B19" i="24"/>
  <c r="B20" i="24"/>
  <c r="B21" i="24"/>
  <c r="B22" i="24"/>
  <c r="B23" i="24"/>
  <c r="B24" i="24"/>
  <c r="B25" i="24"/>
  <c r="B26" i="24"/>
  <c r="C133" i="6"/>
  <c r="B134"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5"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s="1"/>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I76" i="18"/>
  <c r="C7" i="5"/>
  <c r="B14" i="24"/>
  <c r="B13" i="24"/>
  <c r="B136" i="6"/>
  <c r="F50" i="34"/>
  <c r="F49" i="34"/>
  <c r="F48" i="34"/>
  <c r="F40" i="34"/>
  <c r="F39" i="34"/>
  <c r="F35" i="34"/>
  <c r="F33" i="34"/>
  <c r="B50" i="34"/>
  <c r="B49" i="34"/>
  <c r="B48" i="34"/>
  <c r="C48" i="34" s="1"/>
  <c r="B47" i="34"/>
  <c r="H47" i="34" s="1"/>
  <c r="C136" i="15"/>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B186" i="15" l="1"/>
  <c r="Q65" i="15"/>
  <c r="B15" i="13"/>
  <c r="F14" i="13"/>
  <c r="AI507" i="11"/>
  <c r="Z677" i="11" s="1"/>
  <c r="AA507" i="11" s="1"/>
  <c r="AB507" i="11" s="1"/>
  <c r="AC507" i="11" s="1"/>
  <c r="AD507" i="11" s="1"/>
  <c r="AE507" i="11" s="1"/>
  <c r="AF507" i="11" s="1"/>
  <c r="AG507" i="11" s="1"/>
  <c r="AH507" i="11" s="1"/>
  <c r="D54" i="119"/>
  <c r="D189" i="119"/>
  <c r="D191" i="119"/>
  <c r="G60" i="119"/>
  <c r="G189" i="119"/>
  <c r="G191" i="119"/>
  <c r="E56" i="119"/>
  <c r="E189" i="119"/>
  <c r="E191" i="119"/>
  <c r="H6" i="119"/>
  <c r="C86" i="119" s="1"/>
  <c r="D86" i="119" s="1"/>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Z550" i="11" s="1"/>
  <c r="AA380" i="11" s="1"/>
  <c r="AB380" i="11" s="1"/>
  <c r="AC380" i="11" s="1"/>
  <c r="AD380" i="11" s="1"/>
  <c r="AE380" i="11" s="1"/>
  <c r="AF380" i="11" s="1"/>
  <c r="AG380" i="11" s="1"/>
  <c r="AH380" i="11" s="1"/>
  <c r="AI277" i="11"/>
  <c r="AX277" i="11" s="1"/>
  <c r="BM277" i="11" s="1"/>
  <c r="BR277" i="11" s="1"/>
  <c r="D16" i="35"/>
  <c r="C13" i="24"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G96" i="12"/>
  <c r="AQ34" i="12"/>
  <c r="G7" i="12"/>
  <c r="H38" i="34"/>
  <c r="B116" i="34"/>
  <c r="G49" i="11"/>
  <c r="G50" i="11" s="1"/>
  <c r="G10" i="12"/>
  <c r="D104" i="6"/>
  <c r="E104"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61" i="6"/>
  <c r="P5" i="19"/>
  <c r="AA94" i="12"/>
  <c r="AP34" i="12"/>
  <c r="AJ98" i="12"/>
  <c r="AR94" i="12"/>
  <c r="AE34" i="12"/>
  <c r="AE98" i="12"/>
  <c r="AT94" i="12"/>
  <c r="BD94" i="12"/>
  <c r="AU94" i="12"/>
  <c r="AI94" i="12"/>
  <c r="AS94" i="12"/>
  <c r="T98" i="12"/>
  <c r="N18" i="12"/>
  <c r="D95"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U95" i="12"/>
  <c r="AJ95" i="12"/>
  <c r="AB95" i="12"/>
  <c r="AA95" i="12"/>
  <c r="F28" i="12"/>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A100" i="12"/>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D25" i="35"/>
  <c r="C22" i="24" s="1"/>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21" i="35"/>
  <c r="D32" i="35"/>
  <c r="F32" i="35" s="1"/>
  <c r="D19" i="35"/>
  <c r="AJ68" i="12"/>
  <c r="D96" i="6"/>
  <c r="E96" i="6" s="1"/>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7"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8" i="6"/>
  <c r="E98" i="6" s="1"/>
  <c r="D28" i="35"/>
  <c r="D33" i="35"/>
  <c r="F33" i="35" s="1"/>
  <c r="D18" i="35"/>
  <c r="D94" i="6"/>
  <c r="D24" i="35"/>
  <c r="C21" i="24" s="1"/>
  <c r="H21" i="24" s="1"/>
  <c r="D97" i="6"/>
  <c r="D22" i="35"/>
  <c r="D20" i="35"/>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D23" i="35"/>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50" i="6"/>
  <c r="I17" i="12"/>
  <c r="Z34" i="12"/>
  <c r="AM12" i="12"/>
  <c r="BN12" i="12"/>
  <c r="K17" i="12"/>
  <c r="T66" i="12"/>
  <c r="H12" i="12"/>
  <c r="M12" i="12"/>
  <c r="D99" i="6"/>
  <c r="E99" i="6" s="1"/>
  <c r="D29" i="35"/>
  <c r="AL95" i="12"/>
  <c r="AK95" i="12"/>
  <c r="D26" i="35"/>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U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Q66" i="15" s="1"/>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100" i="6"/>
  <c r="D163"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F58" i="119"/>
  <c r="N101" i="119"/>
  <c r="N107" i="119"/>
  <c r="N103" i="119"/>
  <c r="N105" i="119"/>
  <c r="N104" i="119"/>
  <c r="N106" i="119"/>
  <c r="N102" i="119"/>
  <c r="B68" i="6"/>
  <c r="B67" i="6"/>
  <c r="B66" i="6"/>
  <c r="C25" i="33"/>
  <c r="C281" i="15"/>
  <c r="AX380" i="11" l="1"/>
  <c r="AL28" i="12"/>
  <c r="AJ32" i="12"/>
  <c r="AY276" i="11"/>
  <c r="AZ276" i="11" s="1"/>
  <c r="BA276" i="11" s="1"/>
  <c r="BB276" i="11" s="1"/>
  <c r="BC276" i="11" s="1"/>
  <c r="BD276" i="11" s="1"/>
  <c r="BE276" i="11" s="1"/>
  <c r="BF276" i="11" s="1"/>
  <c r="BG276" i="11" s="1"/>
  <c r="BH276" i="11" s="1"/>
  <c r="BI276" i="11" s="1"/>
  <c r="BJ276" i="11" s="1"/>
  <c r="BK276" i="11" s="1"/>
  <c r="BL276" i="11" s="1"/>
  <c r="T9" i="12"/>
  <c r="E32" i="34"/>
  <c r="AE276" i="11"/>
  <c r="AF276" i="11" s="1"/>
  <c r="AG276" i="11" s="1"/>
  <c r="AH276" i="11" s="1"/>
  <c r="R7" i="12"/>
  <c r="AF9" i="12"/>
  <c r="E249" i="119"/>
  <c r="B16" i="13"/>
  <c r="F15" i="13"/>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AG97" i="12"/>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F16" i="35"/>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AI8" i="12" s="1"/>
  <c r="AJ8" i="12" s="1"/>
  <c r="AK8" i="12" s="1"/>
  <c r="AL8" i="12" s="1"/>
  <c r="AM8" i="12" s="1"/>
  <c r="AN8" i="12" s="1"/>
  <c r="AO8" i="12" s="1"/>
  <c r="AP8" i="12" s="1"/>
  <c r="AQ8" i="12" s="1"/>
  <c r="AR8" i="12" s="1"/>
  <c r="AS8" i="12" s="1"/>
  <c r="AT8" i="12" s="1"/>
  <c r="AU8" i="12" s="1"/>
  <c r="AV8" i="12" s="1"/>
  <c r="AW8" i="12" s="1"/>
  <c r="AX8" i="12" s="1"/>
  <c r="AY8" i="12" s="1"/>
  <c r="AZ8" i="12" s="1"/>
  <c r="BA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O14" i="12"/>
  <c r="P14" i="12" s="1"/>
  <c r="Q14" i="12" s="1"/>
  <c r="R14" i="12" s="1"/>
  <c r="S14" i="12" s="1"/>
  <c r="T14" i="12" s="1"/>
  <c r="C134"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G187" i="15"/>
  <c r="N187" i="15"/>
  <c r="F187" i="15"/>
  <c r="M187" i="15"/>
  <c r="E187" i="15"/>
  <c r="L187" i="15"/>
  <c r="D187" i="15"/>
  <c r="J187" i="15"/>
  <c r="H187" i="15"/>
  <c r="K187" i="15"/>
  <c r="C187" i="15"/>
  <c r="I187" i="15"/>
  <c r="AS67" i="12"/>
  <c r="AT67" i="12" s="1"/>
  <c r="AU67" i="12" s="1"/>
  <c r="AV67" i="12" s="1"/>
  <c r="AW67" i="12" s="1"/>
  <c r="AX67" i="12" s="1"/>
  <c r="AY67" i="12" s="1"/>
  <c r="AZ67" i="12" s="1"/>
  <c r="BA67" i="12" s="1"/>
  <c r="O66" i="15"/>
  <c r="B187" i="15"/>
  <c r="D66" i="15"/>
  <c r="M66" i="15" s="1"/>
  <c r="C34" i="34"/>
  <c r="E63" i="34" s="1"/>
  <c r="I49" i="14"/>
  <c r="C102" i="34"/>
  <c r="D102" i="34"/>
  <c r="AE66" i="15"/>
  <c r="B115" i="34"/>
  <c r="E37" i="34"/>
  <c r="H32" i="34"/>
  <c r="B110" i="34"/>
  <c r="B61" i="34"/>
  <c r="C117" i="34"/>
  <c r="D117" i="34"/>
  <c r="W66" i="15"/>
  <c r="E117" i="34"/>
  <c r="F102" i="34"/>
  <c r="F117" i="34"/>
  <c r="C49" i="14"/>
  <c r="B97" i="14" s="1"/>
  <c r="E68" i="34"/>
  <c r="D68" i="34"/>
  <c r="C98" i="34"/>
  <c r="C35" i="34"/>
  <c r="E64" i="34" s="1"/>
  <c r="D98" i="34"/>
  <c r="E98" i="34"/>
  <c r="V49" i="14"/>
  <c r="L49" i="14"/>
  <c r="L66" i="15"/>
  <c r="B66" i="34"/>
  <c r="K49" i="14"/>
  <c r="W49" i="14"/>
  <c r="H49" i="14"/>
  <c r="C18" i="24"/>
  <c r="H18" i="24" s="1"/>
  <c r="F21" i="35"/>
  <c r="O49" i="14"/>
  <c r="T49" i="14"/>
  <c r="M49" i="14"/>
  <c r="N66" i="15"/>
  <c r="K66" i="15"/>
  <c r="N49" i="14"/>
  <c r="J49" i="14"/>
  <c r="R66" i="15"/>
  <c r="U49" i="14"/>
  <c r="S49" i="14"/>
  <c r="G49" i="14"/>
  <c r="C16" i="24"/>
  <c r="H16" i="24" s="1"/>
  <c r="F19" i="35"/>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15" i="24"/>
  <c r="H15" i="24" s="1"/>
  <c r="F18" i="35"/>
  <c r="F20" i="35"/>
  <c r="C17" i="24"/>
  <c r="H17" i="24" s="1"/>
  <c r="C19" i="24"/>
  <c r="H19" i="24" s="1"/>
  <c r="F22" i="35"/>
  <c r="F26" i="35"/>
  <c r="C23" i="24"/>
  <c r="H23" i="24" s="1"/>
  <c r="C20" i="24"/>
  <c r="H20" i="24" s="1"/>
  <c r="F23" i="35"/>
  <c r="C25" i="24"/>
  <c r="H25" i="24" s="1"/>
  <c r="F28" i="35"/>
  <c r="F29" i="35"/>
  <c r="C26" i="24"/>
  <c r="H26" i="24" s="1"/>
  <c r="C33" i="34"/>
  <c r="C111" i="34" s="1"/>
  <c r="C67" i="15"/>
  <c r="Q67" i="15" s="1"/>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H13" i="24"/>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B50" i="14" s="1"/>
  <c r="AF66" i="15"/>
  <c r="P66" i="15"/>
  <c r="J66" i="15"/>
  <c r="I66" i="15"/>
  <c r="F66" i="15"/>
  <c r="U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D36" i="35"/>
  <c r="E96" i="34"/>
  <c r="C96" i="34"/>
  <c r="D96" i="34"/>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139" i="15"/>
  <c r="D281" i="15"/>
  <c r="C282" i="15"/>
  <c r="C67" i="6"/>
  <c r="BQ8" i="12" l="1"/>
  <c r="AJ358" i="11"/>
  <c r="AK358" i="11" s="1"/>
  <c r="AL358" i="11" s="1"/>
  <c r="AM358" i="11" s="1"/>
  <c r="AN358" i="11" s="1"/>
  <c r="AO358" i="11" s="1"/>
  <c r="AP358" i="11" s="1"/>
  <c r="AQ358" i="11" s="1"/>
  <c r="AR358" i="11" s="1"/>
  <c r="AS358" i="11" s="1"/>
  <c r="AT358" i="11" s="1"/>
  <c r="AU358" i="11" s="1"/>
  <c r="AV358" i="11" s="1"/>
  <c r="AW358" i="11" s="1"/>
  <c r="F16" i="13"/>
  <c r="B17" i="13"/>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s="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B188" i="15"/>
  <c r="K188" i="15"/>
  <c r="C188" i="15"/>
  <c r="J188" i="15"/>
  <c r="I188" i="15"/>
  <c r="H188" i="15"/>
  <c r="N188" i="15"/>
  <c r="F188" i="15"/>
  <c r="L188" i="15"/>
  <c r="D188" i="15"/>
  <c r="G188" i="15"/>
  <c r="M188" i="15"/>
  <c r="E188" i="15"/>
  <c r="C63" i="34"/>
  <c r="E112" i="34"/>
  <c r="C180" i="119"/>
  <c r="C179" i="119"/>
  <c r="C178" i="119"/>
  <c r="C177" i="119"/>
  <c r="C176" i="119"/>
  <c r="D34" i="34"/>
  <c r="C112" i="34"/>
  <c r="D112" i="34"/>
  <c r="D63" i="34"/>
  <c r="C113" i="34"/>
  <c r="D113" i="34"/>
  <c r="E113" i="34"/>
  <c r="C64" i="34"/>
  <c r="F98" i="34"/>
  <c r="X49" i="14"/>
  <c r="D35" i="34"/>
  <c r="D64" i="34"/>
  <c r="F36" i="35"/>
  <c r="BV8" i="12"/>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BC8" i="12"/>
  <c r="BD8" i="12" s="1"/>
  <c r="BE8" i="12" s="1"/>
  <c r="BF8" i="12" s="1"/>
  <c r="BG8" i="12" s="1"/>
  <c r="BH8" i="12" s="1"/>
  <c r="BI8" i="12" s="1"/>
  <c r="BJ8" i="12" s="1"/>
  <c r="BK8" i="12" s="1"/>
  <c r="BL8" i="12" s="1"/>
  <c r="BM8" i="12" s="1"/>
  <c r="BN8" i="12" s="1"/>
  <c r="BO8" i="12" s="1"/>
  <c r="BP8" i="12" s="1"/>
  <c r="F97" i="34"/>
  <c r="E111" i="34"/>
  <c r="D111" i="34"/>
  <c r="D62" i="34"/>
  <c r="E62" i="34"/>
  <c r="C62" i="34"/>
  <c r="D33" i="34"/>
  <c r="H27" i="24"/>
  <c r="C27" i="24"/>
  <c r="F96"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F50" i="14"/>
  <c r="W50" i="14"/>
  <c r="G50" i="14"/>
  <c r="P50" i="14"/>
  <c r="H50" i="14"/>
  <c r="Q50" i="14"/>
  <c r="M50" i="14"/>
  <c r="N50" i="14"/>
  <c r="L50" i="14"/>
  <c r="I50" i="14"/>
  <c r="C50" i="14"/>
  <c r="K50" i="14"/>
  <c r="J50" i="14"/>
  <c r="T50" i="14"/>
  <c r="O50" i="14"/>
  <c r="E50" i="14"/>
  <c r="S50" i="14"/>
  <c r="R50" i="14"/>
  <c r="D50" i="14"/>
  <c r="V50" i="14"/>
  <c r="U50" i="14"/>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P67" i="15"/>
  <c r="AF67" i="15"/>
  <c r="I67" i="15"/>
  <c r="O67" i="15"/>
  <c r="AE67" i="15"/>
  <c r="F67" i="15"/>
  <c r="D67" i="15"/>
  <c r="M67" i="15" s="1"/>
  <c r="N67" i="15"/>
  <c r="W67" i="15"/>
  <c r="K67" i="15"/>
  <c r="A51" i="14"/>
  <c r="B51" i="14" s="1"/>
  <c r="J67" i="15"/>
  <c r="A99" i="14"/>
  <c r="C99" i="14" s="1"/>
  <c r="R67" i="15"/>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C140" i="15"/>
  <c r="E140" i="15"/>
  <c r="D140" i="15"/>
  <c r="D282" i="15"/>
  <c r="BR27" i="12" l="1"/>
  <c r="BS27" i="12" s="1"/>
  <c r="BT27" i="12" s="1"/>
  <c r="BU27" i="12" s="1"/>
  <c r="F17" i="13"/>
  <c r="B18" i="13"/>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F111" i="34"/>
  <c r="X50" i="14"/>
  <c r="B98" i="1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R51" i="14"/>
  <c r="V51" i="14"/>
  <c r="N51" i="14"/>
  <c r="S51" i="14"/>
  <c r="G51" i="14"/>
  <c r="F51" i="14"/>
  <c r="M51" i="14"/>
  <c r="T51" i="14"/>
  <c r="W51" i="14"/>
  <c r="I51" i="14"/>
  <c r="D51" i="14"/>
  <c r="U51" i="14"/>
  <c r="P51" i="14"/>
  <c r="K51" i="14"/>
  <c r="L51" i="14"/>
  <c r="J51" i="14"/>
  <c r="Q51" i="14"/>
  <c r="E51" i="14"/>
  <c r="O51" i="14"/>
  <c r="H51" i="14"/>
  <c r="C51" i="14"/>
  <c r="B99" i="14" s="1"/>
  <c r="U67" i="15"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C141" i="15"/>
  <c r="E141" i="15"/>
  <c r="F18" i="13" l="1"/>
  <c r="B19" i="13"/>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X51" i="14"/>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C142" i="15"/>
  <c r="F19" i="13" l="1"/>
  <c r="B20" i="13"/>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C143" i="15"/>
  <c r="B21" i="13" l="1"/>
  <c r="F20" i="13"/>
  <c r="E107"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C144" i="15"/>
  <c r="E144" i="15"/>
  <c r="B74" i="15" l="1"/>
  <c r="A23" i="13" s="1"/>
  <c r="A22" i="13"/>
  <c r="B22" i="13" s="1"/>
  <c r="F21" i="13"/>
  <c r="B29" i="17"/>
  <c r="C28" i="17"/>
  <c r="C73" i="15"/>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C145" i="15"/>
  <c r="E145" i="15"/>
  <c r="C74" i="15" l="1"/>
  <c r="H74" i="15" s="1"/>
  <c r="B75" i="15"/>
  <c r="A24" i="13" s="1"/>
  <c r="B23" i="13"/>
  <c r="F22" i="13"/>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C146" i="15"/>
  <c r="A58" i="14" l="1"/>
  <c r="D74" i="15"/>
  <c r="M74" i="15" s="1"/>
  <c r="L74" i="15"/>
  <c r="W74" i="15"/>
  <c r="A106" i="14"/>
  <c r="C106" i="14" s="1"/>
  <c r="AF74" i="15"/>
  <c r="K74" i="15"/>
  <c r="C75" i="15"/>
  <c r="AF75" i="15" s="1"/>
  <c r="B76" i="15"/>
  <c r="F23" i="13"/>
  <c r="B24" i="13"/>
  <c r="C30" i="17"/>
  <c r="B31" i="17"/>
  <c r="A148" i="15"/>
  <c r="A195" i="15" s="1"/>
  <c r="A27" i="17"/>
  <c r="A75" i="15"/>
  <c r="E74" i="15"/>
  <c r="Q147" i="15"/>
  <c r="R147" i="15"/>
  <c r="V147" i="15"/>
  <c r="L147" i="15"/>
  <c r="T147" i="15"/>
  <c r="P147" i="15"/>
  <c r="M147" i="15"/>
  <c r="U147" i="15"/>
  <c r="I147" i="15"/>
  <c r="H147" i="15"/>
  <c r="N147" i="15"/>
  <c r="C147" i="15"/>
  <c r="E147" i="15"/>
  <c r="D147" i="15"/>
  <c r="H75" i="15" l="1"/>
  <c r="A107" i="14"/>
  <c r="C107" i="14" s="1"/>
  <c r="C76" i="15"/>
  <c r="A108" i="14" s="1"/>
  <c r="C108" i="14" s="1"/>
  <c r="L75" i="15"/>
  <c r="K75" i="15"/>
  <c r="A59" i="14"/>
  <c r="W75" i="15"/>
  <c r="A25" i="13"/>
  <c r="B25" i="13" s="1"/>
  <c r="D75" i="15"/>
  <c r="M75" i="15" s="1"/>
  <c r="B77" i="15"/>
  <c r="A26" i="13" s="1"/>
  <c r="F24" i="13"/>
  <c r="C31" i="17"/>
  <c r="B32" i="17"/>
  <c r="P148" i="15"/>
  <c r="U148" i="15"/>
  <c r="L148" i="15"/>
  <c r="Q148" i="15"/>
  <c r="R148" i="15"/>
  <c r="M148" i="15"/>
  <c r="H148" i="15"/>
  <c r="N148" i="15"/>
  <c r="V148" i="15"/>
  <c r="T148" i="15"/>
  <c r="I148" i="15"/>
  <c r="A149" i="15"/>
  <c r="A196" i="15" s="1"/>
  <c r="A28" i="17"/>
  <c r="A76" i="15"/>
  <c r="E75" i="15"/>
  <c r="E148" i="15"/>
  <c r="D148" i="15"/>
  <c r="C148" i="15"/>
  <c r="K76" i="15" l="1"/>
  <c r="W76" i="15"/>
  <c r="AF76" i="15"/>
  <c r="H76" i="15"/>
  <c r="L76" i="15"/>
  <c r="A60" i="14"/>
  <c r="D76" i="15"/>
  <c r="M76" i="15" s="1"/>
  <c r="B78" i="15"/>
  <c r="A27" i="13" s="1"/>
  <c r="C77" i="15"/>
  <c r="D77" i="15" s="1"/>
  <c r="M77" i="15" s="1"/>
  <c r="B26" i="13"/>
  <c r="F25" i="13"/>
  <c r="B33" i="17"/>
  <c r="C32" i="17"/>
  <c r="P149" i="15"/>
  <c r="Q149" i="15"/>
  <c r="H149" i="15"/>
  <c r="I149" i="15"/>
  <c r="N149" i="15"/>
  <c r="R149" i="15"/>
  <c r="V149" i="15"/>
  <c r="M149" i="15"/>
  <c r="L149" i="15"/>
  <c r="T149" i="15"/>
  <c r="U149" i="15"/>
  <c r="A29" i="17"/>
  <c r="A150" i="15"/>
  <c r="A197" i="15" s="1"/>
  <c r="A77" i="15"/>
  <c r="E76" i="15"/>
  <c r="D149" i="15"/>
  <c r="C149" i="15"/>
  <c r="E149" i="15"/>
  <c r="AF77" i="15" l="1"/>
  <c r="W77" i="15"/>
  <c r="A61" i="14"/>
  <c r="L77" i="15"/>
  <c r="A109" i="14"/>
  <c r="C109" i="14" s="1"/>
  <c r="H77" i="15"/>
  <c r="B79" i="15"/>
  <c r="A28" i="13" s="1"/>
  <c r="K77" i="15"/>
  <c r="C78" i="15"/>
  <c r="B27" i="13"/>
  <c r="F26" i="13"/>
  <c r="C33" i="17"/>
  <c r="B34" i="17"/>
  <c r="A30" i="17"/>
  <c r="A151" i="15"/>
  <c r="A198" i="15" s="1"/>
  <c r="A78" i="15"/>
  <c r="E77" i="15"/>
  <c r="P150" i="15"/>
  <c r="U150" i="15"/>
  <c r="I150" i="15"/>
  <c r="R150" i="15"/>
  <c r="Q150" i="15"/>
  <c r="V150" i="15"/>
  <c r="L150" i="15"/>
  <c r="N150" i="15"/>
  <c r="T150" i="15"/>
  <c r="M150" i="15"/>
  <c r="H150" i="15"/>
  <c r="E150" i="15"/>
  <c r="D150" i="15"/>
  <c r="C150" i="15"/>
  <c r="B80" i="15" l="1"/>
  <c r="A29" i="13" s="1"/>
  <c r="C79" i="15"/>
  <c r="A63" i="14" s="1"/>
  <c r="A110" i="14"/>
  <c r="C110" i="14" s="1"/>
  <c r="L78" i="15"/>
  <c r="K78" i="15"/>
  <c r="AF78" i="15"/>
  <c r="H78" i="15"/>
  <c r="A62" i="14"/>
  <c r="D78" i="15"/>
  <c r="M78" i="15" s="1"/>
  <c r="W78" i="15"/>
  <c r="B28" i="13"/>
  <c r="F27" i="13"/>
  <c r="B35" i="17"/>
  <c r="C34" i="17"/>
  <c r="A31" i="17"/>
  <c r="A152" i="15"/>
  <c r="A199" i="15" s="1"/>
  <c r="A79" i="15"/>
  <c r="E78" i="15"/>
  <c r="Q151" i="15"/>
  <c r="P151" i="15"/>
  <c r="T151" i="15"/>
  <c r="U151" i="15"/>
  <c r="I151" i="15"/>
  <c r="V151" i="15"/>
  <c r="L151" i="15"/>
  <c r="R151" i="15"/>
  <c r="N151" i="15"/>
  <c r="H151" i="15"/>
  <c r="M151" i="15"/>
  <c r="C151" i="15"/>
  <c r="E151" i="15"/>
  <c r="D151" i="15"/>
  <c r="H79" i="15" l="1"/>
  <c r="D79" i="15"/>
  <c r="M79" i="15" s="1"/>
  <c r="L79" i="15"/>
  <c r="AF79" i="15"/>
  <c r="K79" i="15"/>
  <c r="W79" i="15"/>
  <c r="A111" i="14"/>
  <c r="C111" i="14" s="1"/>
  <c r="C80" i="15"/>
  <c r="B81" i="15"/>
  <c r="A30" i="13" s="1"/>
  <c r="B29" i="13"/>
  <c r="F28" i="13"/>
  <c r="B36" i="17"/>
  <c r="C35" i="17"/>
  <c r="A32" i="17"/>
  <c r="A153" i="15"/>
  <c r="A200" i="15" s="1"/>
  <c r="A80" i="15"/>
  <c r="E79" i="15"/>
  <c r="P152" i="15"/>
  <c r="Q152" i="15"/>
  <c r="R152" i="15"/>
  <c r="H152" i="15"/>
  <c r="N152" i="15"/>
  <c r="I152" i="15"/>
  <c r="U152" i="15"/>
  <c r="T152" i="15"/>
  <c r="M152" i="15"/>
  <c r="L152" i="15"/>
  <c r="V152" i="15"/>
  <c r="C152" i="15"/>
  <c r="E152" i="15"/>
  <c r="D152" i="15"/>
  <c r="A64" i="14" l="1"/>
  <c r="D80" i="15"/>
  <c r="M80" i="15" s="1"/>
  <c r="K80" i="15"/>
  <c r="L80" i="15"/>
  <c r="AF80" i="15"/>
  <c r="W80" i="15"/>
  <c r="H80" i="15"/>
  <c r="A112" i="14"/>
  <c r="C112" i="14" s="1"/>
  <c r="C81" i="15"/>
  <c r="B82" i="15"/>
  <c r="A31" i="13" s="1"/>
  <c r="F29" i="13"/>
  <c r="B30" i="13"/>
  <c r="B37" i="17"/>
  <c r="C36" i="17"/>
  <c r="A33" i="17"/>
  <c r="A154" i="15"/>
  <c r="A201" i="15" s="1"/>
  <c r="A81" i="15"/>
  <c r="E80" i="15"/>
  <c r="M153" i="15"/>
  <c r="V153" i="15"/>
  <c r="P153" i="15"/>
  <c r="R153" i="15"/>
  <c r="L153" i="15"/>
  <c r="H153" i="15"/>
  <c r="Q153" i="15"/>
  <c r="N153" i="15"/>
  <c r="T153" i="15"/>
  <c r="I153" i="15"/>
  <c r="U153" i="15"/>
  <c r="C153" i="15"/>
  <c r="D153" i="15"/>
  <c r="E153" i="15"/>
  <c r="B83" i="15" l="1"/>
  <c r="B84" i="15" s="1"/>
  <c r="C82" i="15"/>
  <c r="W81" i="15"/>
  <c r="AF81" i="15"/>
  <c r="L81" i="15"/>
  <c r="A113" i="14"/>
  <c r="C113" i="14" s="1"/>
  <c r="K81" i="15"/>
  <c r="A65" i="14"/>
  <c r="H81" i="15"/>
  <c r="D81" i="15"/>
  <c r="M81" i="15" s="1"/>
  <c r="B31" i="13"/>
  <c r="F30" i="13"/>
  <c r="B38" i="17"/>
  <c r="C37" i="17"/>
  <c r="P154" i="15"/>
  <c r="I154" i="15"/>
  <c r="R154" i="15"/>
  <c r="M154" i="15"/>
  <c r="H154" i="15"/>
  <c r="L154" i="15"/>
  <c r="N154" i="15"/>
  <c r="Q154" i="15"/>
  <c r="U154" i="15"/>
  <c r="V154" i="15"/>
  <c r="T154" i="15"/>
  <c r="A34" i="17"/>
  <c r="A155" i="15"/>
  <c r="A202" i="15" s="1"/>
  <c r="A82" i="15"/>
  <c r="E81" i="15"/>
  <c r="D154" i="15"/>
  <c r="C154" i="15"/>
  <c r="E154" i="15"/>
  <c r="K82" i="15" l="1"/>
  <c r="A66" i="14"/>
  <c r="H82" i="15"/>
  <c r="AF82" i="15"/>
  <c r="L82" i="15"/>
  <c r="D82" i="15"/>
  <c r="M82" i="15" s="1"/>
  <c r="A114" i="14"/>
  <c r="C114" i="14" s="1"/>
  <c r="W82" i="15"/>
  <c r="A32" i="13"/>
  <c r="B32" i="13" s="1"/>
  <c r="C83" i="15"/>
  <c r="C84" i="15" s="1"/>
  <c r="A33" i="13"/>
  <c r="B85" i="15"/>
  <c r="F31" i="13"/>
  <c r="C38" i="17"/>
  <c r="B39" i="17"/>
  <c r="A156" i="15"/>
  <c r="A203" i="15" s="1"/>
  <c r="A35" i="17"/>
  <c r="A83" i="15"/>
  <c r="E82" i="15"/>
  <c r="Q155" i="15"/>
  <c r="P155" i="15"/>
  <c r="T155" i="15"/>
  <c r="M155" i="15"/>
  <c r="I155" i="15"/>
  <c r="V155" i="15"/>
  <c r="N155" i="15"/>
  <c r="L155" i="15"/>
  <c r="H155" i="15"/>
  <c r="U155" i="15"/>
  <c r="R155" i="15"/>
  <c r="E155" i="15"/>
  <c r="D155" i="15"/>
  <c r="C155" i="15"/>
  <c r="L84" i="15" l="1"/>
  <c r="AF84" i="15"/>
  <c r="A68" i="14"/>
  <c r="D84" i="15"/>
  <c r="M84" i="15" s="1"/>
  <c r="K84" i="15"/>
  <c r="H84" i="15"/>
  <c r="A116" i="14"/>
  <c r="C116" i="14" s="1"/>
  <c r="D83" i="15"/>
  <c r="M83" i="15" s="1"/>
  <c r="W83" i="15"/>
  <c r="AF83" i="15"/>
  <c r="A67" i="14"/>
  <c r="K83" i="15"/>
  <c r="H83" i="15"/>
  <c r="A115" i="14"/>
  <c r="C115" i="14" s="1"/>
  <c r="L83" i="15"/>
  <c r="C85" i="15"/>
  <c r="K85" i="15" s="1"/>
  <c r="W84" i="15"/>
  <c r="A34" i="13"/>
  <c r="B86" i="15"/>
  <c r="A35" i="13" s="1"/>
  <c r="F32" i="13"/>
  <c r="B33" i="13"/>
  <c r="B40" i="17"/>
  <c r="C39" i="17"/>
  <c r="P156" i="15"/>
  <c r="V156" i="15"/>
  <c r="R156" i="15"/>
  <c r="Q156" i="15"/>
  <c r="H156" i="15"/>
  <c r="L156" i="15"/>
  <c r="N156" i="15"/>
  <c r="M156" i="15"/>
  <c r="U156" i="15"/>
  <c r="T156" i="15"/>
  <c r="I156" i="15"/>
  <c r="A36" i="17"/>
  <c r="A157" i="15"/>
  <c r="A204" i="15" s="1"/>
  <c r="A84" i="15"/>
  <c r="E83" i="15"/>
  <c r="C156" i="15"/>
  <c r="D156" i="15"/>
  <c r="E156" i="15"/>
  <c r="D85" i="15" l="1"/>
  <c r="M85" i="15" s="1"/>
  <c r="AF85" i="15"/>
  <c r="A69" i="14"/>
  <c r="H85" i="15"/>
  <c r="W85" i="15"/>
  <c r="A117" i="14"/>
  <c r="C117" i="14" s="1"/>
  <c r="L85" i="15"/>
  <c r="C86" i="15"/>
  <c r="A118" i="14" s="1"/>
  <c r="C118" i="14" s="1"/>
  <c r="B87" i="15"/>
  <c r="A36" i="13" s="1"/>
  <c r="F33" i="13"/>
  <c r="B34" i="13"/>
  <c r="C40" i="17"/>
  <c r="B41" i="17"/>
  <c r="A37" i="17"/>
  <c r="A158" i="15"/>
  <c r="A205" i="15" s="1"/>
  <c r="A85" i="15"/>
  <c r="E84" i="15"/>
  <c r="Q157" i="15"/>
  <c r="P157" i="15"/>
  <c r="U157" i="15"/>
  <c r="L157" i="15"/>
  <c r="V157" i="15"/>
  <c r="N157" i="15"/>
  <c r="R157" i="15"/>
  <c r="H157" i="15"/>
  <c r="T157" i="15"/>
  <c r="I157" i="15"/>
  <c r="M157" i="15"/>
  <c r="E157" i="15"/>
  <c r="D157" i="15"/>
  <c r="C157" i="15"/>
  <c r="B88" i="15" l="1"/>
  <c r="A37" i="13" s="1"/>
  <c r="W86" i="15"/>
  <c r="C87" i="15"/>
  <c r="AF87" i="15" s="1"/>
  <c r="D86" i="15"/>
  <c r="M86" i="15" s="1"/>
  <c r="K86" i="15"/>
  <c r="AF86" i="15"/>
  <c r="L86" i="15"/>
  <c r="A70" i="14"/>
  <c r="H86" i="15"/>
  <c r="F34" i="13"/>
  <c r="B35" i="13"/>
  <c r="B42" i="17"/>
  <c r="C41" i="17"/>
  <c r="A159" i="15"/>
  <c r="A206" i="15" s="1"/>
  <c r="A38" i="17"/>
  <c r="A86" i="15"/>
  <c r="E85" i="15"/>
  <c r="P158" i="15"/>
  <c r="Q158" i="15"/>
  <c r="I158" i="15"/>
  <c r="V158" i="15"/>
  <c r="L158" i="15"/>
  <c r="H158" i="15"/>
  <c r="U158" i="15"/>
  <c r="M158" i="15"/>
  <c r="T158" i="15"/>
  <c r="N158" i="15"/>
  <c r="R158" i="15"/>
  <c r="E158" i="15"/>
  <c r="D158" i="15"/>
  <c r="C158" i="15"/>
  <c r="A71" i="14" l="1"/>
  <c r="C88" i="15"/>
  <c r="D88" i="15" s="1"/>
  <c r="M88" i="15" s="1"/>
  <c r="B89" i="15"/>
  <c r="A38" i="13" s="1"/>
  <c r="D87" i="15"/>
  <c r="W87" i="15"/>
  <c r="A119" i="14"/>
  <c r="C119" i="14" s="1"/>
  <c r="K87" i="15"/>
  <c r="H87" i="15"/>
  <c r="B36" i="13"/>
  <c r="F35" i="13"/>
  <c r="C42" i="17"/>
  <c r="B43" i="17"/>
  <c r="A160" i="15"/>
  <c r="A207" i="15" s="1"/>
  <c r="A39" i="17"/>
  <c r="A87" i="15"/>
  <c r="E86" i="15"/>
  <c r="Q159" i="15"/>
  <c r="P159" i="15"/>
  <c r="U159" i="15"/>
  <c r="I159" i="15"/>
  <c r="N159" i="15"/>
  <c r="H159" i="15"/>
  <c r="T159" i="15"/>
  <c r="R159" i="15"/>
  <c r="V159" i="15"/>
  <c r="L159" i="15"/>
  <c r="M159" i="15"/>
  <c r="E159" i="15"/>
  <c r="D159" i="15"/>
  <c r="C159" i="15"/>
  <c r="AF88" i="15" l="1"/>
  <c r="A120" i="14"/>
  <c r="B90" i="15"/>
  <c r="B91" i="15" s="1"/>
  <c r="A40" i="13" s="1"/>
  <c r="H88" i="15"/>
  <c r="W88" i="15"/>
  <c r="A72" i="14"/>
  <c r="L88" i="15"/>
  <c r="C89" i="15"/>
  <c r="D89" i="15" s="1"/>
  <c r="M89" i="15" s="1"/>
  <c r="K88" i="15"/>
  <c r="B37" i="13"/>
  <c r="F36" i="13"/>
  <c r="C43" i="17"/>
  <c r="B44" i="17"/>
  <c r="A40" i="17"/>
  <c r="A161" i="15"/>
  <c r="A208" i="15" s="1"/>
  <c r="A88" i="15"/>
  <c r="E87" i="15"/>
  <c r="P160" i="15"/>
  <c r="L160" i="15"/>
  <c r="M160" i="15"/>
  <c r="N160" i="15"/>
  <c r="U160" i="15"/>
  <c r="V160" i="15"/>
  <c r="Q160" i="15"/>
  <c r="T160" i="15"/>
  <c r="I160" i="15"/>
  <c r="R160" i="15"/>
  <c r="H160" i="15"/>
  <c r="D160" i="15"/>
  <c r="E160" i="15"/>
  <c r="C160" i="15"/>
  <c r="A39" i="13" l="1"/>
  <c r="W89" i="15"/>
  <c r="A121" i="14"/>
  <c r="K89" i="15"/>
  <c r="C90" i="15"/>
  <c r="L90" i="15" s="1"/>
  <c r="H89" i="15"/>
  <c r="A73" i="14"/>
  <c r="AF89" i="15"/>
  <c r="B92" i="15"/>
  <c r="B93" i="15" s="1"/>
  <c r="A42" i="13" s="1"/>
  <c r="L89" i="15"/>
  <c r="B38" i="13"/>
  <c r="F37" i="13"/>
  <c r="C44" i="17"/>
  <c r="B45" i="17"/>
  <c r="A162" i="15"/>
  <c r="A209" i="15" s="1"/>
  <c r="A41" i="17"/>
  <c r="A89" i="15"/>
  <c r="E88" i="15"/>
  <c r="Q161" i="15"/>
  <c r="L161" i="15"/>
  <c r="H161" i="15"/>
  <c r="R161" i="15"/>
  <c r="N161" i="15"/>
  <c r="I161" i="15"/>
  <c r="U161" i="15"/>
  <c r="T161" i="15"/>
  <c r="M161" i="15"/>
  <c r="P161" i="15"/>
  <c r="V161" i="15"/>
  <c r="D161" i="15"/>
  <c r="E161" i="15"/>
  <c r="C161" i="15"/>
  <c r="K90" i="15" l="1"/>
  <c r="A122" i="14"/>
  <c r="A74" i="14"/>
  <c r="W90" i="15"/>
  <c r="H90" i="15"/>
  <c r="D90" i="15"/>
  <c r="M90" i="15" s="1"/>
  <c r="A41" i="13"/>
  <c r="C91" i="15"/>
  <c r="D91" i="15" s="1"/>
  <c r="M91" i="15" s="1"/>
  <c r="AF90" i="15"/>
  <c r="B94" i="15"/>
  <c r="B95" i="15" s="1"/>
  <c r="A44" i="13" s="1"/>
  <c r="B39" i="13"/>
  <c r="F38" i="13"/>
  <c r="C45" i="17"/>
  <c r="B46" i="17"/>
  <c r="A163" i="15"/>
  <c r="A210" i="15" s="1"/>
  <c r="A42" i="17"/>
  <c r="A90" i="15"/>
  <c r="E89" i="15"/>
  <c r="P162" i="15"/>
  <c r="Q162" i="15"/>
  <c r="T162" i="15"/>
  <c r="M162" i="15"/>
  <c r="H162" i="15"/>
  <c r="R162" i="15"/>
  <c r="N162" i="15"/>
  <c r="I162" i="15"/>
  <c r="U162" i="15"/>
  <c r="V162" i="15"/>
  <c r="L162" i="15"/>
  <c r="E162" i="15"/>
  <c r="D162" i="15"/>
  <c r="C162" i="15"/>
  <c r="A75" i="14" l="1"/>
  <c r="K91" i="15"/>
  <c r="AF91" i="15"/>
  <c r="A123" i="14"/>
  <c r="C92" i="15"/>
  <c r="L91" i="15"/>
  <c r="W91" i="15"/>
  <c r="H91" i="15"/>
  <c r="A43" i="13"/>
  <c r="B96" i="15"/>
  <c r="A45" i="13" s="1"/>
  <c r="B40" i="13"/>
  <c r="F39" i="13"/>
  <c r="C46" i="17"/>
  <c r="B47" i="17"/>
  <c r="A164" i="15"/>
  <c r="A211" i="15" s="1"/>
  <c r="A43" i="17"/>
  <c r="A91" i="15"/>
  <c r="E90" i="15"/>
  <c r="Q163" i="15"/>
  <c r="T163" i="15"/>
  <c r="R163" i="15"/>
  <c r="V163" i="15"/>
  <c r="N163" i="15"/>
  <c r="P163" i="15"/>
  <c r="U163" i="15"/>
  <c r="H163" i="15"/>
  <c r="I163" i="15"/>
  <c r="M163" i="15"/>
  <c r="L163" i="15"/>
  <c r="E163" i="15"/>
  <c r="D163" i="15"/>
  <c r="C163" i="15"/>
  <c r="A124" i="14" l="1"/>
  <c r="D92" i="15"/>
  <c r="M92" i="15" s="1"/>
  <c r="A76" i="14"/>
  <c r="W92" i="15"/>
  <c r="L92" i="15"/>
  <c r="K92" i="15"/>
  <c r="AF92" i="15"/>
  <c r="C93" i="15"/>
  <c r="H92" i="15"/>
  <c r="B97" i="15"/>
  <c r="B41" i="13"/>
  <c r="F40" i="13"/>
  <c r="C47" i="17"/>
  <c r="B48" i="17"/>
  <c r="P164" i="15"/>
  <c r="Q164" i="15"/>
  <c r="R164" i="15"/>
  <c r="N164" i="15"/>
  <c r="L164" i="15"/>
  <c r="T164" i="15"/>
  <c r="H164" i="15"/>
  <c r="U164" i="15"/>
  <c r="V164" i="15"/>
  <c r="M164" i="15"/>
  <c r="I164" i="15"/>
  <c r="A44" i="17"/>
  <c r="A165" i="15"/>
  <c r="A212" i="15" s="1"/>
  <c r="A92" i="15"/>
  <c r="E91" i="15"/>
  <c r="E164" i="15"/>
  <c r="C164" i="15"/>
  <c r="D164" i="15"/>
  <c r="A77" i="14" l="1"/>
  <c r="W93" i="15"/>
  <c r="K93" i="15"/>
  <c r="L93" i="15"/>
  <c r="A125" i="14"/>
  <c r="AF93" i="15"/>
  <c r="D93" i="15"/>
  <c r="M93" i="15" s="1"/>
  <c r="C94" i="15"/>
  <c r="H93" i="15"/>
  <c r="B98" i="15"/>
  <c r="B99" i="15" s="1"/>
  <c r="A46" i="13"/>
  <c r="B42" i="13"/>
  <c r="F41" i="13"/>
  <c r="C48" i="17"/>
  <c r="B49" i="17"/>
  <c r="A45" i="17"/>
  <c r="A166" i="15"/>
  <c r="A213" i="15" s="1"/>
  <c r="A93" i="15"/>
  <c r="E92" i="15"/>
  <c r="P165" i="15"/>
  <c r="Q165" i="15"/>
  <c r="I165" i="15"/>
  <c r="M165" i="15"/>
  <c r="H165" i="15"/>
  <c r="L165" i="15"/>
  <c r="N165" i="15"/>
  <c r="R165" i="15"/>
  <c r="U165" i="15"/>
  <c r="V165" i="15"/>
  <c r="T165" i="15"/>
  <c r="E165" i="15"/>
  <c r="D165" i="15"/>
  <c r="C165" i="15"/>
  <c r="D94" i="15" l="1"/>
  <c r="M94" i="15" s="1"/>
  <c r="K94" i="15"/>
  <c r="AF94" i="15"/>
  <c r="W94" i="15"/>
  <c r="L94" i="15"/>
  <c r="H94" i="15"/>
  <c r="A126" i="14"/>
  <c r="C95" i="15"/>
  <c r="A78" i="14"/>
  <c r="A48" i="13"/>
  <c r="A47" i="13"/>
  <c r="B100" i="15"/>
  <c r="A49" i="13" s="1"/>
  <c r="F42" i="13"/>
  <c r="B43" i="13"/>
  <c r="C121" i="14"/>
  <c r="C49" i="17"/>
  <c r="B50" i="17"/>
  <c r="A46" i="17"/>
  <c r="A167" i="15"/>
  <c r="A214" i="15" s="1"/>
  <c r="A94" i="15"/>
  <c r="E93" i="15"/>
  <c r="P166" i="15"/>
  <c r="R166" i="15"/>
  <c r="V166" i="15"/>
  <c r="Q166" i="15"/>
  <c r="I166" i="15"/>
  <c r="L166" i="15"/>
  <c r="T166" i="15"/>
  <c r="H166" i="15"/>
  <c r="M166" i="15"/>
  <c r="U166" i="15"/>
  <c r="N166" i="15"/>
  <c r="D166" i="15"/>
  <c r="C166" i="15"/>
  <c r="E166" i="15"/>
  <c r="W95" i="15" l="1"/>
  <c r="L95" i="15"/>
  <c r="H95" i="15"/>
  <c r="C96" i="15"/>
  <c r="A127" i="14"/>
  <c r="K95" i="15"/>
  <c r="A79" i="14"/>
  <c r="AF95" i="15"/>
  <c r="D95" i="15"/>
  <c r="M95" i="15" s="1"/>
  <c r="B101" i="15"/>
  <c r="A50" i="13" s="1"/>
  <c r="B44" i="13"/>
  <c r="F43" i="13"/>
  <c r="C122" i="14"/>
  <c r="B51" i="17"/>
  <c r="C50" i="17"/>
  <c r="A168" i="15"/>
  <c r="A215" i="15" s="1"/>
  <c r="A47" i="17"/>
  <c r="A95" i="15"/>
  <c r="E94" i="15"/>
  <c r="Q167" i="15"/>
  <c r="P167" i="15"/>
  <c r="M167" i="15"/>
  <c r="U167" i="15"/>
  <c r="I167" i="15"/>
  <c r="V167" i="15"/>
  <c r="T167" i="15"/>
  <c r="R167" i="15"/>
  <c r="L167" i="15"/>
  <c r="N167" i="15"/>
  <c r="H167" i="15"/>
  <c r="D167" i="15"/>
  <c r="E167" i="15"/>
  <c r="C167" i="15"/>
  <c r="A128" i="14" l="1"/>
  <c r="W96" i="15"/>
  <c r="L96" i="15"/>
  <c r="K96" i="15"/>
  <c r="A80" i="14"/>
  <c r="D96" i="15"/>
  <c r="M96" i="15" s="1"/>
  <c r="C97" i="15"/>
  <c r="AF96" i="15"/>
  <c r="H96" i="15"/>
  <c r="B102" i="15"/>
  <c r="B45" i="13"/>
  <c r="F44" i="13"/>
  <c r="C123" i="14"/>
  <c r="B52" i="17"/>
  <c r="C51" i="17"/>
  <c r="A169" i="15"/>
  <c r="A216" i="15" s="1"/>
  <c r="A48" i="17"/>
  <c r="A96" i="15"/>
  <c r="E95" i="15"/>
  <c r="P168" i="15"/>
  <c r="Q168" i="15"/>
  <c r="I168" i="15"/>
  <c r="V168" i="15"/>
  <c r="N168" i="15"/>
  <c r="M168" i="15"/>
  <c r="T168" i="15"/>
  <c r="L168" i="15"/>
  <c r="H168" i="15"/>
  <c r="U168" i="15"/>
  <c r="R168" i="15"/>
  <c r="E168" i="15"/>
  <c r="D168" i="15"/>
  <c r="C168" i="15"/>
  <c r="A81" i="14" l="1"/>
  <c r="K97" i="15"/>
  <c r="H97" i="15"/>
  <c r="W97" i="15"/>
  <c r="AF97" i="15"/>
  <c r="A129" i="14"/>
  <c r="D97" i="15"/>
  <c r="M97" i="15" s="1"/>
  <c r="L97" i="15"/>
  <c r="C98" i="15"/>
  <c r="A51" i="13"/>
  <c r="B103" i="15"/>
  <c r="B46" i="13"/>
  <c r="F45" i="13"/>
  <c r="C124" i="14"/>
  <c r="B53" i="17"/>
  <c r="C52" i="17"/>
  <c r="A49" i="17"/>
  <c r="A170" i="15"/>
  <c r="A217" i="15" s="1"/>
  <c r="A97" i="15"/>
  <c r="E96" i="15"/>
  <c r="P169" i="15"/>
  <c r="M169" i="15"/>
  <c r="L169" i="15"/>
  <c r="Q169" i="15"/>
  <c r="N169" i="15"/>
  <c r="I169" i="15"/>
  <c r="V169" i="15"/>
  <c r="H169" i="15"/>
  <c r="R169" i="15"/>
  <c r="T169" i="15"/>
  <c r="U169" i="15"/>
  <c r="E169" i="15"/>
  <c r="D169" i="15"/>
  <c r="C169" i="15"/>
  <c r="D98" i="15" l="1"/>
  <c r="M98" i="15" s="1"/>
  <c r="A82" i="14"/>
  <c r="A130" i="14"/>
  <c r="AF98" i="15"/>
  <c r="K98" i="15"/>
  <c r="H98" i="15"/>
  <c r="W98" i="15"/>
  <c r="L98" i="15"/>
  <c r="C99" i="15"/>
  <c r="A52" i="13"/>
  <c r="B104" i="15"/>
  <c r="B47" i="13"/>
  <c r="F46" i="13"/>
  <c r="C53" i="17"/>
  <c r="B54" i="17"/>
  <c r="A171" i="15"/>
  <c r="A218" i="15" s="1"/>
  <c r="A50" i="17"/>
  <c r="A98" i="15"/>
  <c r="E97" i="15"/>
  <c r="P170" i="15"/>
  <c r="Q170" i="15"/>
  <c r="L170" i="15"/>
  <c r="N170" i="15"/>
  <c r="R170" i="15"/>
  <c r="I170" i="15"/>
  <c r="T170" i="15"/>
  <c r="V170" i="15"/>
  <c r="U170" i="15"/>
  <c r="M170" i="15"/>
  <c r="H170" i="15"/>
  <c r="E170" i="15"/>
  <c r="D170" i="15"/>
  <c r="C170" i="15"/>
  <c r="K99" i="15" l="1"/>
  <c r="A83" i="14"/>
  <c r="A131" i="14"/>
  <c r="H99" i="15"/>
  <c r="W99" i="15"/>
  <c r="C100" i="15"/>
  <c r="D99" i="15"/>
  <c r="M99" i="15" s="1"/>
  <c r="L99" i="15"/>
  <c r="AF99" i="15"/>
  <c r="A53" i="13"/>
  <c r="B105" i="15"/>
  <c r="B48" i="13"/>
  <c r="F47" i="13"/>
  <c r="C125" i="14"/>
  <c r="C54" i="17"/>
  <c r="B55" i="17"/>
  <c r="A51" i="17"/>
  <c r="A172" i="15"/>
  <c r="A219" i="15" s="1"/>
  <c r="A99" i="15"/>
  <c r="E98" i="15"/>
  <c r="Q171" i="15"/>
  <c r="P171" i="15"/>
  <c r="L171" i="15"/>
  <c r="H171" i="15"/>
  <c r="V171" i="15"/>
  <c r="T171" i="15"/>
  <c r="M171" i="15"/>
  <c r="U171" i="15"/>
  <c r="I171" i="15"/>
  <c r="N171" i="15"/>
  <c r="R171" i="15"/>
  <c r="E171" i="15"/>
  <c r="D171" i="15"/>
  <c r="C171" i="15"/>
  <c r="K100" i="15" l="1"/>
  <c r="A84" i="14"/>
  <c r="D100" i="15"/>
  <c r="M100" i="15" s="1"/>
  <c r="AF100" i="15"/>
  <c r="C101" i="15"/>
  <c r="H100" i="15"/>
  <c r="L100" i="15"/>
  <c r="A132" i="14"/>
  <c r="W100" i="15"/>
  <c r="A54" i="13"/>
  <c r="B106" i="15"/>
  <c r="B49" i="13"/>
  <c r="F48" i="13"/>
  <c r="C126" i="14"/>
  <c r="C127" i="14"/>
  <c r="B56" i="17"/>
  <c r="C55" i="17"/>
  <c r="A52" i="17"/>
  <c r="A173" i="15"/>
  <c r="A220" i="15" s="1"/>
  <c r="A100" i="15"/>
  <c r="E99" i="15"/>
  <c r="P172" i="15"/>
  <c r="L172" i="15"/>
  <c r="V172" i="15"/>
  <c r="U172" i="15"/>
  <c r="M172" i="15"/>
  <c r="N172" i="15"/>
  <c r="Q172" i="15"/>
  <c r="I172" i="15"/>
  <c r="H172" i="15"/>
  <c r="T172" i="15"/>
  <c r="R172" i="15"/>
  <c r="D172" i="15"/>
  <c r="C172" i="15"/>
  <c r="E172" i="15"/>
  <c r="D101" i="15" l="1"/>
  <c r="M101" i="15" s="1"/>
  <c r="A133" i="14"/>
  <c r="W101" i="15"/>
  <c r="AF101" i="15"/>
  <c r="A85" i="14"/>
  <c r="K101" i="15"/>
  <c r="L101" i="15"/>
  <c r="C102" i="15"/>
  <c r="H101" i="15"/>
  <c r="A55" i="13"/>
  <c r="B107" i="15"/>
  <c r="B50" i="13"/>
  <c r="F49" i="13"/>
  <c r="C128" i="14"/>
  <c r="C56" i="17"/>
  <c r="B57" i="17"/>
  <c r="A53" i="17"/>
  <c r="A174" i="15"/>
  <c r="A221" i="15" s="1"/>
  <c r="A101" i="15"/>
  <c r="E100" i="15"/>
  <c r="P173" i="15"/>
  <c r="Q173" i="15"/>
  <c r="V173" i="15"/>
  <c r="U173" i="15"/>
  <c r="M173" i="15"/>
  <c r="I173" i="15"/>
  <c r="L173" i="15"/>
  <c r="N173" i="15"/>
  <c r="H173" i="15"/>
  <c r="R173" i="15"/>
  <c r="T173" i="15"/>
  <c r="E173" i="15"/>
  <c r="D173" i="15"/>
  <c r="C173" i="15"/>
  <c r="A86" i="14" l="1"/>
  <c r="D102" i="15"/>
  <c r="H102" i="15"/>
  <c r="A134" i="14"/>
  <c r="C103" i="15"/>
  <c r="AF102" i="15"/>
  <c r="K102" i="15"/>
  <c r="W102" i="15"/>
  <c r="A56" i="13"/>
  <c r="B108" i="15"/>
  <c r="B51" i="13"/>
  <c r="F50" i="13"/>
  <c r="C57" i="17"/>
  <c r="A175" i="15"/>
  <c r="A222" i="15" s="1"/>
  <c r="A54" i="17"/>
  <c r="A102" i="15"/>
  <c r="E101" i="15"/>
  <c r="P174" i="15"/>
  <c r="Q174" i="15"/>
  <c r="N174" i="15"/>
  <c r="T174" i="15"/>
  <c r="U174" i="15"/>
  <c r="I174" i="15"/>
  <c r="L174" i="15"/>
  <c r="H174" i="15"/>
  <c r="R174" i="15"/>
  <c r="V174" i="15"/>
  <c r="M174" i="15"/>
  <c r="E174" i="15"/>
  <c r="D174" i="15"/>
  <c r="C174" i="15"/>
  <c r="W103" i="15" l="1"/>
  <c r="C104" i="15"/>
  <c r="L103" i="15"/>
  <c r="H103" i="15"/>
  <c r="K103" i="15"/>
  <c r="A135" i="14"/>
  <c r="A87" i="14"/>
  <c r="D103" i="15"/>
  <c r="M103" i="15" s="1"/>
  <c r="AF103" i="15"/>
  <c r="A57" i="13"/>
  <c r="S108" i="15"/>
  <c r="B109" i="15"/>
  <c r="B52" i="13"/>
  <c r="F51" i="13"/>
  <c r="C129" i="14"/>
  <c r="A176" i="15"/>
  <c r="A223" i="15" s="1"/>
  <c r="A55" i="17"/>
  <c r="A103" i="15"/>
  <c r="E102" i="15"/>
  <c r="Q175" i="15"/>
  <c r="N175" i="15"/>
  <c r="H175" i="15"/>
  <c r="L175" i="15"/>
  <c r="P175" i="15"/>
  <c r="R175" i="15"/>
  <c r="I175" i="15"/>
  <c r="U175" i="15"/>
  <c r="V175" i="15"/>
  <c r="T175" i="15"/>
  <c r="M175" i="15"/>
  <c r="C175" i="15"/>
  <c r="E175" i="15"/>
  <c r="D175" i="15"/>
  <c r="A136" i="14" l="1"/>
  <c r="L104" i="15"/>
  <c r="K104" i="15"/>
  <c r="AF104" i="15"/>
  <c r="H104" i="15"/>
  <c r="D104" i="15"/>
  <c r="M104" i="15" s="1"/>
  <c r="C105" i="15"/>
  <c r="A88" i="14"/>
  <c r="W104" i="15"/>
  <c r="B110" i="15"/>
  <c r="S109" i="15"/>
  <c r="B53" i="13"/>
  <c r="F52" i="13"/>
  <c r="C130" i="14"/>
  <c r="L102" i="15"/>
  <c r="M102" i="15"/>
  <c r="P176" i="15"/>
  <c r="Q176" i="15"/>
  <c r="T176" i="15"/>
  <c r="H176" i="15"/>
  <c r="L176" i="15"/>
  <c r="I176" i="15"/>
  <c r="V176" i="15"/>
  <c r="N176" i="15"/>
  <c r="R176" i="15"/>
  <c r="U176" i="15"/>
  <c r="M176" i="15"/>
  <c r="A56" i="17"/>
  <c r="A177" i="15"/>
  <c r="A224" i="15" s="1"/>
  <c r="A104" i="15"/>
  <c r="E103" i="15"/>
  <c r="D176" i="15"/>
  <c r="C176" i="15"/>
  <c r="E176" i="15"/>
  <c r="A137" i="14" l="1"/>
  <c r="A89" i="14"/>
  <c r="K105" i="15"/>
  <c r="L105" i="15"/>
  <c r="W105" i="15"/>
  <c r="H105" i="15"/>
  <c r="AF105" i="15"/>
  <c r="D105" i="15"/>
  <c r="M105" i="15" s="1"/>
  <c r="C106" i="15"/>
  <c r="B111" i="15"/>
  <c r="S110" i="15"/>
  <c r="B54" i="13"/>
  <c r="F53" i="13"/>
  <c r="C109" i="15"/>
  <c r="Q109" i="15" s="1"/>
  <c r="C131" i="14"/>
  <c r="P177" i="15"/>
  <c r="Q177" i="15"/>
  <c r="V177" i="15"/>
  <c r="L177" i="15"/>
  <c r="U177" i="15"/>
  <c r="N177" i="15"/>
  <c r="R177" i="15"/>
  <c r="T177" i="15"/>
  <c r="M177" i="15"/>
  <c r="I177" i="15"/>
  <c r="H177" i="15"/>
  <c r="A178" i="15"/>
  <c r="A225" i="15" s="1"/>
  <c r="A57" i="17"/>
  <c r="A105" i="15"/>
  <c r="E104" i="15"/>
  <c r="E177" i="15"/>
  <c r="D177" i="15"/>
  <c r="C177" i="15"/>
  <c r="H106" i="15" l="1"/>
  <c r="W106" i="15"/>
  <c r="A138" i="14"/>
  <c r="C107" i="15"/>
  <c r="D106" i="15"/>
  <c r="M106" i="15" s="1"/>
  <c r="A90" i="14"/>
  <c r="AF106" i="15"/>
  <c r="K106" i="15"/>
  <c r="L106" i="15"/>
  <c r="S111" i="15"/>
  <c r="B112" i="15"/>
  <c r="B55" i="13"/>
  <c r="F54" i="13"/>
  <c r="Z109" i="15"/>
  <c r="W109" i="15"/>
  <c r="K109" i="15"/>
  <c r="A143" i="14"/>
  <c r="L109" i="15"/>
  <c r="AF109" i="15"/>
  <c r="C110" i="15"/>
  <c r="Q110" i="15" s="1"/>
  <c r="AE109" i="15"/>
  <c r="H109" i="15"/>
  <c r="D109" i="15"/>
  <c r="M109" i="15" s="1"/>
  <c r="C132" i="14"/>
  <c r="P178" i="15"/>
  <c r="Q178" i="15"/>
  <c r="N178" i="15"/>
  <c r="R178" i="15"/>
  <c r="U178" i="15"/>
  <c r="I178" i="15"/>
  <c r="M178" i="15"/>
  <c r="V178" i="15"/>
  <c r="L178" i="15"/>
  <c r="H178" i="15"/>
  <c r="T178" i="15"/>
  <c r="A179" i="15"/>
  <c r="A226" i="15" s="1"/>
  <c r="A106" i="15"/>
  <c r="E105" i="15"/>
  <c r="D178" i="15"/>
  <c r="C178" i="15"/>
  <c r="E178" i="15"/>
  <c r="C108" i="15" l="1"/>
  <c r="D107" i="15"/>
  <c r="H107" i="15"/>
  <c r="K107" i="15"/>
  <c r="A91" i="14"/>
  <c r="AF107" i="15"/>
  <c r="W107" i="15"/>
  <c r="A139" i="14"/>
  <c r="S112" i="15"/>
  <c r="B113" i="15"/>
  <c r="S113" i="15" s="1"/>
  <c r="B56" i="13"/>
  <c r="B57" i="13" s="1"/>
  <c r="F55" i="13"/>
  <c r="AF110" i="15"/>
  <c r="K110" i="15"/>
  <c r="D110" i="15"/>
  <c r="M110" i="15" s="1"/>
  <c r="H110" i="15"/>
  <c r="W110" i="15"/>
  <c r="C111" i="15"/>
  <c r="Q111" i="15" s="1"/>
  <c r="Z110" i="15"/>
  <c r="AE110" i="15"/>
  <c r="L110" i="15"/>
  <c r="C133" i="14"/>
  <c r="A180" i="15"/>
  <c r="A227" i="15" s="1"/>
  <c r="A107" i="15"/>
  <c r="A108" i="15" s="1"/>
  <c r="E106" i="15"/>
  <c r="Q179" i="15"/>
  <c r="P179" i="15"/>
  <c r="I179" i="15"/>
  <c r="N179" i="15"/>
  <c r="R179" i="15"/>
  <c r="H179" i="15"/>
  <c r="M179" i="15"/>
  <c r="L179" i="15"/>
  <c r="U179" i="15"/>
  <c r="T179" i="15"/>
  <c r="V179" i="15"/>
  <c r="C179" i="15"/>
  <c r="D179" i="15"/>
  <c r="E179" i="15"/>
  <c r="D108" i="15" l="1"/>
  <c r="M108" i="15" s="1"/>
  <c r="Q108" i="15"/>
  <c r="W108" i="15"/>
  <c r="Z108" i="15"/>
  <c r="L108" i="15"/>
  <c r="AE108" i="15"/>
  <c r="A140" i="14"/>
  <c r="H108" i="15"/>
  <c r="A92" i="14"/>
  <c r="AF108" i="15"/>
  <c r="K108" i="15"/>
  <c r="F57" i="13"/>
  <c r="C57" i="13"/>
  <c r="E57" i="13"/>
  <c r="G57" i="13"/>
  <c r="W111" i="15"/>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A181" i="15"/>
  <c r="A228" i="15" s="1"/>
  <c r="E107" i="15"/>
  <c r="D180" i="15"/>
  <c r="E180" i="15"/>
  <c r="C180" i="15"/>
  <c r="D57" i="13" l="1"/>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C181" i="15"/>
  <c r="B182" i="15"/>
  <c r="J182" i="15"/>
  <c r="F182"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C138"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C139" i="14"/>
  <c r="E233" i="15"/>
  <c r="I35" i="34" s="1"/>
  <c r="C233" i="15"/>
  <c r="I33" i="34" s="1"/>
  <c r="D233" i="15"/>
  <c r="I34" i="34" s="1"/>
  <c r="L87" i="15"/>
  <c r="M87" i="15"/>
  <c r="I48" i="119"/>
  <c r="H48" i="119"/>
  <c r="G48" i="119"/>
  <c r="E48" i="119"/>
  <c r="D48" i="119"/>
  <c r="C26" i="6" s="1"/>
  <c r="C48" i="119"/>
  <c r="C25" i="6" s="1"/>
  <c r="B22" i="15" s="1"/>
  <c r="F48" i="119"/>
  <c r="E75" i="6" s="1"/>
  <c r="C52" i="6" l="1"/>
  <c r="X59" i="15" s="1"/>
  <c r="B133" i="15"/>
  <c r="E78" i="6"/>
  <c r="E80" i="6"/>
  <c r="C136" i="6"/>
  <c r="C69" i="6"/>
  <c r="B20" i="15"/>
  <c r="B21" i="15" s="1"/>
  <c r="C4" i="119"/>
  <c r="D199" i="119" s="1"/>
  <c r="C27" i="6"/>
  <c r="C28" i="6" s="1"/>
  <c r="C4" i="24"/>
  <c r="C3" i="119"/>
  <c r="C199" i="119" s="1"/>
  <c r="B141" i="15"/>
  <c r="B163" i="15"/>
  <c r="B179" i="15"/>
  <c r="B173" i="15"/>
  <c r="B161" i="15"/>
  <c r="E22" i="15" l="1"/>
  <c r="C46" i="33"/>
  <c r="F36" i="14"/>
  <c r="D36" i="14"/>
  <c r="G36" i="14"/>
  <c r="C36" i="14"/>
  <c r="E36" i="14"/>
  <c r="B26" i="15"/>
  <c r="B27" i="15" s="1"/>
  <c r="E23" i="15" s="1"/>
  <c r="C5" i="119"/>
  <c r="E199" i="119" s="1"/>
  <c r="H36" i="14"/>
  <c r="C47" i="33" s="1"/>
  <c r="AF116" i="15"/>
  <c r="AB55" i="15" s="1"/>
  <c r="AB57" i="15" s="1"/>
  <c r="W116" i="15"/>
  <c r="F75" i="6"/>
  <c r="F84" i="6" s="1"/>
  <c r="C148" i="6" s="1"/>
  <c r="G133" i="15"/>
  <c r="F38" i="34" s="1"/>
  <c r="F80" i="6"/>
  <c r="F133" i="15"/>
  <c r="F37" i="34" s="1"/>
  <c r="F78" i="6"/>
  <c r="B136" i="15"/>
  <c r="F32" i="34"/>
  <c r="C32" i="34" s="1"/>
  <c r="C197" i="119"/>
  <c r="C202" i="119" s="1"/>
  <c r="D202" i="119" s="1"/>
  <c r="D158" i="6"/>
  <c r="D157" i="6"/>
  <c r="D159" i="6"/>
  <c r="E22" i="24"/>
  <c r="G22" i="24" s="1"/>
  <c r="E14" i="24"/>
  <c r="G14" i="24" s="1"/>
  <c r="D154" i="6"/>
  <c r="E154" i="6" s="1"/>
  <c r="D124" i="6"/>
  <c r="E124" i="6" s="1"/>
  <c r="E25" i="24"/>
  <c r="G25" i="24" s="1"/>
  <c r="E23" i="24"/>
  <c r="G23" i="24" s="1"/>
  <c r="E19" i="24"/>
  <c r="G19" i="24" s="1"/>
  <c r="E18" i="24"/>
  <c r="G18" i="24" s="1"/>
  <c r="E20" i="24"/>
  <c r="G20" i="24" s="1"/>
  <c r="E21" i="24"/>
  <c r="G21" i="24" s="1"/>
  <c r="E26" i="24"/>
  <c r="G26" i="24" s="1"/>
  <c r="E16" i="24"/>
  <c r="G16" i="24" s="1"/>
  <c r="E24" i="24"/>
  <c r="G24" i="24" s="1"/>
  <c r="E17" i="24"/>
  <c r="G17" i="24" s="1"/>
  <c r="D152" i="6"/>
  <c r="E152" i="6" s="1"/>
  <c r="E15" i="24"/>
  <c r="G15" i="24" s="1"/>
  <c r="D155" i="6"/>
  <c r="E155" i="6" s="1"/>
  <c r="D153" i="6"/>
  <c r="E153" i="6" s="1"/>
  <c r="D113" i="6"/>
  <c r="E113" i="6" s="1"/>
  <c r="E115" i="6" s="1"/>
  <c r="E13" i="24"/>
  <c r="H206" i="15"/>
  <c r="L199" i="15"/>
  <c r="AE106" i="15"/>
  <c r="E205" i="15"/>
  <c r="L219" i="15"/>
  <c r="M189" i="15"/>
  <c r="C216" i="15"/>
  <c r="N209" i="15"/>
  <c r="H196" i="15"/>
  <c r="C227" i="15"/>
  <c r="L202" i="15"/>
  <c r="C193" i="15"/>
  <c r="H222" i="15"/>
  <c r="I227" i="15"/>
  <c r="AE80" i="15"/>
  <c r="E213" i="15"/>
  <c r="C223" i="15"/>
  <c r="N191" i="15"/>
  <c r="D194" i="15"/>
  <c r="E222" i="15"/>
  <c r="I191" i="15"/>
  <c r="N225" i="15"/>
  <c r="I223" i="15"/>
  <c r="C203" i="15"/>
  <c r="N204" i="15"/>
  <c r="AE79" i="15"/>
  <c r="E189" i="15"/>
  <c r="D217" i="15"/>
  <c r="D204" i="15"/>
  <c r="C224" i="15"/>
  <c r="E223" i="15"/>
  <c r="D200" i="15"/>
  <c r="E217" i="15"/>
  <c r="M223" i="15"/>
  <c r="H226" i="15"/>
  <c r="C217" i="15"/>
  <c r="I192" i="15"/>
  <c r="D215" i="15"/>
  <c r="I214" i="15"/>
  <c r="L224" i="15"/>
  <c r="AE69" i="15"/>
  <c r="AE94" i="15"/>
  <c r="N205" i="15"/>
  <c r="H225" i="15"/>
  <c r="D224" i="15"/>
  <c r="D209" i="15"/>
  <c r="AE88" i="15"/>
  <c r="E208" i="15"/>
  <c r="C225" i="15"/>
  <c r="M212" i="15"/>
  <c r="L217" i="15"/>
  <c r="D216" i="15"/>
  <c r="L227" i="15"/>
  <c r="N210" i="15"/>
  <c r="D212" i="15"/>
  <c r="N222" i="15"/>
  <c r="M209" i="15"/>
  <c r="M217" i="15"/>
  <c r="L204" i="15"/>
  <c r="C190" i="15"/>
  <c r="AE105" i="15"/>
  <c r="H195" i="15"/>
  <c r="M219" i="15"/>
  <c r="M210" i="15"/>
  <c r="AE96" i="15"/>
  <c r="M197" i="15"/>
  <c r="M222" i="15"/>
  <c r="N203" i="15"/>
  <c r="E191" i="15"/>
  <c r="I208" i="15"/>
  <c r="D202" i="15"/>
  <c r="L226" i="15"/>
  <c r="C201" i="15"/>
  <c r="I220" i="15"/>
  <c r="C211" i="15"/>
  <c r="D205" i="15"/>
  <c r="M193" i="15"/>
  <c r="I199" i="15"/>
  <c r="M215" i="15"/>
  <c r="L208" i="15"/>
  <c r="AE90" i="15"/>
  <c r="N223" i="15"/>
  <c r="D213" i="15"/>
  <c r="M221" i="15"/>
  <c r="L193" i="15"/>
  <c r="N226" i="15"/>
  <c r="M195" i="15"/>
  <c r="N211" i="15"/>
  <c r="H221" i="15"/>
  <c r="N216" i="15"/>
  <c r="I211" i="15"/>
  <c r="C202" i="15"/>
  <c r="H190" i="15"/>
  <c r="L201" i="15"/>
  <c r="I198" i="15"/>
  <c r="C205" i="15"/>
  <c r="E196" i="15"/>
  <c r="L222" i="15"/>
  <c r="H220" i="15"/>
  <c r="C194" i="15"/>
  <c r="AE85" i="15"/>
  <c r="E193" i="15"/>
  <c r="I205" i="15"/>
  <c r="E219" i="15"/>
  <c r="H213" i="15"/>
  <c r="E203" i="15"/>
  <c r="AE81" i="15"/>
  <c r="C208" i="15"/>
  <c r="I212" i="15"/>
  <c r="I201" i="15"/>
  <c r="H200" i="15"/>
  <c r="I222" i="15"/>
  <c r="I221" i="15"/>
  <c r="L216" i="15"/>
  <c r="N198" i="15"/>
  <c r="C189" i="15"/>
  <c r="H216" i="15"/>
  <c r="AE75" i="15"/>
  <c r="AE95" i="15"/>
  <c r="I200" i="15"/>
  <c r="I217" i="15"/>
  <c r="C212" i="15"/>
  <c r="N220" i="15"/>
  <c r="C209" i="15"/>
  <c r="I218" i="15"/>
  <c r="N200" i="15"/>
  <c r="L194" i="15"/>
  <c r="N196" i="15"/>
  <c r="M214" i="15"/>
  <c r="I207" i="15"/>
  <c r="I228" i="15"/>
  <c r="D218" i="15"/>
  <c r="N221" i="15"/>
  <c r="E212" i="15"/>
  <c r="L214" i="15"/>
  <c r="D196" i="15"/>
  <c r="M216" i="15"/>
  <c r="AE74" i="15"/>
  <c r="D223" i="15"/>
  <c r="L211" i="15"/>
  <c r="L198" i="15"/>
  <c r="E218" i="15"/>
  <c r="E214" i="15"/>
  <c r="E192" i="15"/>
  <c r="L203" i="15"/>
  <c r="I213" i="15"/>
  <c r="E200" i="15"/>
  <c r="D220" i="15"/>
  <c r="H207" i="15"/>
  <c r="D225" i="15"/>
  <c r="AE83" i="15"/>
  <c r="D197" i="15"/>
  <c r="N197" i="15"/>
  <c r="AE84" i="15"/>
  <c r="N215" i="15"/>
  <c r="D201" i="15"/>
  <c r="E227" i="15"/>
  <c r="AE102" i="15"/>
  <c r="D208" i="15"/>
  <c r="L191" i="15"/>
  <c r="AE73" i="15"/>
  <c r="C222" i="15"/>
  <c r="I193" i="15"/>
  <c r="AE70" i="15"/>
  <c r="C197" i="15"/>
  <c r="D199" i="15"/>
  <c r="L195" i="15"/>
  <c r="M227" i="15"/>
  <c r="C219" i="15"/>
  <c r="H203" i="15"/>
  <c r="H208" i="15"/>
  <c r="C192" i="15"/>
  <c r="C221" i="15"/>
  <c r="N207" i="15"/>
  <c r="L197" i="15"/>
  <c r="H191" i="15"/>
  <c r="AE89" i="15"/>
  <c r="H210" i="15"/>
  <c r="L196" i="15"/>
  <c r="H197" i="15"/>
  <c r="E228" i="15"/>
  <c r="D207" i="15"/>
  <c r="H198" i="15"/>
  <c r="D206" i="15"/>
  <c r="L209" i="15"/>
  <c r="M199" i="15"/>
  <c r="E224" i="15"/>
  <c r="M207" i="15"/>
  <c r="E202" i="15"/>
  <c r="M228" i="15"/>
  <c r="H194" i="15"/>
  <c r="E204" i="15"/>
  <c r="H212" i="15"/>
  <c r="E211" i="15"/>
  <c r="AE93" i="15"/>
  <c r="I226" i="15"/>
  <c r="C218" i="15"/>
  <c r="D192" i="15"/>
  <c r="D211" i="15"/>
  <c r="AE78" i="15"/>
  <c r="C213" i="15"/>
  <c r="AE71" i="15"/>
  <c r="AE92" i="15"/>
  <c r="M224" i="15"/>
  <c r="N212" i="15"/>
  <c r="N213" i="15"/>
  <c r="N214" i="15"/>
  <c r="D219" i="15"/>
  <c r="M196" i="15"/>
  <c r="D203" i="15"/>
  <c r="N192" i="15"/>
  <c r="H211" i="15"/>
  <c r="M191" i="15"/>
  <c r="H217" i="15"/>
  <c r="E201" i="15"/>
  <c r="L228" i="15"/>
  <c r="C207" i="15"/>
  <c r="L210" i="15"/>
  <c r="M201" i="15"/>
  <c r="E199" i="15"/>
  <c r="N224" i="15"/>
  <c r="D195" i="15"/>
  <c r="AE76" i="15"/>
  <c r="L221" i="15"/>
  <c r="I203" i="15"/>
  <c r="I189" i="15"/>
  <c r="H228" i="15"/>
  <c r="M220" i="15"/>
  <c r="H224" i="15"/>
  <c r="L189" i="15"/>
  <c r="I190" i="15"/>
  <c r="E209" i="15"/>
  <c r="L190" i="15"/>
  <c r="E216" i="15"/>
  <c r="D227" i="15"/>
  <c r="D226" i="15"/>
  <c r="AE86" i="15"/>
  <c r="I219" i="15"/>
  <c r="AE107" i="15"/>
  <c r="N189" i="15"/>
  <c r="E225" i="15"/>
  <c r="C228" i="15"/>
  <c r="I206" i="15"/>
  <c r="D228" i="15"/>
  <c r="M194" i="15"/>
  <c r="E198" i="15"/>
  <c r="H214" i="15"/>
  <c r="H189" i="15"/>
  <c r="C220" i="15"/>
  <c r="AE99" i="15"/>
  <c r="AE97" i="15"/>
  <c r="L218" i="15"/>
  <c r="N194" i="15"/>
  <c r="I195" i="15"/>
  <c r="L223" i="15"/>
  <c r="D191" i="15"/>
  <c r="E210" i="15"/>
  <c r="I197" i="15"/>
  <c r="H192" i="15"/>
  <c r="N190" i="15"/>
  <c r="M208" i="15"/>
  <c r="D190" i="15"/>
  <c r="H219" i="15"/>
  <c r="M204" i="15"/>
  <c r="M200" i="15"/>
  <c r="AE104" i="15"/>
  <c r="L205" i="15"/>
  <c r="N201" i="15"/>
  <c r="M226" i="15"/>
  <c r="E207" i="15"/>
  <c r="M192" i="15"/>
  <c r="N228" i="15"/>
  <c r="M202" i="15"/>
  <c r="D193" i="15"/>
  <c r="H205" i="15"/>
  <c r="C204" i="15"/>
  <c r="C191" i="15"/>
  <c r="H209" i="15"/>
  <c r="E206" i="15"/>
  <c r="C196" i="15"/>
  <c r="N227" i="15"/>
  <c r="I210" i="15"/>
  <c r="M203" i="15"/>
  <c r="L206" i="15"/>
  <c r="I196" i="15"/>
  <c r="D221" i="15"/>
  <c r="N202" i="15"/>
  <c r="AE77" i="15"/>
  <c r="L212" i="15"/>
  <c r="AE72" i="15"/>
  <c r="C226" i="15"/>
  <c r="E195" i="15"/>
  <c r="C214" i="15"/>
  <c r="E190" i="15"/>
  <c r="D198" i="15"/>
  <c r="D189" i="15"/>
  <c r="M205" i="15"/>
  <c r="E194" i="15"/>
  <c r="AE91" i="15"/>
  <c r="M213" i="15"/>
  <c r="H193" i="15"/>
  <c r="N195" i="15"/>
  <c r="H215" i="15"/>
  <c r="I215" i="15"/>
  <c r="C215" i="15"/>
  <c r="C200" i="15"/>
  <c r="L207" i="15"/>
  <c r="AE100" i="15"/>
  <c r="E226" i="15"/>
  <c r="L213" i="15"/>
  <c r="H202" i="15"/>
  <c r="L225" i="15"/>
  <c r="N208" i="15"/>
  <c r="E215" i="15"/>
  <c r="C210" i="15"/>
  <c r="D214" i="15"/>
  <c r="I216" i="15"/>
  <c r="C198" i="15"/>
  <c r="D222" i="15"/>
  <c r="I204" i="15"/>
  <c r="D210" i="15"/>
  <c r="H199" i="15"/>
  <c r="AE68" i="15"/>
  <c r="I202" i="15"/>
  <c r="C206" i="15"/>
  <c r="I209" i="15"/>
  <c r="H204" i="15"/>
  <c r="M206" i="15"/>
  <c r="N219" i="15"/>
  <c r="E220" i="15"/>
  <c r="L200" i="15"/>
  <c r="AE103" i="15"/>
  <c r="C195" i="15"/>
  <c r="N217" i="15"/>
  <c r="H227" i="15"/>
  <c r="I224" i="15"/>
  <c r="N206" i="15"/>
  <c r="M225" i="15"/>
  <c r="AE101" i="15"/>
  <c r="H201" i="15"/>
  <c r="L220" i="15"/>
  <c r="N193" i="15"/>
  <c r="M218" i="15"/>
  <c r="I225" i="15"/>
  <c r="L192" i="15"/>
  <c r="AE82" i="15"/>
  <c r="M190" i="15"/>
  <c r="C199" i="15"/>
  <c r="E197" i="15"/>
  <c r="M211" i="15"/>
  <c r="H223" i="15"/>
  <c r="I194" i="15"/>
  <c r="H218" i="15"/>
  <c r="AE98" i="15"/>
  <c r="N199" i="15"/>
  <c r="M198" i="15"/>
  <c r="AE87" i="15"/>
  <c r="L215" i="15"/>
  <c r="E221" i="15"/>
  <c r="N218" i="15"/>
  <c r="B17" i="15"/>
  <c r="C81" i="119"/>
  <c r="D81" i="119" s="1"/>
  <c r="I4" i="119"/>
  <c r="C82" i="119" s="1"/>
  <c r="D82" i="119" s="1"/>
  <c r="H4" i="119"/>
  <c r="O99" i="15"/>
  <c r="O87" i="15"/>
  <c r="B220" i="15"/>
  <c r="B208" i="15"/>
  <c r="C78" i="119"/>
  <c r="D78" i="119" s="1"/>
  <c r="H3" i="119"/>
  <c r="I3" i="119"/>
  <c r="C79" i="119" s="1"/>
  <c r="D79" i="119" s="1"/>
  <c r="O105" i="15"/>
  <c r="B210" i="15"/>
  <c r="B226" i="15"/>
  <c r="O89" i="15"/>
  <c r="B143" i="15"/>
  <c r="B153" i="15"/>
  <c r="B165" i="15"/>
  <c r="G140" i="15"/>
  <c r="G145" i="15"/>
  <c r="G147" i="15"/>
  <c r="G143" i="15"/>
  <c r="B155" i="15"/>
  <c r="G141" i="15"/>
  <c r="G158" i="15"/>
  <c r="G173" i="15"/>
  <c r="G148" i="15"/>
  <c r="G144" i="15"/>
  <c r="B154" i="15"/>
  <c r="G161" i="15"/>
  <c r="G149" i="15"/>
  <c r="G163" i="15"/>
  <c r="G171" i="15"/>
  <c r="G164" i="15"/>
  <c r="G165" i="15"/>
  <c r="B142" i="15"/>
  <c r="B156" i="15"/>
  <c r="B139" i="15"/>
  <c r="B149" i="15"/>
  <c r="B181" i="15"/>
  <c r="B172" i="15"/>
  <c r="B158" i="15"/>
  <c r="G159" i="15"/>
  <c r="G157" i="15"/>
  <c r="G175" i="15"/>
  <c r="B160" i="15"/>
  <c r="B170" i="15"/>
  <c r="B140" i="15"/>
  <c r="G172" i="15"/>
  <c r="G139" i="15"/>
  <c r="G177" i="15"/>
  <c r="G153" i="15"/>
  <c r="G142" i="15"/>
  <c r="G179" i="15"/>
  <c r="G181" i="15"/>
  <c r="B177" i="15"/>
  <c r="G162" i="15"/>
  <c r="B145" i="15"/>
  <c r="B176" i="15"/>
  <c r="B144" i="15"/>
  <c r="G170" i="15"/>
  <c r="G160" i="15"/>
  <c r="G150" i="15"/>
  <c r="B168" i="15"/>
  <c r="B147" i="15"/>
  <c r="G156" i="15"/>
  <c r="B157" i="15"/>
  <c r="B169" i="15"/>
  <c r="B167" i="15"/>
  <c r="B146" i="15"/>
  <c r="B174" i="15"/>
  <c r="G174" i="15"/>
  <c r="G169" i="15"/>
  <c r="G178" i="15"/>
  <c r="G180" i="15"/>
  <c r="G167" i="15"/>
  <c r="B171" i="15"/>
  <c r="B152" i="15"/>
  <c r="B148" i="15"/>
  <c r="G166" i="15"/>
  <c r="G176" i="15"/>
  <c r="B166" i="15"/>
  <c r="G168" i="15"/>
  <c r="G155" i="15"/>
  <c r="G154" i="15"/>
  <c r="G152" i="15"/>
  <c r="B162" i="15"/>
  <c r="B175" i="15"/>
  <c r="G146" i="15"/>
  <c r="G151" i="15"/>
  <c r="B159" i="15"/>
  <c r="B150" i="15"/>
  <c r="B164" i="15"/>
  <c r="B151" i="15"/>
  <c r="B178" i="15"/>
  <c r="B180" i="15"/>
  <c r="B227" i="15" l="1"/>
  <c r="O106" i="15"/>
  <c r="O104" i="15"/>
  <c r="B225" i="15"/>
  <c r="B198" i="15"/>
  <c r="O77" i="15"/>
  <c r="O90" i="15"/>
  <c r="B211" i="15"/>
  <c r="B197" i="15"/>
  <c r="O76" i="15"/>
  <c r="B206" i="15"/>
  <c r="O85" i="15"/>
  <c r="O88" i="15"/>
  <c r="B209" i="15"/>
  <c r="O92" i="15"/>
  <c r="B213" i="15"/>
  <c r="O72" i="15"/>
  <c r="B193" i="15"/>
  <c r="B214" i="15"/>
  <c r="O93" i="15"/>
  <c r="B216" i="15"/>
  <c r="O95" i="15"/>
  <c r="B194" i="15"/>
  <c r="O73" i="15"/>
  <c r="O94" i="15"/>
  <c r="B215" i="15"/>
  <c r="O70" i="15"/>
  <c r="B191" i="15"/>
  <c r="B223" i="15"/>
  <c r="O102" i="15"/>
  <c r="B219" i="15"/>
  <c r="O98" i="15"/>
  <c r="O107" i="15"/>
  <c r="B228" i="15"/>
  <c r="B196" i="15"/>
  <c r="O75" i="15"/>
  <c r="B203" i="15"/>
  <c r="O82" i="15"/>
  <c r="B189" i="15"/>
  <c r="O68" i="15"/>
  <c r="O91" i="15"/>
  <c r="B212" i="15"/>
  <c r="B200" i="15"/>
  <c r="O79" i="15"/>
  <c r="O69" i="15"/>
  <c r="B190" i="15"/>
  <c r="B204" i="15"/>
  <c r="O83" i="15"/>
  <c r="O86" i="15"/>
  <c r="B207" i="15"/>
  <c r="O71" i="15"/>
  <c r="B192" i="15"/>
  <c r="O100" i="15"/>
  <c r="B221" i="15"/>
  <c r="O78" i="15"/>
  <c r="B199" i="15"/>
  <c r="B224" i="15"/>
  <c r="O103" i="15"/>
  <c r="O80" i="15"/>
  <c r="B201" i="15"/>
  <c r="O74" i="15"/>
  <c r="B195" i="15"/>
  <c r="O96" i="15"/>
  <c r="B217" i="15"/>
  <c r="O81" i="15"/>
  <c r="B202" i="15"/>
  <c r="B218" i="15"/>
  <c r="O97" i="15"/>
  <c r="O84" i="15"/>
  <c r="B205" i="15"/>
  <c r="O101" i="15"/>
  <c r="B222" i="15"/>
  <c r="C48" i="33"/>
  <c r="D37" i="14"/>
  <c r="G37" i="14"/>
  <c r="E37" i="14"/>
  <c r="W115" i="15"/>
  <c r="F37" i="14"/>
  <c r="C37" i="14"/>
  <c r="H37" i="14"/>
  <c r="E25" i="15" s="1"/>
  <c r="H5" i="119"/>
  <c r="C83" i="119" s="1"/>
  <c r="D83" i="119" s="1"/>
  <c r="C84" i="119"/>
  <c r="D84" i="119" s="1"/>
  <c r="I5" i="119"/>
  <c r="C85" i="119" s="1"/>
  <c r="D85" i="119" s="1"/>
  <c r="E24" i="15"/>
  <c r="G136" i="15"/>
  <c r="F85" i="6"/>
  <c r="C149" i="6" s="1"/>
  <c r="G209" i="15"/>
  <c r="G202" i="15"/>
  <c r="G197" i="15"/>
  <c r="G224" i="15"/>
  <c r="G195" i="15"/>
  <c r="G208" i="15"/>
  <c r="G223" i="15"/>
  <c r="G221" i="15"/>
  <c r="G203" i="15"/>
  <c r="G201" i="15"/>
  <c r="G206" i="15"/>
  <c r="G194" i="15"/>
  <c r="G225" i="15"/>
  <c r="G198" i="15"/>
  <c r="G189" i="15"/>
  <c r="G215" i="15"/>
  <c r="G222" i="15"/>
  <c r="G213" i="15"/>
  <c r="G226" i="15"/>
  <c r="G191" i="15"/>
  <c r="G227" i="15"/>
  <c r="G190" i="15"/>
  <c r="G220" i="15"/>
  <c r="G192" i="15"/>
  <c r="G205" i="15"/>
  <c r="G207" i="15"/>
  <c r="G200" i="15"/>
  <c r="G216" i="15"/>
  <c r="G219" i="15"/>
  <c r="G193" i="15"/>
  <c r="G214" i="15"/>
  <c r="G218" i="15"/>
  <c r="G199" i="15"/>
  <c r="G196" i="15"/>
  <c r="G228" i="15"/>
  <c r="G212" i="15"/>
  <c r="G204" i="15"/>
  <c r="G211" i="15"/>
  <c r="G210" i="15"/>
  <c r="G217" i="15"/>
  <c r="F136" i="15"/>
  <c r="E100" i="34"/>
  <c r="C100" i="34"/>
  <c r="C37" i="34"/>
  <c r="D100" i="34"/>
  <c r="C38" i="34"/>
  <c r="E101" i="34"/>
  <c r="D101" i="34"/>
  <c r="C101" i="34"/>
  <c r="C95" i="34"/>
  <c r="D85" i="34" s="1"/>
  <c r="E95" i="34"/>
  <c r="F85" i="34" s="1"/>
  <c r="F86" i="34" s="1"/>
  <c r="D95" i="34"/>
  <c r="B203" i="119"/>
  <c r="H231" i="15"/>
  <c r="E231" i="15"/>
  <c r="E27" i="24"/>
  <c r="G13" i="24"/>
  <c r="G27" i="24" s="1"/>
  <c r="AE116" i="15"/>
  <c r="L231" i="15"/>
  <c r="E117" i="6"/>
  <c r="L101" i="119"/>
  <c r="C77" i="119"/>
  <c r="D77" i="119" s="1"/>
  <c r="N231" i="15"/>
  <c r="C231" i="15"/>
  <c r="B57" i="15"/>
  <c r="D61" i="34"/>
  <c r="C61" i="34"/>
  <c r="D32" i="34"/>
  <c r="E61" i="34"/>
  <c r="C53" i="34"/>
  <c r="E110" i="34"/>
  <c r="D110" i="34"/>
  <c r="C110" i="34"/>
  <c r="D231" i="15"/>
  <c r="M231" i="15"/>
  <c r="B18" i="15"/>
  <c r="B19" i="15"/>
  <c r="L102" i="119"/>
  <c r="C80" i="119"/>
  <c r="D80" i="119" s="1"/>
  <c r="I231" i="15"/>
  <c r="F179" i="15"/>
  <c r="F143" i="15"/>
  <c r="F167" i="15"/>
  <c r="F160" i="15"/>
  <c r="F142" i="15"/>
  <c r="F146" i="15"/>
  <c r="F152" i="15"/>
  <c r="F181" i="15"/>
  <c r="F165" i="15"/>
  <c r="F170" i="15"/>
  <c r="F151" i="15"/>
  <c r="F178" i="15"/>
  <c r="F163" i="15"/>
  <c r="F149" i="15"/>
  <c r="F175" i="15"/>
  <c r="F157" i="15"/>
  <c r="F174" i="15"/>
  <c r="F172" i="15"/>
  <c r="F173" i="15"/>
  <c r="F148" i="15"/>
  <c r="F144" i="15"/>
  <c r="F162" i="15"/>
  <c r="F145" i="15"/>
  <c r="F169" i="15"/>
  <c r="F166" i="15"/>
  <c r="F176" i="15"/>
  <c r="F156" i="15"/>
  <c r="F159" i="15"/>
  <c r="F154" i="15"/>
  <c r="F180" i="15"/>
  <c r="F168" i="15"/>
  <c r="F171" i="15"/>
  <c r="F139" i="15"/>
  <c r="F147" i="15"/>
  <c r="F158" i="15"/>
  <c r="F153" i="15"/>
  <c r="F161" i="15"/>
  <c r="F155" i="15"/>
  <c r="F164" i="15"/>
  <c r="F141" i="15"/>
  <c r="F150" i="15"/>
  <c r="F140" i="15"/>
  <c r="F177" i="15"/>
  <c r="F217" i="15" l="1"/>
  <c r="F206" i="15"/>
  <c r="F228" i="15"/>
  <c r="F189" i="15"/>
  <c r="F209" i="15"/>
  <c r="F204" i="15"/>
  <c r="F210" i="15"/>
  <c r="F196" i="15"/>
  <c r="F199" i="15"/>
  <c r="F226" i="15"/>
  <c r="F191" i="15"/>
  <c r="F218" i="15"/>
  <c r="F190" i="15"/>
  <c r="F227" i="15"/>
  <c r="F213" i="15"/>
  <c r="F200" i="15"/>
  <c r="F220" i="15"/>
  <c r="F216" i="15"/>
  <c r="F192" i="15"/>
  <c r="F211" i="15"/>
  <c r="F219" i="15"/>
  <c r="B231" i="15"/>
  <c r="B232" i="15" s="1"/>
  <c r="B233" i="15" s="1"/>
  <c r="I32" i="34" s="1"/>
  <c r="O115" i="15"/>
  <c r="B122" i="15" s="1"/>
  <c r="O116" i="15"/>
  <c r="O117" i="15" s="1"/>
  <c r="T48" i="119" s="1"/>
  <c r="E165" i="119" s="1"/>
  <c r="O114" i="15"/>
  <c r="F207" i="15"/>
  <c r="F202" i="15"/>
  <c r="F208" i="15"/>
  <c r="F195" i="15"/>
  <c r="F225" i="15"/>
  <c r="F193" i="15"/>
  <c r="F224" i="15"/>
  <c r="F201" i="15"/>
  <c r="F203" i="15"/>
  <c r="F198" i="15"/>
  <c r="F194" i="15"/>
  <c r="F222" i="15"/>
  <c r="F221" i="15"/>
  <c r="F205" i="15"/>
  <c r="F215" i="15"/>
  <c r="F197" i="15"/>
  <c r="F223" i="15"/>
  <c r="F212" i="15"/>
  <c r="F214" i="15"/>
  <c r="L103" i="119"/>
  <c r="G231" i="15"/>
  <c r="G232" i="15" s="1"/>
  <c r="G233" i="15" s="1"/>
  <c r="I38" i="34" s="1"/>
  <c r="F100" i="34"/>
  <c r="F101" i="34"/>
  <c r="D38" i="34"/>
  <c r="D116" i="34"/>
  <c r="D67" i="34"/>
  <c r="C116" i="34"/>
  <c r="C67" i="34"/>
  <c r="E67" i="34"/>
  <c r="E116" i="34"/>
  <c r="E66" i="34"/>
  <c r="D66" i="34"/>
  <c r="E115" i="34"/>
  <c r="C115" i="34"/>
  <c r="D37" i="34"/>
  <c r="D115" i="34"/>
  <c r="C66" i="34"/>
  <c r="C54" i="34"/>
  <c r="F95" i="34"/>
  <c r="G85" i="34" s="1"/>
  <c r="G86" i="34" s="1"/>
  <c r="E85" i="34"/>
  <c r="E86" i="34" s="1"/>
  <c r="C203" i="119"/>
  <c r="D203" i="119" s="1"/>
  <c r="I232" i="15"/>
  <c r="M232" i="15"/>
  <c r="D232" i="15"/>
  <c r="E232" i="15"/>
  <c r="H232" i="15"/>
  <c r="L232" i="15"/>
  <c r="C232" i="15"/>
  <c r="N232" i="15"/>
  <c r="F110" i="34"/>
  <c r="P106" i="15"/>
  <c r="P84" i="15"/>
  <c r="P107" i="15"/>
  <c r="P93" i="15"/>
  <c r="P101" i="15"/>
  <c r="P72" i="15"/>
  <c r="P104" i="15"/>
  <c r="P92" i="15"/>
  <c r="P75" i="15"/>
  <c r="P94" i="15"/>
  <c r="P98" i="15"/>
  <c r="P82" i="15"/>
  <c r="P81" i="15"/>
  <c r="P95" i="15"/>
  <c r="P80" i="15"/>
  <c r="P70" i="15"/>
  <c r="P105" i="15"/>
  <c r="P103" i="15"/>
  <c r="P91" i="15"/>
  <c r="P85" i="15"/>
  <c r="P99" i="15"/>
  <c r="P88" i="15"/>
  <c r="P86" i="15"/>
  <c r="P79" i="15"/>
  <c r="P89" i="15"/>
  <c r="P73" i="15"/>
  <c r="P76" i="15"/>
  <c r="P100" i="15"/>
  <c r="P83" i="15"/>
  <c r="P78" i="15"/>
  <c r="P96" i="15"/>
  <c r="P90" i="15"/>
  <c r="P69" i="15"/>
  <c r="P87" i="15"/>
  <c r="P97" i="15"/>
  <c r="P77" i="15"/>
  <c r="P71" i="15"/>
  <c r="P102" i="15"/>
  <c r="P74" i="15"/>
  <c r="P68" i="15"/>
  <c r="C22" i="33"/>
  <c r="D86" i="34"/>
  <c r="AC55" i="15"/>
  <c r="AC57" i="15" s="1"/>
  <c r="C5" i="24"/>
  <c r="C90" i="6"/>
  <c r="C122" i="6" s="1"/>
  <c r="F231" i="15" l="1"/>
  <c r="F232" i="15" s="1"/>
  <c r="F233" i="15" s="1"/>
  <c r="I37" i="34" s="1"/>
  <c r="F116" i="34"/>
  <c r="F115" i="34"/>
  <c r="B204" i="119"/>
  <c r="C204" i="119" s="1"/>
  <c r="B205" i="119" s="1"/>
  <c r="J36" i="33"/>
  <c r="C21" i="33"/>
  <c r="C23" i="33"/>
  <c r="D121" i="6"/>
  <c r="E121" i="6" s="1"/>
  <c r="D122" i="6"/>
  <c r="D123" i="6"/>
  <c r="E123" i="6" s="1"/>
  <c r="D125" i="6"/>
  <c r="E125" i="6" s="1"/>
  <c r="D118" i="6"/>
  <c r="E118" i="6" s="1"/>
  <c r="D105" i="6"/>
  <c r="E105" i="6" s="1"/>
  <c r="E106" i="6" s="1"/>
  <c r="E108" i="6" s="1"/>
  <c r="B52" i="15" s="1"/>
  <c r="K65" i="15" s="1"/>
  <c r="P114" i="15"/>
  <c r="P116" i="15"/>
  <c r="P117" i="15" s="1"/>
  <c r="U48" i="119" s="1"/>
  <c r="E166" i="119" s="1"/>
  <c r="P115" i="15"/>
  <c r="B123" i="15" s="1"/>
  <c r="C38" i="33"/>
  <c r="D204" i="119" l="1"/>
  <c r="C205" i="119"/>
  <c r="D205" i="119" s="1"/>
  <c r="C53" i="33"/>
  <c r="C55" i="33" s="1"/>
  <c r="E122" i="6"/>
  <c r="C68" i="33"/>
  <c r="C26" i="33" s="1"/>
  <c r="C24" i="33"/>
  <c r="K114" i="15"/>
  <c r="K116" i="15"/>
  <c r="K117" i="15" s="1"/>
  <c r="Q48" i="119" s="1"/>
  <c r="E162" i="119" s="1"/>
  <c r="K115" i="15"/>
  <c r="J133" i="15" l="1"/>
  <c r="F42" i="34" s="1"/>
  <c r="B206" i="119"/>
  <c r="C54" i="33"/>
  <c r="C107" i="33"/>
  <c r="C99" i="33"/>
  <c r="C95" i="33"/>
  <c r="C83" i="33"/>
  <c r="C106" i="33"/>
  <c r="C82" i="33"/>
  <c r="C94" i="33"/>
  <c r="C98" i="33"/>
  <c r="C56" i="33"/>
  <c r="C57" i="33"/>
  <c r="C75" i="33"/>
  <c r="C70" i="33"/>
  <c r="C71" i="33" s="1"/>
  <c r="C74" i="33"/>
  <c r="J31" i="33" s="1"/>
  <c r="J34" i="33" s="1"/>
  <c r="J131" i="15" l="1"/>
  <c r="J185" i="15" s="1"/>
  <c r="D87" i="34"/>
  <c r="D88" i="34" s="1"/>
  <c r="F47" i="34"/>
  <c r="C47" i="34" s="1"/>
  <c r="K139" i="15"/>
  <c r="K140" i="15"/>
  <c r="K141" i="15"/>
  <c r="K142" i="15"/>
  <c r="Q68" i="15" s="1"/>
  <c r="K143" i="15"/>
  <c r="Q69" i="15" s="1"/>
  <c r="K144" i="15"/>
  <c r="Q70" i="15" s="1"/>
  <c r="K145" i="15"/>
  <c r="Q71" i="15" s="1"/>
  <c r="K146" i="15"/>
  <c r="Q72" i="15" s="1"/>
  <c r="K147" i="15"/>
  <c r="Q73" i="15" s="1"/>
  <c r="K148" i="15"/>
  <c r="Q74" i="15" s="1"/>
  <c r="K149" i="15"/>
  <c r="Q75" i="15" s="1"/>
  <c r="K150" i="15"/>
  <c r="Q76" i="15" s="1"/>
  <c r="K151" i="15"/>
  <c r="Q77" i="15" s="1"/>
  <c r="K152" i="15"/>
  <c r="Q78" i="15" s="1"/>
  <c r="K153" i="15"/>
  <c r="Q79" i="15" s="1"/>
  <c r="K154" i="15"/>
  <c r="Q80" i="15" s="1"/>
  <c r="K155" i="15"/>
  <c r="Q81" i="15" s="1"/>
  <c r="K156" i="15"/>
  <c r="Q82" i="15" s="1"/>
  <c r="K157" i="15"/>
  <c r="Q83" i="15" s="1"/>
  <c r="K158" i="15"/>
  <c r="Q84" i="15" s="1"/>
  <c r="K159" i="15"/>
  <c r="Q85" i="15" s="1"/>
  <c r="K160" i="15"/>
  <c r="Q86" i="15" s="1"/>
  <c r="K161" i="15"/>
  <c r="Q87" i="15" s="1"/>
  <c r="K162" i="15"/>
  <c r="Q88" i="15" s="1"/>
  <c r="K163" i="15"/>
  <c r="Q89" i="15" s="1"/>
  <c r="K164" i="15"/>
  <c r="Q90" i="15" s="1"/>
  <c r="K165" i="15"/>
  <c r="Q91" i="15" s="1"/>
  <c r="K166" i="15"/>
  <c r="Q92" i="15" s="1"/>
  <c r="K167" i="15"/>
  <c r="Q93" i="15" s="1"/>
  <c r="K168" i="15"/>
  <c r="Q94" i="15" s="1"/>
  <c r="K169" i="15"/>
  <c r="Q95" i="15" s="1"/>
  <c r="K170" i="15"/>
  <c r="Q96" i="15" s="1"/>
  <c r="K171" i="15"/>
  <c r="Q97" i="15" s="1"/>
  <c r="K172" i="15"/>
  <c r="Q98" i="15" s="1"/>
  <c r="K173" i="15"/>
  <c r="Q99" i="15" s="1"/>
  <c r="K174" i="15"/>
  <c r="Q100" i="15" s="1"/>
  <c r="K175" i="15"/>
  <c r="Q101" i="15" s="1"/>
  <c r="K176" i="15"/>
  <c r="Q102" i="15" s="1"/>
  <c r="K177" i="15"/>
  <c r="Q103" i="15" s="1"/>
  <c r="K178" i="15"/>
  <c r="Q104" i="15" s="1"/>
  <c r="K179" i="15"/>
  <c r="Q105" i="15" s="1"/>
  <c r="K180" i="15"/>
  <c r="Q106" i="15" s="1"/>
  <c r="K181" i="15"/>
  <c r="Q107" i="15" s="1"/>
  <c r="C206" i="119"/>
  <c r="D206" i="119" s="1"/>
  <c r="C100" i="33"/>
  <c r="E18" i="17" s="1"/>
  <c r="F18" i="17" s="1"/>
  <c r="C58" i="33"/>
  <c r="J40" i="33"/>
  <c r="J22" i="33"/>
  <c r="G21" i="34"/>
  <c r="K45" i="33"/>
  <c r="J25" i="33"/>
  <c r="C78" i="33"/>
  <c r="J38" i="33" s="1"/>
  <c r="J23" i="33"/>
  <c r="C86" i="33"/>
  <c r="J39" i="33" s="1"/>
  <c r="J24" i="33"/>
  <c r="J41" i="33" l="1"/>
  <c r="J135" i="15"/>
  <c r="J137" i="15"/>
  <c r="J132" i="15"/>
  <c r="J136" i="15" s="1"/>
  <c r="B42" i="34"/>
  <c r="H42" i="34" s="1"/>
  <c r="J134" i="15"/>
  <c r="K224" i="15"/>
  <c r="K216" i="15"/>
  <c r="K208" i="15"/>
  <c r="K200" i="15"/>
  <c r="K192" i="15"/>
  <c r="K223" i="15"/>
  <c r="K215" i="15"/>
  <c r="K207" i="15"/>
  <c r="K199" i="15"/>
  <c r="K191" i="15"/>
  <c r="K222" i="15"/>
  <c r="K214" i="15"/>
  <c r="K206" i="15"/>
  <c r="K198" i="15"/>
  <c r="K190" i="15"/>
  <c r="K221" i="15"/>
  <c r="K213" i="15"/>
  <c r="K205" i="15"/>
  <c r="K197" i="15"/>
  <c r="K189" i="15"/>
  <c r="K228" i="15"/>
  <c r="K220" i="15"/>
  <c r="K212" i="15"/>
  <c r="K204" i="15"/>
  <c r="K196" i="15"/>
  <c r="K227" i="15"/>
  <c r="K219" i="15"/>
  <c r="K211" i="15"/>
  <c r="K203" i="15"/>
  <c r="K195" i="15"/>
  <c r="K226" i="15"/>
  <c r="K218" i="15"/>
  <c r="K210" i="15"/>
  <c r="K202" i="15"/>
  <c r="K194" i="15"/>
  <c r="K225" i="15"/>
  <c r="K217" i="15"/>
  <c r="K209" i="15"/>
  <c r="K201" i="15"/>
  <c r="K193" i="15"/>
  <c r="D47" i="34"/>
  <c r="C57" i="34"/>
  <c r="B207" i="119"/>
  <c r="E46" i="17"/>
  <c r="F46" i="17" s="1"/>
  <c r="E27" i="17"/>
  <c r="F27" i="17" s="1"/>
  <c r="E26" i="17"/>
  <c r="F26" i="17" s="1"/>
  <c r="E47" i="17"/>
  <c r="F47" i="17" s="1"/>
  <c r="E29" i="17"/>
  <c r="F29" i="17" s="1"/>
  <c r="E21" i="17"/>
  <c r="F21" i="17" s="1"/>
  <c r="E42" i="17"/>
  <c r="F42" i="17" s="1"/>
  <c r="E40" i="17"/>
  <c r="F40" i="17" s="1"/>
  <c r="E36" i="17"/>
  <c r="F36" i="17" s="1"/>
  <c r="E25" i="17"/>
  <c r="F25" i="17" s="1"/>
  <c r="E32" i="17"/>
  <c r="F32" i="17" s="1"/>
  <c r="E53" i="17"/>
  <c r="F53" i="17" s="1"/>
  <c r="E39" i="17"/>
  <c r="F39" i="17" s="1"/>
  <c r="E43" i="17"/>
  <c r="F43" i="17" s="1"/>
  <c r="E31" i="17"/>
  <c r="F31" i="17" s="1"/>
  <c r="E57" i="17"/>
  <c r="F57" i="17" s="1"/>
  <c r="E28" i="17"/>
  <c r="F28" i="17" s="1"/>
  <c r="E20" i="17"/>
  <c r="F20" i="17" s="1"/>
  <c r="E54" i="17"/>
  <c r="F54" i="17" s="1"/>
  <c r="E30" i="17"/>
  <c r="F30" i="17" s="1"/>
  <c r="E45" i="17"/>
  <c r="F45" i="17" s="1"/>
  <c r="E24" i="17"/>
  <c r="F24" i="17" s="1"/>
  <c r="E50" i="17"/>
  <c r="F50" i="17" s="1"/>
  <c r="E49" i="17"/>
  <c r="F49" i="17" s="1"/>
  <c r="E19" i="17"/>
  <c r="F19" i="17" s="1"/>
  <c r="E38" i="17"/>
  <c r="F38" i="17" s="1"/>
  <c r="E34" i="17"/>
  <c r="F34" i="17" s="1"/>
  <c r="E35" i="17"/>
  <c r="F35" i="17" s="1"/>
  <c r="E52" i="17"/>
  <c r="F52" i="17" s="1"/>
  <c r="E33" i="17"/>
  <c r="F33" i="17" s="1"/>
  <c r="E37" i="17"/>
  <c r="F37" i="17" s="1"/>
  <c r="E41" i="17"/>
  <c r="F41" i="17" s="1"/>
  <c r="J27" i="33"/>
  <c r="E51" i="17"/>
  <c r="F51" i="17" s="1"/>
  <c r="E55" i="17"/>
  <c r="F55" i="17" s="1"/>
  <c r="E48" i="17"/>
  <c r="F48" i="17" s="1"/>
  <c r="E22" i="17"/>
  <c r="F22" i="17" s="1"/>
  <c r="E44" i="17"/>
  <c r="F44" i="17" s="1"/>
  <c r="E23" i="17"/>
  <c r="F23" i="17" s="1"/>
  <c r="E56" i="17"/>
  <c r="F56" i="17" s="1"/>
  <c r="G20" i="34"/>
  <c r="H21" i="34"/>
  <c r="J26" i="33"/>
  <c r="J150" i="15"/>
  <c r="J155" i="15"/>
  <c r="J159" i="15"/>
  <c r="J179" i="15"/>
  <c r="J175" i="15"/>
  <c r="J145" i="15"/>
  <c r="J165" i="15"/>
  <c r="J142" i="15"/>
  <c r="J174" i="15"/>
  <c r="J166" i="15"/>
  <c r="J173" i="15"/>
  <c r="J164" i="15"/>
  <c r="J168" i="15"/>
  <c r="J146" i="15"/>
  <c r="J177" i="15"/>
  <c r="J139" i="15"/>
  <c r="J148" i="15"/>
  <c r="J140" i="15"/>
  <c r="J167" i="15"/>
  <c r="J172" i="15"/>
  <c r="J143" i="15"/>
  <c r="J170" i="15"/>
  <c r="J144" i="15"/>
  <c r="J178" i="15"/>
  <c r="J162" i="15"/>
  <c r="J160" i="15"/>
  <c r="J181" i="15"/>
  <c r="J154" i="15"/>
  <c r="J169" i="15"/>
  <c r="J158" i="15"/>
  <c r="J157" i="15"/>
  <c r="J151" i="15"/>
  <c r="J176" i="15"/>
  <c r="J153" i="15"/>
  <c r="J141" i="15"/>
  <c r="J161" i="15"/>
  <c r="J180" i="15"/>
  <c r="J171" i="15"/>
  <c r="E42" i="34" l="1"/>
  <c r="C42" i="34" s="1"/>
  <c r="C55" i="34" s="1"/>
  <c r="D52" i="34" s="1"/>
  <c r="B71" i="34"/>
  <c r="B120" i="34"/>
  <c r="B105" i="34"/>
  <c r="G42" i="34"/>
  <c r="J197" i="15"/>
  <c r="Q116" i="15"/>
  <c r="Q118" i="15" s="1"/>
  <c r="L48" i="119" s="1"/>
  <c r="E156" i="119" s="1"/>
  <c r="Q115" i="15"/>
  <c r="B124" i="15" s="1"/>
  <c r="Q114" i="15"/>
  <c r="K231" i="15"/>
  <c r="K232" i="15" s="1"/>
  <c r="K233" i="15" s="1"/>
  <c r="I47" i="34" s="1"/>
  <c r="J225" i="15"/>
  <c r="J205" i="15"/>
  <c r="J227" i="15"/>
  <c r="J215" i="15"/>
  <c r="J189" i="15"/>
  <c r="J223" i="15"/>
  <c r="J209" i="15"/>
  <c r="J206" i="15"/>
  <c r="J208" i="15"/>
  <c r="J218" i="15"/>
  <c r="J226" i="15"/>
  <c r="J216" i="15"/>
  <c r="J195" i="15"/>
  <c r="J201" i="15"/>
  <c r="J202" i="15"/>
  <c r="J217" i="15"/>
  <c r="J211" i="15"/>
  <c r="J190" i="15"/>
  <c r="J198" i="15"/>
  <c r="J193" i="15"/>
  <c r="J207" i="15"/>
  <c r="J212" i="15"/>
  <c r="J214" i="15"/>
  <c r="J191" i="15"/>
  <c r="J219" i="15"/>
  <c r="J192" i="15"/>
  <c r="J220" i="15"/>
  <c r="J213" i="15"/>
  <c r="J222" i="15"/>
  <c r="J224" i="15"/>
  <c r="J204" i="15"/>
  <c r="J228" i="15"/>
  <c r="J221" i="15"/>
  <c r="J200" i="15"/>
  <c r="C207" i="119"/>
  <c r="D207" i="119" s="1"/>
  <c r="E160" i="6"/>
  <c r="B58" i="15" s="1"/>
  <c r="C91" i="6"/>
  <c r="J43" i="33"/>
  <c r="K46" i="33" s="1"/>
  <c r="G19" i="34"/>
  <c r="G22" i="34" s="1"/>
  <c r="K47" i="33"/>
  <c r="H19" i="34" s="1"/>
  <c r="J152" i="15"/>
  <c r="J147" i="15"/>
  <c r="J156" i="15"/>
  <c r="J149" i="15"/>
  <c r="J163" i="15"/>
  <c r="C100" i="6" l="1"/>
  <c r="E100" i="6" s="1"/>
  <c r="C94" i="6"/>
  <c r="E94" i="6" s="1"/>
  <c r="C97" i="6"/>
  <c r="E97" i="6" s="1"/>
  <c r="J196" i="15"/>
  <c r="J210" i="15"/>
  <c r="J194" i="15"/>
  <c r="J203" i="15"/>
  <c r="J199" i="15"/>
  <c r="E105" i="34"/>
  <c r="F83" i="34" s="1"/>
  <c r="F89" i="34" s="1"/>
  <c r="C105" i="34"/>
  <c r="D83" i="34" s="1"/>
  <c r="D84" i="34" s="1"/>
  <c r="E162" i="6" s="1"/>
  <c r="D105" i="34"/>
  <c r="E83" i="34" s="1"/>
  <c r="E84" i="34" s="1"/>
  <c r="B208" i="119"/>
  <c r="C120" i="34"/>
  <c r="C121" i="34" s="1"/>
  <c r="D77" i="34" s="1"/>
  <c r="D120" i="34"/>
  <c r="D121" i="34" s="1"/>
  <c r="E77" i="34" s="1"/>
  <c r="E120" i="34"/>
  <c r="E121" i="34" s="1"/>
  <c r="F77" i="34" s="1"/>
  <c r="C71" i="34"/>
  <c r="E71" i="34"/>
  <c r="D71" i="34"/>
  <c r="D42" i="34"/>
  <c r="H20" i="34"/>
  <c r="H22" i="34" s="1"/>
  <c r="K48" i="33"/>
  <c r="R104" i="15"/>
  <c r="R88" i="15"/>
  <c r="R77" i="15"/>
  <c r="R74" i="15"/>
  <c r="R68" i="15"/>
  <c r="R100" i="15"/>
  <c r="R96" i="15"/>
  <c r="R92" i="15"/>
  <c r="R71" i="15"/>
  <c r="R79" i="15"/>
  <c r="R103" i="15"/>
  <c r="R91" i="15"/>
  <c r="R87" i="15"/>
  <c r="R69" i="15"/>
  <c r="R107" i="15"/>
  <c r="R99" i="15"/>
  <c r="R95" i="15"/>
  <c r="R70" i="15"/>
  <c r="R81" i="15"/>
  <c r="R78" i="15"/>
  <c r="R98" i="15"/>
  <c r="R94" i="15"/>
  <c r="R86" i="15"/>
  <c r="R85" i="15"/>
  <c r="R75" i="15"/>
  <c r="R106" i="15"/>
  <c r="R102" i="15"/>
  <c r="R90" i="15"/>
  <c r="R83" i="15"/>
  <c r="R80" i="15"/>
  <c r="R76" i="15"/>
  <c r="R105" i="15"/>
  <c r="R101" i="15"/>
  <c r="R97" i="15"/>
  <c r="R93" i="15"/>
  <c r="R89" i="15"/>
  <c r="R72" i="15"/>
  <c r="R84" i="15"/>
  <c r="R82" i="15"/>
  <c r="R73" i="15"/>
  <c r="C95" i="6"/>
  <c r="E95" i="6" s="1"/>
  <c r="J231" i="15" l="1"/>
  <c r="J232" i="15" s="1"/>
  <c r="J233" i="15" s="1"/>
  <c r="D89" i="34"/>
  <c r="D78" i="34" s="1"/>
  <c r="D80" i="34" s="1"/>
  <c r="F84" i="34"/>
  <c r="E89" i="34"/>
  <c r="E90" i="34" s="1"/>
  <c r="F105" i="34"/>
  <c r="G83" i="34" s="1"/>
  <c r="G84" i="34" s="1"/>
  <c r="C208" i="119"/>
  <c r="D208" i="119" s="1"/>
  <c r="F120" i="34"/>
  <c r="F121" i="34" s="1"/>
  <c r="G77" i="34" s="1"/>
  <c r="E164" i="6" s="1"/>
  <c r="E165" i="6" s="1"/>
  <c r="E101" i="6"/>
  <c r="G26" i="17" s="1"/>
  <c r="H26" i="17" s="1"/>
  <c r="I76" i="15" s="1"/>
  <c r="R114" i="15"/>
  <c r="R116" i="15"/>
  <c r="R117" i="15" s="1"/>
  <c r="V48" i="119" s="1"/>
  <c r="E167" i="119" s="1"/>
  <c r="R115" i="15"/>
  <c r="B125" i="15" s="1"/>
  <c r="F78" i="34"/>
  <c r="F80" i="34" s="1"/>
  <c r="F90" i="34"/>
  <c r="G89" i="34" l="1"/>
  <c r="G90" i="34" s="1"/>
  <c r="D90" i="34"/>
  <c r="E78" i="34"/>
  <c r="E80" i="34" s="1"/>
  <c r="B209" i="119"/>
  <c r="G49" i="17"/>
  <c r="H49" i="17" s="1"/>
  <c r="I99" i="15" s="1"/>
  <c r="B83" i="14" s="1"/>
  <c r="G37" i="17"/>
  <c r="H37" i="17" s="1"/>
  <c r="I87" i="15" s="1"/>
  <c r="B71" i="14" s="1"/>
  <c r="G20" i="17"/>
  <c r="H20" i="17" s="1"/>
  <c r="I70" i="15" s="1"/>
  <c r="B54" i="14" s="1"/>
  <c r="G43" i="17"/>
  <c r="H43" i="17" s="1"/>
  <c r="I93" i="15" s="1"/>
  <c r="B77" i="14" s="1"/>
  <c r="G39" i="17"/>
  <c r="H39" i="17" s="1"/>
  <c r="I89" i="15" s="1"/>
  <c r="B73" i="14" s="1"/>
  <c r="G30" i="17"/>
  <c r="H30" i="17" s="1"/>
  <c r="I80" i="15" s="1"/>
  <c r="B64" i="14" s="1"/>
  <c r="G54" i="17"/>
  <c r="H54" i="17" s="1"/>
  <c r="I104" i="15" s="1"/>
  <c r="B88" i="14" s="1"/>
  <c r="G40" i="17"/>
  <c r="H40" i="17" s="1"/>
  <c r="I90" i="15" s="1"/>
  <c r="B74" i="14" s="1"/>
  <c r="G18" i="17"/>
  <c r="H18" i="17" s="1"/>
  <c r="I68" i="15" s="1"/>
  <c r="G47" i="17"/>
  <c r="H47" i="17" s="1"/>
  <c r="I97" i="15" s="1"/>
  <c r="B81" i="14" s="1"/>
  <c r="G46" i="17"/>
  <c r="H46" i="17" s="1"/>
  <c r="I96" i="15" s="1"/>
  <c r="B80" i="14" s="1"/>
  <c r="G57" i="17"/>
  <c r="H57" i="17" s="1"/>
  <c r="I107" i="15" s="1"/>
  <c r="B91" i="14" s="1"/>
  <c r="G23" i="17"/>
  <c r="H23" i="17" s="1"/>
  <c r="I73" i="15" s="1"/>
  <c r="B57" i="14" s="1"/>
  <c r="G56" i="17"/>
  <c r="H56" i="17" s="1"/>
  <c r="I106" i="15" s="1"/>
  <c r="B90" i="14" s="1"/>
  <c r="G53" i="17"/>
  <c r="H53" i="17" s="1"/>
  <c r="I103" i="15" s="1"/>
  <c r="B87" i="14" s="1"/>
  <c r="G51" i="17"/>
  <c r="H51" i="17" s="1"/>
  <c r="I101" i="15" s="1"/>
  <c r="B85" i="14" s="1"/>
  <c r="G25" i="17"/>
  <c r="H25" i="17" s="1"/>
  <c r="I75" i="15" s="1"/>
  <c r="B59" i="14" s="1"/>
  <c r="G38" i="17"/>
  <c r="H38" i="17" s="1"/>
  <c r="I88" i="15" s="1"/>
  <c r="B72" i="14" s="1"/>
  <c r="G34" i="17"/>
  <c r="H34" i="17" s="1"/>
  <c r="I84" i="15" s="1"/>
  <c r="B68" i="14" s="1"/>
  <c r="G31" i="17"/>
  <c r="H31" i="17" s="1"/>
  <c r="I81" i="15" s="1"/>
  <c r="B65" i="14" s="1"/>
  <c r="G19" i="17"/>
  <c r="H19" i="17" s="1"/>
  <c r="I69" i="15" s="1"/>
  <c r="B53" i="14" s="1"/>
  <c r="C110" i="6"/>
  <c r="C15" i="34" s="1"/>
  <c r="G50" i="17"/>
  <c r="H50" i="17" s="1"/>
  <c r="I100" i="15" s="1"/>
  <c r="B84" i="14" s="1"/>
  <c r="G27" i="17"/>
  <c r="H27" i="17" s="1"/>
  <c r="I77" i="15" s="1"/>
  <c r="B61" i="14" s="1"/>
  <c r="G21" i="17"/>
  <c r="H21" i="17" s="1"/>
  <c r="I71" i="15" s="1"/>
  <c r="B55" i="14" s="1"/>
  <c r="G48" i="17"/>
  <c r="H48" i="17" s="1"/>
  <c r="I98" i="15" s="1"/>
  <c r="B82" i="14" s="1"/>
  <c r="G42" i="17"/>
  <c r="H42" i="17" s="1"/>
  <c r="I92" i="15" s="1"/>
  <c r="B76" i="14" s="1"/>
  <c r="G35" i="17"/>
  <c r="H35" i="17" s="1"/>
  <c r="I85" i="15" s="1"/>
  <c r="B69" i="14" s="1"/>
  <c r="G32" i="17"/>
  <c r="H32" i="17" s="1"/>
  <c r="I82" i="15" s="1"/>
  <c r="B66" i="14" s="1"/>
  <c r="G55" i="17"/>
  <c r="H55" i="17" s="1"/>
  <c r="I105" i="15" s="1"/>
  <c r="B89" i="14" s="1"/>
  <c r="G41" i="17"/>
  <c r="H41" i="17" s="1"/>
  <c r="I91" i="15" s="1"/>
  <c r="B75" i="14" s="1"/>
  <c r="G24" i="17"/>
  <c r="H24" i="17" s="1"/>
  <c r="I74" i="15" s="1"/>
  <c r="B58" i="14" s="1"/>
  <c r="G22" i="17"/>
  <c r="H22" i="17" s="1"/>
  <c r="I72" i="15" s="1"/>
  <c r="B56" i="14" s="1"/>
  <c r="G33" i="17"/>
  <c r="H33" i="17" s="1"/>
  <c r="I83" i="15" s="1"/>
  <c r="B67" i="14" s="1"/>
  <c r="G44" i="17"/>
  <c r="H44" i="17" s="1"/>
  <c r="I94" i="15" s="1"/>
  <c r="B78" i="14" s="1"/>
  <c r="G52" i="17"/>
  <c r="H52" i="17" s="1"/>
  <c r="I102" i="15" s="1"/>
  <c r="B86" i="14" s="1"/>
  <c r="G36" i="17"/>
  <c r="H36" i="17" s="1"/>
  <c r="I86" i="15" s="1"/>
  <c r="B70" i="14" s="1"/>
  <c r="G45" i="17"/>
  <c r="H45" i="17" s="1"/>
  <c r="I95" i="15" s="1"/>
  <c r="B79" i="14" s="1"/>
  <c r="G29" i="17"/>
  <c r="H29" i="17" s="1"/>
  <c r="I79" i="15" s="1"/>
  <c r="B63" i="14" s="1"/>
  <c r="G28" i="17"/>
  <c r="H28" i="17" s="1"/>
  <c r="I78" i="15" s="1"/>
  <c r="B62" i="14" s="1"/>
  <c r="B60" i="14"/>
  <c r="G78" i="34" l="1"/>
  <c r="G80" i="34" s="1"/>
  <c r="C209" i="119"/>
  <c r="D209" i="119" s="1"/>
  <c r="B51" i="15"/>
  <c r="H65" i="15" s="1"/>
  <c r="E120" i="6"/>
  <c r="E126" i="6" s="1"/>
  <c r="C9" i="119" s="1"/>
  <c r="I199" i="119" s="1"/>
  <c r="C8" i="119"/>
  <c r="I116" i="15"/>
  <c r="I117" i="15" s="1"/>
  <c r="O48" i="119" s="1"/>
  <c r="E160" i="119" s="1"/>
  <c r="I114" i="15"/>
  <c r="I115" i="15"/>
  <c r="F60" i="14"/>
  <c r="Q60" i="14"/>
  <c r="U60" i="14"/>
  <c r="H60" i="14"/>
  <c r="T60" i="14"/>
  <c r="D60" i="14"/>
  <c r="O60" i="14"/>
  <c r="P60" i="14"/>
  <c r="K60" i="14"/>
  <c r="L60" i="14"/>
  <c r="V60" i="14"/>
  <c r="I60" i="14"/>
  <c r="R60" i="14"/>
  <c r="J60" i="14"/>
  <c r="S60" i="14"/>
  <c r="M60" i="14"/>
  <c r="E60" i="14"/>
  <c r="N60" i="14"/>
  <c r="G60" i="14"/>
  <c r="C60" i="14"/>
  <c r="W60" i="14"/>
  <c r="F79" i="14"/>
  <c r="S79" i="14"/>
  <c r="G79" i="14"/>
  <c r="O79" i="14"/>
  <c r="J79" i="14"/>
  <c r="N79" i="14"/>
  <c r="T79" i="14"/>
  <c r="K79" i="14"/>
  <c r="M79" i="14"/>
  <c r="U79" i="14"/>
  <c r="D79" i="14"/>
  <c r="L79" i="14"/>
  <c r="H79" i="14"/>
  <c r="P79" i="14"/>
  <c r="I79" i="14"/>
  <c r="V79" i="14"/>
  <c r="Q79" i="14"/>
  <c r="R79" i="14"/>
  <c r="E79" i="14"/>
  <c r="W79" i="14"/>
  <c r="C79" i="14"/>
  <c r="R74" i="14"/>
  <c r="H74" i="14"/>
  <c r="N74" i="14"/>
  <c r="K74" i="14"/>
  <c r="U74" i="14"/>
  <c r="M74" i="14"/>
  <c r="D74" i="14"/>
  <c r="L74" i="14"/>
  <c r="T74" i="14"/>
  <c r="V74" i="14"/>
  <c r="S74" i="14"/>
  <c r="G74" i="14"/>
  <c r="W74" i="14"/>
  <c r="J74" i="14"/>
  <c r="I74" i="14"/>
  <c r="Q74" i="14"/>
  <c r="E74" i="14"/>
  <c r="F74" i="14"/>
  <c r="P74" i="14"/>
  <c r="O74" i="14"/>
  <c r="C74" i="14"/>
  <c r="G56" i="14"/>
  <c r="U56" i="14"/>
  <c r="L56" i="14"/>
  <c r="R56" i="14"/>
  <c r="T56" i="14"/>
  <c r="H56" i="14"/>
  <c r="D56" i="14"/>
  <c r="I56" i="14"/>
  <c r="O56" i="14"/>
  <c r="K56" i="14"/>
  <c r="J56" i="14"/>
  <c r="S56" i="14"/>
  <c r="N56" i="14"/>
  <c r="F56" i="14"/>
  <c r="M56" i="14"/>
  <c r="Q56" i="14"/>
  <c r="E56" i="14"/>
  <c r="P56" i="14"/>
  <c r="V56" i="14"/>
  <c r="C56" i="14"/>
  <c r="W56" i="14"/>
  <c r="I73" i="14"/>
  <c r="N73" i="14"/>
  <c r="R73" i="14"/>
  <c r="H73" i="14"/>
  <c r="E73" i="14"/>
  <c r="M73" i="14"/>
  <c r="L73" i="14"/>
  <c r="V73" i="14"/>
  <c r="G73" i="14"/>
  <c r="J73" i="14"/>
  <c r="D73" i="14"/>
  <c r="W73" i="14"/>
  <c r="K73" i="14"/>
  <c r="T73" i="14"/>
  <c r="U73" i="14"/>
  <c r="Q73" i="14"/>
  <c r="F73" i="14"/>
  <c r="S73" i="14"/>
  <c r="O73" i="14"/>
  <c r="P73" i="14"/>
  <c r="C73" i="14"/>
  <c r="O71" i="14"/>
  <c r="Q71" i="14"/>
  <c r="S71" i="14"/>
  <c r="F71" i="14"/>
  <c r="L71" i="14"/>
  <c r="I71" i="14"/>
  <c r="T71" i="14"/>
  <c r="V71" i="14"/>
  <c r="M71" i="14"/>
  <c r="G71" i="14"/>
  <c r="J71" i="14"/>
  <c r="H71" i="14"/>
  <c r="N71" i="14"/>
  <c r="K71" i="14"/>
  <c r="E71" i="14"/>
  <c r="R71" i="14"/>
  <c r="P71" i="14"/>
  <c r="U71" i="14"/>
  <c r="D71" i="14"/>
  <c r="C71" i="14"/>
  <c r="W71" i="14"/>
  <c r="T59" i="14"/>
  <c r="E59" i="14"/>
  <c r="I59" i="14"/>
  <c r="V59" i="14"/>
  <c r="G59" i="14"/>
  <c r="F59" i="14"/>
  <c r="L59" i="14"/>
  <c r="M59" i="14"/>
  <c r="O59" i="14"/>
  <c r="R59" i="14"/>
  <c r="P59" i="14"/>
  <c r="K59" i="14"/>
  <c r="U59" i="14"/>
  <c r="S59" i="14"/>
  <c r="D59" i="14"/>
  <c r="N59" i="14"/>
  <c r="H59" i="14"/>
  <c r="J59" i="14"/>
  <c r="Q59" i="14"/>
  <c r="C59" i="14"/>
  <c r="W59" i="14"/>
  <c r="F68" i="14"/>
  <c r="R68" i="14"/>
  <c r="J68" i="14"/>
  <c r="G68" i="14"/>
  <c r="P68" i="14"/>
  <c r="L68" i="14"/>
  <c r="I68" i="14"/>
  <c r="O68" i="14"/>
  <c r="T68" i="14"/>
  <c r="E68" i="14"/>
  <c r="D68" i="14"/>
  <c r="Q68" i="14"/>
  <c r="N68" i="14"/>
  <c r="U68" i="14"/>
  <c r="K68" i="14"/>
  <c r="S68" i="14"/>
  <c r="V68" i="14"/>
  <c r="M68" i="14"/>
  <c r="H68" i="14"/>
  <c r="C68" i="14"/>
  <c r="W68" i="14"/>
  <c r="O85" i="14"/>
  <c r="U85" i="14"/>
  <c r="W85" i="14"/>
  <c r="J85" i="14"/>
  <c r="L85" i="14"/>
  <c r="V85" i="14"/>
  <c r="H85" i="14"/>
  <c r="D85" i="14"/>
  <c r="F85" i="14"/>
  <c r="Q85" i="14"/>
  <c r="K85" i="14"/>
  <c r="T85" i="14"/>
  <c r="S85" i="14"/>
  <c r="R85" i="14"/>
  <c r="G85" i="14"/>
  <c r="I85" i="14"/>
  <c r="N85" i="14"/>
  <c r="M85" i="14"/>
  <c r="P85" i="14"/>
  <c r="E85" i="14"/>
  <c r="C85" i="14"/>
  <c r="K63" i="14"/>
  <c r="O63" i="14"/>
  <c r="L63" i="14"/>
  <c r="D63" i="14"/>
  <c r="M63" i="14"/>
  <c r="H63" i="14"/>
  <c r="G63" i="14"/>
  <c r="F63" i="14"/>
  <c r="I63" i="14"/>
  <c r="S63" i="14"/>
  <c r="U63" i="14"/>
  <c r="E63" i="14"/>
  <c r="T63" i="14"/>
  <c r="Q63" i="14"/>
  <c r="N63" i="14"/>
  <c r="R63" i="14"/>
  <c r="J63" i="14"/>
  <c r="V63" i="14"/>
  <c r="P63" i="14"/>
  <c r="C63" i="14"/>
  <c r="W63" i="14"/>
  <c r="L53" i="14"/>
  <c r="V53" i="14"/>
  <c r="E53" i="14"/>
  <c r="F53" i="14"/>
  <c r="Q53" i="14"/>
  <c r="G53" i="14"/>
  <c r="R53" i="14"/>
  <c r="J53" i="14"/>
  <c r="K53" i="14"/>
  <c r="I53" i="14"/>
  <c r="O53" i="14"/>
  <c r="S53" i="14"/>
  <c r="U53" i="14"/>
  <c r="T53" i="14"/>
  <c r="D53" i="14"/>
  <c r="P53" i="14"/>
  <c r="M53" i="14"/>
  <c r="H53" i="14"/>
  <c r="N53" i="14"/>
  <c r="C53" i="14"/>
  <c r="W53" i="14"/>
  <c r="H86" i="14"/>
  <c r="I86" i="14"/>
  <c r="L86" i="14"/>
  <c r="J86" i="14"/>
  <c r="R86" i="14"/>
  <c r="T86" i="14"/>
  <c r="N86" i="14"/>
  <c r="D86" i="14"/>
  <c r="O86" i="14"/>
  <c r="F86" i="14"/>
  <c r="E86" i="14"/>
  <c r="K86" i="14"/>
  <c r="W86" i="14"/>
  <c r="U86" i="14"/>
  <c r="S86" i="14"/>
  <c r="Q86" i="14"/>
  <c r="M86" i="14"/>
  <c r="V86" i="14"/>
  <c r="P86" i="14"/>
  <c r="G86" i="14"/>
  <c r="C86" i="14"/>
  <c r="I80" i="14"/>
  <c r="U80" i="14"/>
  <c r="T80" i="14"/>
  <c r="H80" i="14"/>
  <c r="R80" i="14"/>
  <c r="S80" i="14"/>
  <c r="O80" i="14"/>
  <c r="G80" i="14"/>
  <c r="M80" i="14"/>
  <c r="P80" i="14"/>
  <c r="W80" i="14"/>
  <c r="V80" i="14"/>
  <c r="F80" i="14"/>
  <c r="Q80" i="14"/>
  <c r="K80" i="14"/>
  <c r="L80" i="14"/>
  <c r="D80" i="14"/>
  <c r="E80" i="14"/>
  <c r="N80" i="14"/>
  <c r="J80" i="14"/>
  <c r="C80" i="14"/>
  <c r="H75" i="14"/>
  <c r="L75" i="14"/>
  <c r="I75" i="14"/>
  <c r="F75" i="14"/>
  <c r="O75" i="14"/>
  <c r="J75" i="14"/>
  <c r="W75" i="14"/>
  <c r="V75" i="14"/>
  <c r="K75" i="14"/>
  <c r="N75" i="14"/>
  <c r="G75" i="14"/>
  <c r="U75" i="14"/>
  <c r="R75" i="14"/>
  <c r="E75" i="14"/>
  <c r="Q75" i="14"/>
  <c r="P75" i="14"/>
  <c r="M75" i="14"/>
  <c r="T75" i="14"/>
  <c r="S75" i="14"/>
  <c r="D75" i="14"/>
  <c r="C75" i="14"/>
  <c r="D82" i="14"/>
  <c r="E82" i="14"/>
  <c r="P82" i="14"/>
  <c r="U82" i="14"/>
  <c r="F82" i="14"/>
  <c r="S82" i="14"/>
  <c r="G82" i="14"/>
  <c r="O82" i="14"/>
  <c r="R82" i="14"/>
  <c r="V82" i="14"/>
  <c r="J82" i="14"/>
  <c r="M82" i="14"/>
  <c r="Q82" i="14"/>
  <c r="W82" i="14"/>
  <c r="I82" i="14"/>
  <c r="L82" i="14"/>
  <c r="T82" i="14"/>
  <c r="K82" i="14"/>
  <c r="N82" i="14"/>
  <c r="H82" i="14"/>
  <c r="C82" i="14"/>
  <c r="K69" i="14"/>
  <c r="O69" i="14"/>
  <c r="D69" i="14"/>
  <c r="S69" i="14"/>
  <c r="E69" i="14"/>
  <c r="P69" i="14"/>
  <c r="F69" i="14"/>
  <c r="Q69" i="14"/>
  <c r="U69" i="14"/>
  <c r="I69" i="14"/>
  <c r="G69" i="14"/>
  <c r="M69" i="14"/>
  <c r="R69" i="14"/>
  <c r="L69" i="14"/>
  <c r="T69" i="14"/>
  <c r="V69" i="14"/>
  <c r="J69" i="14"/>
  <c r="H69" i="14"/>
  <c r="N69" i="14"/>
  <c r="C69" i="14"/>
  <c r="W69" i="14"/>
  <c r="M55" i="14"/>
  <c r="H55" i="14"/>
  <c r="R55" i="14"/>
  <c r="N55" i="14"/>
  <c r="E55" i="14"/>
  <c r="G55" i="14"/>
  <c r="I55" i="14"/>
  <c r="F55" i="14"/>
  <c r="O55" i="14"/>
  <c r="V55" i="14"/>
  <c r="K55" i="14"/>
  <c r="T55" i="14"/>
  <c r="L55" i="14"/>
  <c r="D55" i="14"/>
  <c r="Q55" i="14"/>
  <c r="U55" i="14"/>
  <c r="S55" i="14"/>
  <c r="J55" i="14"/>
  <c r="P55" i="14"/>
  <c r="C55" i="14"/>
  <c r="W55" i="14"/>
  <c r="E78" i="14"/>
  <c r="U78" i="14"/>
  <c r="O78" i="14"/>
  <c r="P78" i="14"/>
  <c r="T78" i="14"/>
  <c r="S78" i="14"/>
  <c r="Q78" i="14"/>
  <c r="J78" i="14"/>
  <c r="D78" i="14"/>
  <c r="W78" i="14"/>
  <c r="F78" i="14"/>
  <c r="V78" i="14"/>
  <c r="H78" i="14"/>
  <c r="G78" i="14"/>
  <c r="L78" i="14"/>
  <c r="R78" i="14"/>
  <c r="K78" i="14"/>
  <c r="N78" i="14"/>
  <c r="I78" i="14"/>
  <c r="M78" i="14"/>
  <c r="C78" i="14"/>
  <c r="D62" i="14"/>
  <c r="G62" i="14"/>
  <c r="R62" i="14"/>
  <c r="I62" i="14"/>
  <c r="E62" i="14"/>
  <c r="V62" i="14"/>
  <c r="P62" i="14"/>
  <c r="J62" i="14"/>
  <c r="F62" i="14"/>
  <c r="U62" i="14"/>
  <c r="O62" i="14"/>
  <c r="M62" i="14"/>
  <c r="H62" i="14"/>
  <c r="T62" i="14"/>
  <c r="L62" i="14"/>
  <c r="S62" i="14"/>
  <c r="K62" i="14"/>
  <c r="N62" i="14"/>
  <c r="Q62" i="14"/>
  <c r="C62" i="14"/>
  <c r="W62" i="14"/>
  <c r="L87" i="14"/>
  <c r="P87" i="14"/>
  <c r="S87" i="14"/>
  <c r="E87" i="14"/>
  <c r="N87" i="14"/>
  <c r="O87" i="14"/>
  <c r="T87" i="14"/>
  <c r="J87" i="14"/>
  <c r="V87" i="14"/>
  <c r="M87" i="14"/>
  <c r="G87" i="14"/>
  <c r="D87" i="14"/>
  <c r="R87" i="14"/>
  <c r="F87" i="14"/>
  <c r="W87" i="14"/>
  <c r="H87" i="14"/>
  <c r="U87" i="14"/>
  <c r="I87" i="14"/>
  <c r="K87" i="14"/>
  <c r="Q87" i="14"/>
  <c r="C87" i="14"/>
  <c r="Q58" i="14"/>
  <c r="N58" i="14"/>
  <c r="P58" i="14"/>
  <c r="L58" i="14"/>
  <c r="I58" i="14"/>
  <c r="J58" i="14"/>
  <c r="S58" i="14"/>
  <c r="U58" i="14"/>
  <c r="H58" i="14"/>
  <c r="G58" i="14"/>
  <c r="E58" i="14"/>
  <c r="K58" i="14"/>
  <c r="V58" i="14"/>
  <c r="O58" i="14"/>
  <c r="M58" i="14"/>
  <c r="T58" i="14"/>
  <c r="F58" i="14"/>
  <c r="D58" i="14"/>
  <c r="R58" i="14"/>
  <c r="C58" i="14"/>
  <c r="W58" i="14"/>
  <c r="K77" i="14"/>
  <c r="T77" i="14"/>
  <c r="O77" i="14"/>
  <c r="E77" i="14"/>
  <c r="Q77" i="14"/>
  <c r="L77" i="14"/>
  <c r="S77" i="14"/>
  <c r="D77" i="14"/>
  <c r="U77" i="14"/>
  <c r="I77" i="14"/>
  <c r="P77" i="14"/>
  <c r="F77" i="14"/>
  <c r="V77" i="14"/>
  <c r="J77" i="14"/>
  <c r="H77" i="14"/>
  <c r="N77" i="14"/>
  <c r="W77" i="14"/>
  <c r="M77" i="14"/>
  <c r="R77" i="14"/>
  <c r="G77" i="14"/>
  <c r="C77" i="14"/>
  <c r="K57" i="14"/>
  <c r="P57" i="14"/>
  <c r="S57" i="14"/>
  <c r="L57" i="14"/>
  <c r="T57" i="14"/>
  <c r="G57" i="14"/>
  <c r="J57" i="14"/>
  <c r="Q57" i="14"/>
  <c r="I57" i="14"/>
  <c r="H57" i="14"/>
  <c r="F57" i="14"/>
  <c r="N57" i="14"/>
  <c r="O57" i="14"/>
  <c r="M57" i="14"/>
  <c r="D57" i="14"/>
  <c r="U57" i="14"/>
  <c r="R57" i="14"/>
  <c r="E57" i="14"/>
  <c r="V57" i="14"/>
  <c r="C57" i="14"/>
  <c r="W57" i="14"/>
  <c r="M89" i="14"/>
  <c r="F89" i="14"/>
  <c r="T89" i="14"/>
  <c r="R89" i="14"/>
  <c r="V89" i="14"/>
  <c r="U89" i="14"/>
  <c r="G89" i="14"/>
  <c r="S89" i="14"/>
  <c r="P89" i="14"/>
  <c r="N89" i="14"/>
  <c r="H89" i="14"/>
  <c r="K89" i="14"/>
  <c r="L89" i="14"/>
  <c r="D89" i="14"/>
  <c r="O89" i="14"/>
  <c r="E89" i="14"/>
  <c r="W89" i="14"/>
  <c r="Q89" i="14"/>
  <c r="I89" i="14"/>
  <c r="J89" i="14"/>
  <c r="C89" i="14"/>
  <c r="P70" i="14"/>
  <c r="Q70" i="14"/>
  <c r="M70" i="14"/>
  <c r="R70" i="14"/>
  <c r="T70" i="14"/>
  <c r="O70" i="14"/>
  <c r="K70" i="14"/>
  <c r="E70" i="14"/>
  <c r="I70" i="14"/>
  <c r="L70" i="14"/>
  <c r="U70" i="14"/>
  <c r="S70" i="14"/>
  <c r="V70" i="14"/>
  <c r="J70" i="14"/>
  <c r="D70" i="14"/>
  <c r="N70" i="14"/>
  <c r="G70" i="14"/>
  <c r="F70" i="14"/>
  <c r="H70" i="14"/>
  <c r="C70" i="14"/>
  <c r="W70" i="14"/>
  <c r="V81" i="14"/>
  <c r="F81" i="14"/>
  <c r="S81" i="14"/>
  <c r="L81" i="14"/>
  <c r="Q81" i="14"/>
  <c r="J81" i="14"/>
  <c r="W81" i="14"/>
  <c r="R81" i="14"/>
  <c r="K81" i="14"/>
  <c r="N81" i="14"/>
  <c r="M81" i="14"/>
  <c r="E81" i="14"/>
  <c r="T81" i="14"/>
  <c r="U81" i="14"/>
  <c r="I81" i="14"/>
  <c r="H81" i="14"/>
  <c r="O81" i="14"/>
  <c r="D81" i="14"/>
  <c r="P81" i="14"/>
  <c r="G81" i="14"/>
  <c r="C81" i="14"/>
  <c r="P88" i="14"/>
  <c r="T88" i="14"/>
  <c r="G88" i="14"/>
  <c r="N88" i="14"/>
  <c r="O88" i="14"/>
  <c r="L88" i="14"/>
  <c r="D88" i="14"/>
  <c r="F88" i="14"/>
  <c r="V88" i="14"/>
  <c r="R88" i="14"/>
  <c r="E88" i="14"/>
  <c r="U88" i="14"/>
  <c r="M88" i="14"/>
  <c r="J88" i="14"/>
  <c r="W88" i="14"/>
  <c r="K88" i="14"/>
  <c r="I88" i="14"/>
  <c r="H88" i="14"/>
  <c r="Q88" i="14"/>
  <c r="S88" i="14"/>
  <c r="C88" i="14"/>
  <c r="V83" i="14"/>
  <c r="Q83" i="14"/>
  <c r="U83" i="14"/>
  <c r="P83" i="14"/>
  <c r="D83" i="14"/>
  <c r="J83" i="14"/>
  <c r="E83" i="14"/>
  <c r="R83" i="14"/>
  <c r="M83" i="14"/>
  <c r="T83" i="14"/>
  <c r="I83" i="14"/>
  <c r="G83" i="14"/>
  <c r="L83" i="14"/>
  <c r="H83" i="14"/>
  <c r="F83" i="14"/>
  <c r="O83" i="14"/>
  <c r="N83" i="14"/>
  <c r="K83" i="14"/>
  <c r="W83" i="14"/>
  <c r="S83" i="14"/>
  <c r="C83" i="14"/>
  <c r="T76" i="14"/>
  <c r="H76" i="14"/>
  <c r="M76" i="14"/>
  <c r="N76" i="14"/>
  <c r="Q76" i="14"/>
  <c r="R76" i="14"/>
  <c r="G76" i="14"/>
  <c r="V76" i="14"/>
  <c r="I76" i="14"/>
  <c r="E76" i="14"/>
  <c r="J76" i="14"/>
  <c r="D76" i="14"/>
  <c r="W76" i="14"/>
  <c r="S76" i="14"/>
  <c r="O76" i="14"/>
  <c r="L76" i="14"/>
  <c r="F76" i="14"/>
  <c r="P76" i="14"/>
  <c r="K76" i="14"/>
  <c r="U76" i="14"/>
  <c r="C76" i="14"/>
  <c r="H61" i="14"/>
  <c r="U61" i="14"/>
  <c r="E61" i="14"/>
  <c r="M61" i="14"/>
  <c r="Q61" i="14"/>
  <c r="S61" i="14"/>
  <c r="J61" i="14"/>
  <c r="D61" i="14"/>
  <c r="N61" i="14"/>
  <c r="F61" i="14"/>
  <c r="K61" i="14"/>
  <c r="O61" i="14"/>
  <c r="G61" i="14"/>
  <c r="L61" i="14"/>
  <c r="V61" i="14"/>
  <c r="P61" i="14"/>
  <c r="T61" i="14"/>
  <c r="R61" i="14"/>
  <c r="I61" i="14"/>
  <c r="C61" i="14"/>
  <c r="W61" i="14"/>
  <c r="M65" i="14"/>
  <c r="F65" i="14"/>
  <c r="G65" i="14"/>
  <c r="I65" i="14"/>
  <c r="R65" i="14"/>
  <c r="P65" i="14"/>
  <c r="T65" i="14"/>
  <c r="H65" i="14"/>
  <c r="K65" i="14"/>
  <c r="O65" i="14"/>
  <c r="N65" i="14"/>
  <c r="Q65" i="14"/>
  <c r="S65" i="14"/>
  <c r="U65" i="14"/>
  <c r="E65" i="14"/>
  <c r="V65" i="14"/>
  <c r="L65" i="14"/>
  <c r="D65" i="14"/>
  <c r="J65" i="14"/>
  <c r="C65" i="14"/>
  <c r="W65" i="14"/>
  <c r="M72" i="14"/>
  <c r="G72" i="14"/>
  <c r="K72" i="14"/>
  <c r="E72" i="14"/>
  <c r="O72" i="14"/>
  <c r="T72" i="14"/>
  <c r="J72" i="14"/>
  <c r="P72" i="14"/>
  <c r="S72" i="14"/>
  <c r="U72" i="14"/>
  <c r="V72" i="14"/>
  <c r="Q72" i="14"/>
  <c r="D72" i="14"/>
  <c r="N72" i="14"/>
  <c r="L72" i="14"/>
  <c r="H72" i="14"/>
  <c r="R72" i="14"/>
  <c r="F72" i="14"/>
  <c r="I72" i="14"/>
  <c r="C72" i="14"/>
  <c r="W72" i="14"/>
  <c r="H90" i="14"/>
  <c r="K90" i="14"/>
  <c r="U90" i="14"/>
  <c r="T90" i="14"/>
  <c r="G90" i="14"/>
  <c r="I90" i="14"/>
  <c r="J90" i="14"/>
  <c r="S90" i="14"/>
  <c r="V90" i="14"/>
  <c r="D90" i="14"/>
  <c r="M90" i="14"/>
  <c r="N90" i="14"/>
  <c r="W90" i="14"/>
  <c r="O90" i="14"/>
  <c r="P90" i="14"/>
  <c r="F90" i="14"/>
  <c r="L90" i="14"/>
  <c r="Q90" i="14"/>
  <c r="E90" i="14"/>
  <c r="R90" i="14"/>
  <c r="C90" i="14"/>
  <c r="K64" i="14"/>
  <c r="G64" i="14"/>
  <c r="E64" i="14"/>
  <c r="T64" i="14"/>
  <c r="U64" i="14"/>
  <c r="S64" i="14"/>
  <c r="M64" i="14"/>
  <c r="R64" i="14"/>
  <c r="J64" i="14"/>
  <c r="F64" i="14"/>
  <c r="H64" i="14"/>
  <c r="V64" i="14"/>
  <c r="P64" i="14"/>
  <c r="O64" i="14"/>
  <c r="Q64" i="14"/>
  <c r="D64" i="14"/>
  <c r="N64" i="14"/>
  <c r="I64" i="14"/>
  <c r="L64" i="14"/>
  <c r="C64" i="14"/>
  <c r="W64" i="14"/>
  <c r="F54" i="14"/>
  <c r="R54" i="14"/>
  <c r="I54" i="14"/>
  <c r="J54" i="14"/>
  <c r="M54" i="14"/>
  <c r="T54" i="14"/>
  <c r="H54" i="14"/>
  <c r="V54" i="14"/>
  <c r="Q54" i="14"/>
  <c r="P54" i="14"/>
  <c r="K54" i="14"/>
  <c r="U54" i="14"/>
  <c r="S54" i="14"/>
  <c r="G54" i="14"/>
  <c r="D54" i="14"/>
  <c r="O54" i="14"/>
  <c r="L54" i="14"/>
  <c r="E54" i="14"/>
  <c r="N54" i="14"/>
  <c r="C54" i="14"/>
  <c r="W54" i="14"/>
  <c r="J84" i="14"/>
  <c r="R84" i="14"/>
  <c r="O84" i="14"/>
  <c r="H84" i="14"/>
  <c r="I84" i="14"/>
  <c r="V84" i="14"/>
  <c r="G84" i="14"/>
  <c r="N84" i="14"/>
  <c r="S84" i="14"/>
  <c r="M84" i="14"/>
  <c r="U84" i="14"/>
  <c r="F84" i="14"/>
  <c r="T84" i="14"/>
  <c r="W84" i="14"/>
  <c r="L84" i="14"/>
  <c r="Q84" i="14"/>
  <c r="E84" i="14"/>
  <c r="D84" i="14"/>
  <c r="P84" i="14"/>
  <c r="K84" i="14"/>
  <c r="C84" i="14"/>
  <c r="S91" i="14"/>
  <c r="J91" i="14"/>
  <c r="O91" i="14"/>
  <c r="R91" i="14"/>
  <c r="H91" i="14"/>
  <c r="D91" i="14"/>
  <c r="V91" i="14"/>
  <c r="T91" i="14"/>
  <c r="L91" i="14"/>
  <c r="W91" i="14"/>
  <c r="B164" i="14" s="1"/>
  <c r="N91" i="14"/>
  <c r="Q91" i="14"/>
  <c r="K91" i="14"/>
  <c r="U91" i="14"/>
  <c r="C91" i="14"/>
  <c r="P91" i="14"/>
  <c r="E91" i="14"/>
  <c r="I91" i="14"/>
  <c r="F91" i="14"/>
  <c r="M91" i="14"/>
  <c r="G91" i="14"/>
  <c r="L67" i="14"/>
  <c r="K67" i="14"/>
  <c r="F67" i="14"/>
  <c r="D67" i="14"/>
  <c r="G67" i="14"/>
  <c r="P67" i="14"/>
  <c r="N67" i="14"/>
  <c r="S67" i="14"/>
  <c r="M67" i="14"/>
  <c r="I67" i="14"/>
  <c r="O67" i="14"/>
  <c r="T67" i="14"/>
  <c r="R67" i="14"/>
  <c r="V67" i="14"/>
  <c r="U67" i="14"/>
  <c r="E67" i="14"/>
  <c r="J67" i="14"/>
  <c r="Q67" i="14"/>
  <c r="H67" i="14"/>
  <c r="C67" i="14"/>
  <c r="W67" i="14"/>
  <c r="G66" i="14"/>
  <c r="H66" i="14"/>
  <c r="R66" i="14"/>
  <c r="M66" i="14"/>
  <c r="D66" i="14"/>
  <c r="J66" i="14"/>
  <c r="O66" i="14"/>
  <c r="I66" i="14"/>
  <c r="V66" i="14"/>
  <c r="E66" i="14"/>
  <c r="P66" i="14"/>
  <c r="K66" i="14"/>
  <c r="T66" i="14"/>
  <c r="U66" i="14"/>
  <c r="F66" i="14"/>
  <c r="S66" i="14"/>
  <c r="Q66" i="14"/>
  <c r="L66" i="14"/>
  <c r="N66" i="14"/>
  <c r="C66" i="14"/>
  <c r="W66" i="14"/>
  <c r="B210" i="119" l="1"/>
  <c r="C93" i="119"/>
  <c r="D93" i="119" s="1"/>
  <c r="H199" i="119"/>
  <c r="C198" i="119" s="1"/>
  <c r="B56" i="15"/>
  <c r="N86" i="15" s="1"/>
  <c r="H8" i="119"/>
  <c r="C92" i="119" s="1"/>
  <c r="D92" i="119" s="1"/>
  <c r="I8" i="119"/>
  <c r="C94" i="119" s="1"/>
  <c r="D94" i="119" s="1"/>
  <c r="G65" i="15"/>
  <c r="C14" i="13" s="1"/>
  <c r="B53" i="15"/>
  <c r="B55" i="15" s="1"/>
  <c r="L107" i="15" s="1"/>
  <c r="L115" i="15" s="1"/>
  <c r="H67" i="15"/>
  <c r="H66" i="15"/>
  <c r="B54" i="15"/>
  <c r="M107" i="15" s="1"/>
  <c r="M114" i="15" s="1"/>
  <c r="B160" i="14"/>
  <c r="B163" i="14"/>
  <c r="B161" i="14"/>
  <c r="B158" i="14"/>
  <c r="B155" i="14"/>
  <c r="B162" i="14"/>
  <c r="B154" i="14"/>
  <c r="X72" i="14"/>
  <c r="X88" i="14"/>
  <c r="X80" i="14"/>
  <c r="X68" i="14"/>
  <c r="X74" i="14"/>
  <c r="B148" i="14"/>
  <c r="B152" i="14"/>
  <c r="B149" i="14"/>
  <c r="X66" i="14"/>
  <c r="B159" i="14"/>
  <c r="X60" i="14"/>
  <c r="B147" i="14"/>
  <c r="B135" i="14"/>
  <c r="U103" i="15" s="1"/>
  <c r="B150" i="14"/>
  <c r="B151" i="14"/>
  <c r="B153" i="14"/>
  <c r="X58" i="14"/>
  <c r="X82" i="14"/>
  <c r="X63" i="14"/>
  <c r="X73" i="14"/>
  <c r="X84" i="14"/>
  <c r="X54" i="14"/>
  <c r="B129" i="14"/>
  <c r="U97" i="15" s="1"/>
  <c r="B130" i="14"/>
  <c r="U98" i="15" s="1"/>
  <c r="X78" i="14"/>
  <c r="B136" i="14"/>
  <c r="U104" i="15" s="1"/>
  <c r="B156" i="14"/>
  <c r="X90" i="14"/>
  <c r="X61" i="14"/>
  <c r="B138" i="14"/>
  <c r="U106" i="15" s="1"/>
  <c r="X77" i="14"/>
  <c r="X62" i="14"/>
  <c r="B121" i="14"/>
  <c r="U89" i="15" s="1"/>
  <c r="X83" i="14"/>
  <c r="X70" i="14"/>
  <c r="B137" i="14"/>
  <c r="U105" i="15" s="1"/>
  <c r="X53" i="14"/>
  <c r="B139" i="14"/>
  <c r="X67" i="14"/>
  <c r="B146" i="14"/>
  <c r="B133" i="14"/>
  <c r="U101" i="15" s="1"/>
  <c r="X87" i="14"/>
  <c r="X69" i="14"/>
  <c r="X85" i="14"/>
  <c r="X71" i="14"/>
  <c r="B128" i="14"/>
  <c r="U96" i="15" s="1"/>
  <c r="B157" i="14"/>
  <c r="B132" i="14"/>
  <c r="U100" i="15" s="1"/>
  <c r="X65" i="14"/>
  <c r="X81" i="14"/>
  <c r="B125" i="14"/>
  <c r="U93" i="15" s="1"/>
  <c r="X75" i="14"/>
  <c r="B124" i="14"/>
  <c r="U92" i="15" s="1"/>
  <c r="B134" i="14"/>
  <c r="U102" i="15" s="1"/>
  <c r="X91" i="14"/>
  <c r="X64" i="14"/>
  <c r="X76" i="14"/>
  <c r="X57" i="14"/>
  <c r="B123" i="14"/>
  <c r="U91" i="15" s="1"/>
  <c r="B127" i="14"/>
  <c r="U95" i="15" s="1"/>
  <c r="X56" i="14"/>
  <c r="C96" i="119"/>
  <c r="D96" i="119" s="1"/>
  <c r="H9" i="119"/>
  <c r="I9" i="119"/>
  <c r="C97" i="119" s="1"/>
  <c r="D97" i="119" s="1"/>
  <c r="D147" i="119" s="1"/>
  <c r="B140" i="14"/>
  <c r="C140" i="14" s="1"/>
  <c r="C141" i="14" s="1"/>
  <c r="X89" i="14"/>
  <c r="B126" i="14"/>
  <c r="U94" i="15" s="1"/>
  <c r="X55" i="14"/>
  <c r="X86" i="14"/>
  <c r="B131" i="14"/>
  <c r="U99" i="15" s="1"/>
  <c r="X59" i="14"/>
  <c r="X79" i="14"/>
  <c r="B122" i="14"/>
  <c r="U90" i="15" s="1"/>
  <c r="G114" i="15" l="1"/>
  <c r="D117" i="119"/>
  <c r="D132" i="119"/>
  <c r="D142" i="119"/>
  <c r="D137" i="119"/>
  <c r="D127" i="119"/>
  <c r="D122" i="119"/>
  <c r="W14" i="119"/>
  <c r="W34" i="119"/>
  <c r="C210" i="119"/>
  <c r="D210" i="119" s="1"/>
  <c r="W15" i="119"/>
  <c r="W23" i="119"/>
  <c r="W31" i="119"/>
  <c r="W16" i="119"/>
  <c r="W24" i="119"/>
  <c r="W32" i="119"/>
  <c r="W17" i="119"/>
  <c r="W25" i="119"/>
  <c r="W33" i="119"/>
  <c r="W18" i="119"/>
  <c r="W26" i="119"/>
  <c r="W19" i="119"/>
  <c r="W27" i="119"/>
  <c r="W30" i="119"/>
  <c r="W20" i="119"/>
  <c r="W28" i="119"/>
  <c r="W21" i="119"/>
  <c r="W29" i="119"/>
  <c r="W22" i="119"/>
  <c r="E202" i="119"/>
  <c r="F202" i="119"/>
  <c r="E203" i="119"/>
  <c r="F203" i="119"/>
  <c r="E204" i="119"/>
  <c r="F204" i="119"/>
  <c r="E205" i="119"/>
  <c r="F205" i="119"/>
  <c r="E206" i="119"/>
  <c r="F206" i="119"/>
  <c r="E207" i="119"/>
  <c r="F207" i="119"/>
  <c r="E208" i="119"/>
  <c r="F208" i="119"/>
  <c r="E209" i="119"/>
  <c r="N74" i="15"/>
  <c r="N77" i="15"/>
  <c r="N99" i="15"/>
  <c r="N102" i="15"/>
  <c r="N97" i="15"/>
  <c r="N106" i="15"/>
  <c r="N101" i="15"/>
  <c r="N69" i="15"/>
  <c r="N104" i="15"/>
  <c r="N79" i="15"/>
  <c r="N100" i="15"/>
  <c r="N89" i="15"/>
  <c r="N103" i="15"/>
  <c r="N71" i="15"/>
  <c r="N92" i="15"/>
  <c r="N70" i="15"/>
  <c r="N95" i="15"/>
  <c r="N75" i="15"/>
  <c r="N68" i="15"/>
  <c r="N94" i="15"/>
  <c r="N81" i="15"/>
  <c r="N90" i="15"/>
  <c r="N87" i="15"/>
  <c r="N98" i="15"/>
  <c r="N91" i="15"/>
  <c r="N76" i="15"/>
  <c r="N105" i="15"/>
  <c r="N83" i="15"/>
  <c r="N73" i="15"/>
  <c r="N72" i="15"/>
  <c r="N96" i="15"/>
  <c r="N93" i="15"/>
  <c r="N80" i="15"/>
  <c r="N85" i="15"/>
  <c r="N107" i="15"/>
  <c r="N88" i="15"/>
  <c r="N82" i="15"/>
  <c r="N84" i="15"/>
  <c r="N78" i="15"/>
  <c r="L106" i="119"/>
  <c r="L116" i="15"/>
  <c r="L118" i="15" s="1"/>
  <c r="M48" i="119" s="1"/>
  <c r="E157" i="119" s="1"/>
  <c r="L114" i="15"/>
  <c r="M115" i="15"/>
  <c r="B120" i="15" s="1"/>
  <c r="H115" i="15"/>
  <c r="H116" i="15"/>
  <c r="H117" i="15" s="1"/>
  <c r="G115" i="15"/>
  <c r="H114" i="15"/>
  <c r="G116" i="15"/>
  <c r="B44" i="14"/>
  <c r="B52" i="14" s="1"/>
  <c r="S52" i="14" s="1"/>
  <c r="B116" i="14" s="1"/>
  <c r="U84" i="15" s="1"/>
  <c r="M116" i="15"/>
  <c r="M117" i="15" s="1"/>
  <c r="R48" i="119" s="1"/>
  <c r="E163" i="119" s="1"/>
  <c r="L107" i="119"/>
  <c r="D107" i="119" s="1"/>
  <c r="C95" i="119"/>
  <c r="D95" i="119" s="1"/>
  <c r="D115" i="119" s="1"/>
  <c r="B166" i="14"/>
  <c r="U107" i="15" s="1"/>
  <c r="D101" i="119" l="1"/>
  <c r="D125" i="119"/>
  <c r="D145" i="119"/>
  <c r="D130" i="119"/>
  <c r="D104" i="119"/>
  <c r="D120" i="119"/>
  <c r="D140" i="119"/>
  <c r="D135" i="119"/>
  <c r="D106" i="119"/>
  <c r="D105" i="119"/>
  <c r="D103" i="119"/>
  <c r="D102" i="119"/>
  <c r="G207" i="119"/>
  <c r="G203" i="119"/>
  <c r="G205" i="119"/>
  <c r="G208" i="119"/>
  <c r="G204" i="119"/>
  <c r="G206" i="119"/>
  <c r="G202" i="119"/>
  <c r="B211" i="119"/>
  <c r="F209" i="119"/>
  <c r="G209" i="119" s="1"/>
  <c r="J74" i="15"/>
  <c r="J75" i="15"/>
  <c r="J89" i="15"/>
  <c r="J77" i="15"/>
  <c r="J72" i="15"/>
  <c r="J100" i="15"/>
  <c r="J99" i="15"/>
  <c r="J97" i="15"/>
  <c r="J102" i="15"/>
  <c r="J103" i="15"/>
  <c r="J82" i="15"/>
  <c r="J101" i="15"/>
  <c r="J69" i="15"/>
  <c r="J94" i="15"/>
  <c r="J71" i="15"/>
  <c r="J79" i="15"/>
  <c r="J84" i="15"/>
  <c r="J90" i="15"/>
  <c r="J83" i="15"/>
  <c r="J80" i="15"/>
  <c r="J88" i="15"/>
  <c r="J95" i="15"/>
  <c r="J70" i="15"/>
  <c r="J104" i="15"/>
  <c r="J92" i="15"/>
  <c r="J96" i="15"/>
  <c r="J105" i="15"/>
  <c r="J87" i="15"/>
  <c r="J98" i="15"/>
  <c r="N115" i="15"/>
  <c r="B121" i="15" s="1"/>
  <c r="J68" i="15"/>
  <c r="J73" i="15"/>
  <c r="J93" i="15"/>
  <c r="J85" i="15"/>
  <c r="J91" i="15"/>
  <c r="J86" i="15"/>
  <c r="J81" i="15"/>
  <c r="J106" i="15"/>
  <c r="J76" i="15"/>
  <c r="N114" i="15"/>
  <c r="J78" i="15"/>
  <c r="N116" i="15"/>
  <c r="N117" i="15" s="1"/>
  <c r="S48" i="119" s="1"/>
  <c r="E164" i="119" s="1"/>
  <c r="P52" i="14"/>
  <c r="B113" i="14" s="1"/>
  <c r="U81" i="15" s="1"/>
  <c r="I52" i="14"/>
  <c r="B106" i="14" s="1"/>
  <c r="U74" i="15" s="1"/>
  <c r="W52" i="14"/>
  <c r="B120" i="14" s="1"/>
  <c r="U88" i="15" s="1"/>
  <c r="M52" i="14"/>
  <c r="B110" i="14" s="1"/>
  <c r="U78" i="15" s="1"/>
  <c r="T52" i="14"/>
  <c r="B117" i="14" s="1"/>
  <c r="U85" i="15" s="1"/>
  <c r="K52" i="14"/>
  <c r="B108" i="14" s="1"/>
  <c r="U76" i="15" s="1"/>
  <c r="J52" i="14"/>
  <c r="B107" i="14" s="1"/>
  <c r="U75" i="15" s="1"/>
  <c r="V52" i="14"/>
  <c r="B119" i="14" s="1"/>
  <c r="U87" i="15" s="1"/>
  <c r="H52" i="14"/>
  <c r="B105" i="14" s="1"/>
  <c r="U73" i="15" s="1"/>
  <c r="Q52" i="14"/>
  <c r="B114" i="14" s="1"/>
  <c r="U82" i="15" s="1"/>
  <c r="E52" i="14"/>
  <c r="B102" i="14" s="1"/>
  <c r="U70" i="15" s="1"/>
  <c r="C52" i="14"/>
  <c r="B100" i="14" s="1"/>
  <c r="N52" i="14"/>
  <c r="B111" i="14" s="1"/>
  <c r="U79" i="15" s="1"/>
  <c r="R52" i="14"/>
  <c r="B115" i="14" s="1"/>
  <c r="U83" i="15" s="1"/>
  <c r="D52" i="14"/>
  <c r="B101" i="14" s="1"/>
  <c r="U69" i="15" s="1"/>
  <c r="G52" i="14"/>
  <c r="B104" i="14" s="1"/>
  <c r="U72" i="15" s="1"/>
  <c r="U52" i="14"/>
  <c r="B118" i="14" s="1"/>
  <c r="U86" i="15" s="1"/>
  <c r="F52" i="14"/>
  <c r="B103" i="14" s="1"/>
  <c r="U71" i="15" s="1"/>
  <c r="O52" i="14"/>
  <c r="B112" i="14" s="1"/>
  <c r="U80" i="15" s="1"/>
  <c r="L52" i="14"/>
  <c r="B109" i="14" s="1"/>
  <c r="U77" i="15" s="1"/>
  <c r="N48" i="119"/>
  <c r="E159" i="119" s="1"/>
  <c r="C211" i="119" l="1"/>
  <c r="D211" i="119" s="1"/>
  <c r="E210" i="119"/>
  <c r="J107" i="15"/>
  <c r="J114" i="15" s="1"/>
  <c r="X52" i="14"/>
  <c r="U68" i="15"/>
  <c r="B141" i="14"/>
  <c r="Z65" i="15" l="1"/>
  <c r="B212" i="119"/>
  <c r="F210" i="119"/>
  <c r="G210" i="119" s="1"/>
  <c r="J116" i="15"/>
  <c r="J117" i="15" s="1"/>
  <c r="J115" i="15"/>
  <c r="U114" i="15"/>
  <c r="U116" i="15"/>
  <c r="Y55" i="15" s="1"/>
  <c r="Y57" i="15" s="1"/>
  <c r="U115" i="15"/>
  <c r="C212" i="119" l="1"/>
  <c r="D212" i="119" s="1"/>
  <c r="E211" i="119"/>
  <c r="X55" i="15"/>
  <c r="X57" i="15" s="1"/>
  <c r="P48" i="119"/>
  <c r="E161" i="119" s="1"/>
  <c r="B213" i="119" l="1"/>
  <c r="F211" i="119"/>
  <c r="G211" i="119" s="1"/>
  <c r="Z66" i="15" l="1"/>
  <c r="C213" i="119"/>
  <c r="D213" i="119" s="1"/>
  <c r="E212" i="119"/>
  <c r="B214" i="119" l="1"/>
  <c r="F212" i="119"/>
  <c r="G212" i="119" s="1"/>
  <c r="C214" i="119" l="1"/>
  <c r="D214" i="119" s="1"/>
  <c r="E213" i="119"/>
  <c r="Z67" i="15" l="1"/>
  <c r="B215" i="119"/>
  <c r="F213" i="119"/>
  <c r="G213" i="119" s="1"/>
  <c r="C215" i="119" l="1"/>
  <c r="D215" i="119" s="1"/>
  <c r="E214" i="119"/>
  <c r="B216" i="119" l="1"/>
  <c r="F214" i="119"/>
  <c r="G214" i="119" s="1"/>
  <c r="C216" i="119" l="1"/>
  <c r="D216" i="119" s="1"/>
  <c r="E215" i="119"/>
  <c r="Z68" i="15" l="1"/>
  <c r="B217" i="119"/>
  <c r="F215" i="119"/>
  <c r="G215" i="119" s="1"/>
  <c r="C217" i="119" l="1"/>
  <c r="D217" i="119" s="1"/>
  <c r="E216" i="119"/>
  <c r="B218" i="119" l="1"/>
  <c r="F216" i="119"/>
  <c r="G216" i="119" s="1"/>
  <c r="C218" i="119" l="1"/>
  <c r="D218" i="119" s="1"/>
  <c r="E217" i="119"/>
  <c r="Z69" i="15" l="1"/>
  <c r="B219" i="119"/>
  <c r="F217" i="119"/>
  <c r="G217" i="119" s="1"/>
  <c r="C219" i="119" l="1"/>
  <c r="D219" i="119" s="1"/>
  <c r="E218" i="119"/>
  <c r="B220" i="119" l="1"/>
  <c r="F218" i="119"/>
  <c r="G218" i="119" s="1"/>
  <c r="C220" i="119" l="1"/>
  <c r="D220" i="119" s="1"/>
  <c r="E219" i="119"/>
  <c r="Z70" i="15" l="1"/>
  <c r="B221" i="119"/>
  <c r="F219" i="119"/>
  <c r="G219" i="119" s="1"/>
  <c r="C221" i="119" l="1"/>
  <c r="D221" i="119" s="1"/>
  <c r="F222" i="119"/>
  <c r="G222" i="119" s="1"/>
  <c r="E220" i="119"/>
  <c r="D223" i="119" l="1"/>
  <c r="H220" i="119" s="1"/>
  <c r="F220" i="119"/>
  <c r="G220" i="119" s="1"/>
  <c r="Z71" i="15" l="1"/>
  <c r="H221" i="119"/>
  <c r="H202" i="119"/>
  <c r="I202" i="119" s="1"/>
  <c r="H203" i="119"/>
  <c r="H204" i="119"/>
  <c r="H205" i="119"/>
  <c r="H206" i="119"/>
  <c r="H207" i="119"/>
  <c r="H208" i="119"/>
  <c r="H209" i="119"/>
  <c r="H210" i="119"/>
  <c r="H211" i="119"/>
  <c r="H212" i="119"/>
  <c r="H213" i="119"/>
  <c r="H214" i="119"/>
  <c r="H215" i="119"/>
  <c r="H216" i="119"/>
  <c r="H217" i="119"/>
  <c r="H218" i="119"/>
  <c r="H219" i="119"/>
  <c r="F221" i="119"/>
  <c r="E221"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G221" i="119"/>
  <c r="Z72" i="15" l="1"/>
  <c r="Z73" i="15" l="1"/>
  <c r="Z74" i="15" l="1"/>
  <c r="Z75" i="15" l="1"/>
  <c r="Z76" i="15" l="1"/>
  <c r="Z77" i="15" l="1"/>
  <c r="Z78" i="15" l="1"/>
  <c r="Z79" i="15" l="1"/>
  <c r="Z80" i="15" l="1"/>
  <c r="Z81" i="15" l="1"/>
  <c r="Z82" i="15" l="1"/>
  <c r="Z83" i="15" l="1"/>
  <c r="Z84" i="15" l="1"/>
  <c r="Z85" i="15" l="1"/>
  <c r="Z86" i="15" l="1"/>
  <c r="Z87" i="15" l="1"/>
  <c r="Z88" i="15" l="1"/>
  <c r="Z89" i="15" l="1"/>
  <c r="Z90" i="15" l="1"/>
  <c r="Z91" i="15" l="1"/>
  <c r="Z92" i="15" l="1"/>
  <c r="Z93" i="15" l="1"/>
  <c r="Z94" i="15" l="1"/>
  <c r="Z95" i="15" l="1"/>
  <c r="Z96" i="15" l="1"/>
  <c r="Z97" i="15" l="1"/>
  <c r="Z98" i="15" l="1"/>
  <c r="Z99" i="15" l="1"/>
  <c r="Z100" i="15" l="1"/>
  <c r="G14" i="13" l="1"/>
  <c r="C15" i="13" s="1"/>
  <c r="E14" i="13"/>
  <c r="D14" i="13" s="1"/>
  <c r="S65" i="15" l="1"/>
  <c r="T65" i="15" s="1"/>
  <c r="E15" i="13"/>
  <c r="D15" i="13" s="1"/>
  <c r="G15" i="13"/>
  <c r="C16" i="13" s="1"/>
  <c r="Z101" i="15"/>
  <c r="E16" i="13" l="1"/>
  <c r="D16" i="13" s="1"/>
  <c r="G16" i="13"/>
  <c r="C17" i="13" s="1"/>
  <c r="S66" i="15"/>
  <c r="T66" i="15" s="1"/>
  <c r="V65" i="15"/>
  <c r="X65" i="15" s="1"/>
  <c r="Y65" i="15" s="1"/>
  <c r="AC65" i="15"/>
  <c r="AA65" i="15" l="1"/>
  <c r="AB65" i="15" s="1"/>
  <c r="V66" i="15"/>
  <c r="X66" i="15" s="1"/>
  <c r="Y66" i="15" s="1"/>
  <c r="AC66" i="15"/>
  <c r="E17" i="13"/>
  <c r="D17" i="13" s="1"/>
  <c r="G17" i="13"/>
  <c r="C18" i="13" s="1"/>
  <c r="S67" i="15"/>
  <c r="T67" i="15" s="1"/>
  <c r="AA66" i="15" l="1"/>
  <c r="AB66" i="15" s="1"/>
  <c r="AC67" i="15"/>
  <c r="V67" i="15"/>
  <c r="X67" i="15" s="1"/>
  <c r="AA67" i="15" s="1"/>
  <c r="E18" i="13"/>
  <c r="D18" i="13" s="1"/>
  <c r="G18" i="13"/>
  <c r="C19" i="13" s="1"/>
  <c r="S68" i="15"/>
  <c r="Z102" i="15"/>
  <c r="Y67" i="15" l="1"/>
  <c r="G19" i="13"/>
  <c r="C20" i="13" s="1"/>
  <c r="E19" i="13"/>
  <c r="D19" i="13" s="1"/>
  <c r="S69" i="15"/>
  <c r="AB67" i="15"/>
  <c r="S70" i="15" l="1"/>
  <c r="E20" i="13"/>
  <c r="D20" i="13" s="1"/>
  <c r="G20" i="13"/>
  <c r="C21" i="13" s="1"/>
  <c r="G21" i="13" l="1"/>
  <c r="C22" i="13" s="1"/>
  <c r="E21" i="13"/>
  <c r="D21" i="13" s="1"/>
  <c r="S71" i="15"/>
  <c r="S72" i="15" l="1"/>
  <c r="E22" i="13"/>
  <c r="D22" i="13" s="1"/>
  <c r="G22" i="13"/>
  <c r="C23" i="13" s="1"/>
  <c r="Z103" i="15"/>
  <c r="G23" i="13" l="1"/>
  <c r="C24" i="13" s="1"/>
  <c r="E23" i="13"/>
  <c r="D23" i="13" s="1"/>
  <c r="S73" i="15"/>
  <c r="S74" i="15" l="1"/>
  <c r="E24" i="13"/>
  <c r="D24" i="13" s="1"/>
  <c r="G24" i="13"/>
  <c r="C25" i="13" s="1"/>
  <c r="G25" i="13" l="1"/>
  <c r="C26" i="13" s="1"/>
  <c r="E25" i="13"/>
  <c r="D25" i="13" s="1"/>
  <c r="S75" i="15"/>
  <c r="Z104" i="15"/>
  <c r="S76" i="15" l="1"/>
  <c r="E26" i="13"/>
  <c r="D26" i="13" s="1"/>
  <c r="G26" i="13"/>
  <c r="C27" i="13" s="1"/>
  <c r="S77" i="15" l="1"/>
  <c r="E27" i="13"/>
  <c r="D27" i="13" s="1"/>
  <c r="G27" i="13"/>
  <c r="C28" i="13" s="1"/>
  <c r="E28" i="13" l="1"/>
  <c r="D28" i="13" s="1"/>
  <c r="G28" i="13"/>
  <c r="C29" i="13" s="1"/>
  <c r="S78" i="15"/>
  <c r="G29" i="13" l="1"/>
  <c r="C30" i="13" s="1"/>
  <c r="E29" i="13"/>
  <c r="D29" i="13" s="1"/>
  <c r="S79" i="15"/>
  <c r="Z105" i="15"/>
  <c r="S80" i="15" l="1"/>
  <c r="G30" i="13"/>
  <c r="C31" i="13" s="1"/>
  <c r="E30" i="13"/>
  <c r="D30" i="13" s="1"/>
  <c r="S81" i="15" l="1"/>
  <c r="G31" i="13"/>
  <c r="C32" i="13" s="1"/>
  <c r="E31" i="13"/>
  <c r="D31" i="13" s="1"/>
  <c r="Z106" i="15"/>
  <c r="S82" i="15" l="1"/>
  <c r="G32" i="13"/>
  <c r="C33" i="13" s="1"/>
  <c r="E32" i="13"/>
  <c r="D32" i="13" s="1"/>
  <c r="S83" i="15" l="1"/>
  <c r="G33" i="13"/>
  <c r="C34" i="13" s="1"/>
  <c r="E33" i="13"/>
  <c r="D33" i="13" s="1"/>
  <c r="S84" i="15" l="1"/>
  <c r="G34" i="13"/>
  <c r="C35" i="13" s="1"/>
  <c r="E34" i="13"/>
  <c r="D34" i="13" s="1"/>
  <c r="S85" i="15" l="1"/>
  <c r="G35" i="13"/>
  <c r="C36" i="13" s="1"/>
  <c r="E35" i="13"/>
  <c r="D35" i="13" s="1"/>
  <c r="S86" i="15" l="1"/>
  <c r="G36" i="13"/>
  <c r="C37" i="13" s="1"/>
  <c r="E36" i="13"/>
  <c r="D36" i="13" s="1"/>
  <c r="E37" i="13" l="1"/>
  <c r="D37" i="13" s="1"/>
  <c r="G37" i="13"/>
  <c r="C38" i="13" s="1"/>
  <c r="S87" i="15"/>
  <c r="G38" i="13" l="1"/>
  <c r="C39" i="13" s="1"/>
  <c r="E38" i="13"/>
  <c r="D38" i="13" s="1"/>
  <c r="S88" i="15"/>
  <c r="S89" i="15" l="1"/>
  <c r="G39" i="13"/>
  <c r="C40" i="13" s="1"/>
  <c r="E39" i="13"/>
  <c r="D39" i="13" s="1"/>
  <c r="S90" i="15" l="1"/>
  <c r="E40" i="13"/>
  <c r="D40" i="13" s="1"/>
  <c r="G40" i="13"/>
  <c r="C41" i="13" s="1"/>
  <c r="S91" i="15" l="1"/>
  <c r="E41" i="13"/>
  <c r="D41" i="13" s="1"/>
  <c r="G41" i="13"/>
  <c r="C42" i="13" s="1"/>
  <c r="G42" i="13" l="1"/>
  <c r="C43" i="13" s="1"/>
  <c r="E42" i="13"/>
  <c r="D42" i="13" s="1"/>
  <c r="S92" i="15"/>
  <c r="S93" i="15" l="1"/>
  <c r="G43" i="13"/>
  <c r="C44" i="13" s="1"/>
  <c r="E43" i="13"/>
  <c r="D43" i="13" s="1"/>
  <c r="S94" i="15" l="1"/>
  <c r="G44" i="13"/>
  <c r="C45" i="13" s="1"/>
  <c r="E44" i="13"/>
  <c r="D44" i="13" s="1"/>
  <c r="S95" i="15" l="1"/>
  <c r="G45" i="13"/>
  <c r="C46" i="13" s="1"/>
  <c r="E45" i="13"/>
  <c r="D45" i="13" s="1"/>
  <c r="S96" i="15" l="1"/>
  <c r="G46" i="13"/>
  <c r="C47" i="13" s="1"/>
  <c r="E46" i="13"/>
  <c r="D46" i="13" s="1"/>
  <c r="S97" i="15" l="1"/>
  <c r="E47" i="13"/>
  <c r="D47" i="13" s="1"/>
  <c r="G47" i="13"/>
  <c r="C48" i="13" s="1"/>
  <c r="S98" i="15" l="1"/>
  <c r="E48" i="13"/>
  <c r="D48" i="13" s="1"/>
  <c r="G48" i="13"/>
  <c r="C49" i="13" s="1"/>
  <c r="E49" i="13" l="1"/>
  <c r="D49" i="13" s="1"/>
  <c r="G49" i="13"/>
  <c r="C50" i="13" s="1"/>
  <c r="S99" i="15"/>
  <c r="G50" i="13" l="1"/>
  <c r="C51" i="13" s="1"/>
  <c r="E50" i="13"/>
  <c r="D50" i="13" s="1"/>
  <c r="S100" i="15"/>
  <c r="S101" i="15" l="1"/>
  <c r="G51" i="13"/>
  <c r="C52" i="13" s="1"/>
  <c r="E51" i="13"/>
  <c r="D51" i="13" s="1"/>
  <c r="S102" i="15" l="1"/>
  <c r="G52" i="13"/>
  <c r="C53" i="13" s="1"/>
  <c r="E52" i="13"/>
  <c r="D52" i="13" s="1"/>
  <c r="E53" i="13" l="1"/>
  <c r="D53" i="13" s="1"/>
  <c r="G53" i="13"/>
  <c r="C54" i="13" s="1"/>
  <c r="S103" i="15"/>
  <c r="G54" i="13" l="1"/>
  <c r="C55" i="13" s="1"/>
  <c r="E54" i="13"/>
  <c r="D54" i="13" s="1"/>
  <c r="S104" i="15"/>
  <c r="S105" i="15" l="1"/>
  <c r="E55" i="13"/>
  <c r="D55" i="13" s="1"/>
  <c r="G55" i="13"/>
  <c r="C56" i="13" s="1"/>
  <c r="F56" i="13" l="1"/>
  <c r="Z107" i="15" s="1"/>
  <c r="E56" i="13"/>
  <c r="S106" i="15"/>
  <c r="G56" i="13" l="1"/>
  <c r="D56" i="13"/>
  <c r="S107" i="15"/>
  <c r="Z115" i="15"/>
  <c r="Z114" i="15"/>
  <c r="Z116" i="15"/>
  <c r="Z55" i="15" l="1"/>
  <c r="Z57" i="15" s="1"/>
  <c r="Z117" i="15"/>
  <c r="Y48" i="119" s="1"/>
  <c r="E170" i="119" s="1"/>
  <c r="S114" i="15"/>
  <c r="S115" i="15"/>
  <c r="B119" i="15" s="1"/>
  <c r="S116" i="15"/>
  <c r="S117" i="15" l="1"/>
  <c r="AA55" i="15"/>
  <c r="AA57" i="15" s="1"/>
  <c r="E17" i="15" s="1"/>
  <c r="C120" i="15"/>
  <c r="D20" i="34" s="1"/>
  <c r="C124" i="15"/>
  <c r="D24" i="34" s="1"/>
  <c r="C125" i="15"/>
  <c r="D25" i="34" s="1"/>
  <c r="C121" i="15"/>
  <c r="D21" i="34" s="1"/>
  <c r="C122" i="15"/>
  <c r="D22" i="34" s="1"/>
  <c r="C123" i="15"/>
  <c r="D23" i="34" s="1"/>
  <c r="C119" i="15"/>
  <c r="D19" i="34" s="1"/>
  <c r="X60" i="15" l="1"/>
  <c r="F88" i="15"/>
  <c r="T88" i="15" s="1"/>
  <c r="F78" i="15"/>
  <c r="T78" i="15" s="1"/>
  <c r="F69" i="15"/>
  <c r="T69" i="15" s="1"/>
  <c r="F80" i="15"/>
  <c r="T80" i="15" s="1"/>
  <c r="F85" i="15"/>
  <c r="T85" i="15" s="1"/>
  <c r="F106" i="15"/>
  <c r="T106" i="15" s="1"/>
  <c r="F73" i="15"/>
  <c r="T73" i="15" s="1"/>
  <c r="F74" i="15"/>
  <c r="T74" i="15" s="1"/>
  <c r="F82" i="15"/>
  <c r="T82" i="15" s="1"/>
  <c r="F90" i="15"/>
  <c r="T90" i="15" s="1"/>
  <c r="F77" i="15"/>
  <c r="T77" i="15" s="1"/>
  <c r="F94" i="15"/>
  <c r="T94" i="15" s="1"/>
  <c r="F100" i="15"/>
  <c r="T100" i="15" s="1"/>
  <c r="F103" i="15"/>
  <c r="T103" i="15" s="1"/>
  <c r="F87" i="15"/>
  <c r="T87" i="15" s="1"/>
  <c r="F71" i="15"/>
  <c r="T71" i="15" s="1"/>
  <c r="E16" i="15"/>
  <c r="F81" i="15"/>
  <c r="T81" i="15" s="1"/>
  <c r="F89" i="15"/>
  <c r="T89" i="15" s="1"/>
  <c r="F91" i="15"/>
  <c r="T91" i="15" s="1"/>
  <c r="F72" i="15"/>
  <c r="T72" i="15" s="1"/>
  <c r="F95" i="15"/>
  <c r="T95" i="15" s="1"/>
  <c r="F105" i="15"/>
  <c r="T105" i="15" s="1"/>
  <c r="F96" i="15"/>
  <c r="T96" i="15" s="1"/>
  <c r="F70" i="15"/>
  <c r="T70" i="15" s="1"/>
  <c r="F76" i="15"/>
  <c r="T76" i="15" s="1"/>
  <c r="F107" i="15"/>
  <c r="T107" i="15" s="1"/>
  <c r="F102" i="15"/>
  <c r="T102" i="15" s="1"/>
  <c r="F75" i="15"/>
  <c r="T75" i="15" s="1"/>
  <c r="F99" i="15"/>
  <c r="T99" i="15" s="1"/>
  <c r="F84" i="15"/>
  <c r="T84" i="15" s="1"/>
  <c r="F97" i="15"/>
  <c r="T97" i="15" s="1"/>
  <c r="F98" i="15"/>
  <c r="T98" i="15" s="1"/>
  <c r="F92" i="15"/>
  <c r="T92" i="15" s="1"/>
  <c r="F79" i="15"/>
  <c r="T79" i="15" s="1"/>
  <c r="F83" i="15"/>
  <c r="T83" i="15" s="1"/>
  <c r="F104" i="15"/>
  <c r="T104" i="15" s="1"/>
  <c r="F93" i="15"/>
  <c r="T93" i="15" s="1"/>
  <c r="F86" i="15"/>
  <c r="T86" i="15" s="1"/>
  <c r="F68" i="15"/>
  <c r="F101" i="15"/>
  <c r="T101" i="15" s="1"/>
  <c r="W48" i="119"/>
  <c r="E168" i="119" s="1"/>
  <c r="V97" i="15" l="1"/>
  <c r="X97" i="15" s="1"/>
  <c r="Y97" i="15" s="1"/>
  <c r="AC97" i="15"/>
  <c r="AC96" i="15"/>
  <c r="V96" i="15"/>
  <c r="X96" i="15" s="1"/>
  <c r="AA96" i="15" s="1"/>
  <c r="V71" i="15"/>
  <c r="X71" i="15" s="1"/>
  <c r="Y71" i="15" s="1"/>
  <c r="AC71" i="15"/>
  <c r="V74" i="15"/>
  <c r="X74" i="15" s="1"/>
  <c r="Y74" i="15" s="1"/>
  <c r="AC74" i="15"/>
  <c r="T68" i="15"/>
  <c r="F115" i="15"/>
  <c r="F116" i="15"/>
  <c r="F118" i="15" s="1"/>
  <c r="F114" i="15"/>
  <c r="V84" i="15"/>
  <c r="X84" i="15" s="1"/>
  <c r="Y84" i="15" s="1"/>
  <c r="AC84" i="15"/>
  <c r="V105" i="15"/>
  <c r="X105" i="15" s="1"/>
  <c r="Y105" i="15" s="1"/>
  <c r="AC105" i="15"/>
  <c r="V87" i="15"/>
  <c r="X87" i="15" s="1"/>
  <c r="Y87" i="15" s="1"/>
  <c r="AC87" i="15"/>
  <c r="AC73" i="15"/>
  <c r="V73" i="15"/>
  <c r="X73" i="15" s="1"/>
  <c r="Y73" i="15" s="1"/>
  <c r="V93" i="15"/>
  <c r="X93" i="15" s="1"/>
  <c r="Y93" i="15" s="1"/>
  <c r="AC93" i="15"/>
  <c r="AC99" i="15"/>
  <c r="V99" i="15"/>
  <c r="X99" i="15" s="1"/>
  <c r="Y99" i="15" s="1"/>
  <c r="AC95" i="15"/>
  <c r="V95" i="15"/>
  <c r="X95" i="15" s="1"/>
  <c r="Y95" i="15" s="1"/>
  <c r="V103" i="15"/>
  <c r="X103" i="15" s="1"/>
  <c r="Y103" i="15" s="1"/>
  <c r="AC103" i="15"/>
  <c r="V106" i="15"/>
  <c r="X106" i="15" s="1"/>
  <c r="Y106" i="15" s="1"/>
  <c r="AC106" i="15"/>
  <c r="AC104" i="15"/>
  <c r="V104" i="15"/>
  <c r="X104" i="15" s="1"/>
  <c r="Y104" i="15" s="1"/>
  <c r="V75" i="15"/>
  <c r="X75" i="15" s="1"/>
  <c r="Y75" i="15" s="1"/>
  <c r="AC75" i="15"/>
  <c r="V72" i="15"/>
  <c r="X72" i="15" s="1"/>
  <c r="Y72" i="15" s="1"/>
  <c r="AC72" i="15"/>
  <c r="AC100" i="15"/>
  <c r="V100" i="15"/>
  <c r="X100" i="15" s="1"/>
  <c r="Y100" i="15" s="1"/>
  <c r="V85" i="15"/>
  <c r="X85" i="15" s="1"/>
  <c r="Y85" i="15" s="1"/>
  <c r="AC85" i="15"/>
  <c r="V83" i="15"/>
  <c r="X83" i="15" s="1"/>
  <c r="Y83" i="15" s="1"/>
  <c r="AC83" i="15"/>
  <c r="AC102" i="15"/>
  <c r="V102" i="15"/>
  <c r="X102" i="15" s="1"/>
  <c r="Y102" i="15" s="1"/>
  <c r="V91" i="15"/>
  <c r="X91" i="15" s="1"/>
  <c r="AA91" i="15" s="1"/>
  <c r="AC91" i="15"/>
  <c r="AC94" i="15"/>
  <c r="V94" i="15"/>
  <c r="X94" i="15" s="1"/>
  <c r="AA94" i="15" s="1"/>
  <c r="V80" i="15"/>
  <c r="X80" i="15" s="1"/>
  <c r="Y80" i="15" s="1"/>
  <c r="AC80" i="15"/>
  <c r="V79" i="15"/>
  <c r="X79" i="15" s="1"/>
  <c r="Y79" i="15" s="1"/>
  <c r="AC79" i="15"/>
  <c r="AC107" i="15"/>
  <c r="V107" i="15"/>
  <c r="X107" i="15" s="1"/>
  <c r="Y107" i="15" s="1"/>
  <c r="AC89" i="15"/>
  <c r="V89" i="15"/>
  <c r="X89" i="15" s="1"/>
  <c r="Y89" i="15" s="1"/>
  <c r="V77" i="15"/>
  <c r="X77" i="15" s="1"/>
  <c r="Y77" i="15" s="1"/>
  <c r="AC77" i="15"/>
  <c r="V69" i="15"/>
  <c r="X69" i="15" s="1"/>
  <c r="AA69" i="15" s="1"/>
  <c r="AC69" i="15"/>
  <c r="AC92" i="15"/>
  <c r="V92" i="15"/>
  <c r="X92" i="15" s="1"/>
  <c r="Y92" i="15" s="1"/>
  <c r="V76" i="15"/>
  <c r="X76" i="15" s="1"/>
  <c r="Y76" i="15" s="1"/>
  <c r="AC76" i="15"/>
  <c r="V81" i="15"/>
  <c r="X81" i="15" s="1"/>
  <c r="Y81" i="15" s="1"/>
  <c r="AC81" i="15"/>
  <c r="V90" i="15"/>
  <c r="X90" i="15" s="1"/>
  <c r="Y90" i="15" s="1"/>
  <c r="AC90" i="15"/>
  <c r="AC78" i="15"/>
  <c r="V78" i="15"/>
  <c r="X78" i="15" s="1"/>
  <c r="Y78" i="15" s="1"/>
  <c r="V86" i="15"/>
  <c r="X86" i="15" s="1"/>
  <c r="Y86" i="15" s="1"/>
  <c r="AC86" i="15"/>
  <c r="AC101" i="15"/>
  <c r="V101" i="15"/>
  <c r="X101" i="15" s="1"/>
  <c r="Y101" i="15" s="1"/>
  <c r="V98" i="15"/>
  <c r="X98" i="15" s="1"/>
  <c r="Y98" i="15" s="1"/>
  <c r="AC98" i="15"/>
  <c r="V70" i="15"/>
  <c r="X70" i="15" s="1"/>
  <c r="Y70" i="15" s="1"/>
  <c r="AC70" i="15"/>
  <c r="D119" i="15"/>
  <c r="C19" i="34" s="1"/>
  <c r="D125" i="15"/>
  <c r="C25" i="34" s="1"/>
  <c r="D122" i="15"/>
  <c r="C22" i="34" s="1"/>
  <c r="D121" i="15"/>
  <c r="C21" i="34" s="1"/>
  <c r="D123" i="15"/>
  <c r="C23" i="34" s="1"/>
  <c r="D120" i="15"/>
  <c r="C20" i="34" s="1"/>
  <c r="D124" i="15"/>
  <c r="C24" i="34" s="1"/>
  <c r="V82" i="15"/>
  <c r="X82" i="15" s="1"/>
  <c r="Y82" i="15" s="1"/>
  <c r="AC82" i="15"/>
  <c r="V88" i="15"/>
  <c r="X88" i="15" s="1"/>
  <c r="AA88" i="15" s="1"/>
  <c r="AC88" i="15"/>
  <c r="AA82" i="15" l="1"/>
  <c r="AA100" i="15"/>
  <c r="AA77" i="15"/>
  <c r="AA83" i="15"/>
  <c r="AA95" i="15"/>
  <c r="AA78" i="15"/>
  <c r="AA76" i="15"/>
  <c r="AA101" i="15"/>
  <c r="AA89" i="15"/>
  <c r="AA106" i="15"/>
  <c r="AA99" i="15"/>
  <c r="AA97" i="15"/>
  <c r="Y69" i="15"/>
  <c r="AA103" i="15"/>
  <c r="AA105" i="15"/>
  <c r="AA70" i="15"/>
  <c r="AA86" i="15"/>
  <c r="AA107" i="15"/>
  <c r="AA85" i="15"/>
  <c r="AA93" i="15"/>
  <c r="AA90" i="15"/>
  <c r="AA102" i="15"/>
  <c r="AG118" i="15"/>
  <c r="K48" i="119"/>
  <c r="E155" i="119" s="1"/>
  <c r="C26" i="34"/>
  <c r="AA92" i="15"/>
  <c r="Y94" i="15"/>
  <c r="AA104" i="15"/>
  <c r="Y96" i="15"/>
  <c r="T115" i="15"/>
  <c r="T116" i="15"/>
  <c r="AC68" i="15"/>
  <c r="V68" i="15"/>
  <c r="T114" i="15"/>
  <c r="AA81" i="15"/>
  <c r="AA79" i="15"/>
  <c r="AA72" i="15"/>
  <c r="AA73" i="15"/>
  <c r="AA74" i="15"/>
  <c r="Y88" i="15"/>
  <c r="AA98" i="15"/>
  <c r="Y91" i="15"/>
  <c r="AA84" i="15"/>
  <c r="AA80" i="15"/>
  <c r="AA75" i="15"/>
  <c r="AA87" i="15"/>
  <c r="AA71" i="15"/>
  <c r="V116" i="15" l="1"/>
  <c r="X68" i="15"/>
  <c r="V114" i="15"/>
  <c r="V115" i="15"/>
  <c r="AC116" i="15"/>
  <c r="AC114" i="15"/>
  <c r="E21" i="15"/>
  <c r="E19" i="15" s="1"/>
  <c r="AC115" i="15"/>
  <c r="F155" i="119"/>
  <c r="F156" i="119"/>
  <c r="F157" i="119"/>
  <c r="X116" i="15" l="1"/>
  <c r="X117" i="15" s="1"/>
  <c r="X115" i="15"/>
  <c r="X114" i="15"/>
  <c r="Y68" i="15"/>
  <c r="AA68" i="15"/>
  <c r="I157" i="119"/>
  <c r="L157" i="119" s="1"/>
  <c r="N157" i="119" s="1"/>
  <c r="I156" i="119"/>
  <c r="L156" i="119" s="1"/>
  <c r="H156" i="119"/>
  <c r="K156" i="119" s="1"/>
  <c r="H155" i="119"/>
  <c r="K155" i="119" s="1"/>
  <c r="I155" i="119"/>
  <c r="L155" i="119" s="1"/>
  <c r="H157" i="119"/>
  <c r="K157" i="119" s="1"/>
  <c r="N156" i="119" l="1"/>
  <c r="AA116" i="15"/>
  <c r="E20" i="15"/>
  <c r="E18" i="15" s="1"/>
  <c r="AB68" i="15"/>
  <c r="AA115" i="15"/>
  <c r="AA114" i="15"/>
  <c r="E26" i="15"/>
  <c r="H17" i="6" s="1"/>
  <c r="Y116" i="15"/>
  <c r="Y114" i="15"/>
  <c r="Y115" i="15"/>
  <c r="L171" i="119"/>
  <c r="N155" i="119"/>
  <c r="X48" i="119"/>
  <c r="E169" i="119" s="1"/>
  <c r="AG117" i="15"/>
  <c r="F169" i="119" l="1"/>
  <c r="F166" i="119"/>
  <c r="F167" i="119"/>
  <c r="F164" i="119"/>
  <c r="F170" i="119"/>
  <c r="F161" i="119"/>
  <c r="F168" i="119"/>
  <c r="F165" i="119"/>
  <c r="F159" i="119"/>
  <c r="F163" i="119"/>
  <c r="F160" i="119"/>
  <c r="F162" i="119"/>
  <c r="AB69" i="15"/>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AB116" i="15" l="1"/>
  <c r="AB114" i="15"/>
  <c r="AB115" i="15"/>
  <c r="I162" i="119"/>
  <c r="M162" i="119" s="1"/>
  <c r="H167" i="119"/>
  <c r="K167" i="119" s="1"/>
  <c r="H159" i="119"/>
  <c r="K159" i="119" s="1"/>
  <c r="H165" i="119"/>
  <c r="K165" i="119" s="1"/>
  <c r="H170" i="119"/>
  <c r="K170" i="119" s="1"/>
  <c r="I168" i="119"/>
  <c r="M168" i="119" s="1"/>
  <c r="I159" i="119"/>
  <c r="M159" i="119" s="1"/>
  <c r="H169" i="119"/>
  <c r="K169" i="119" s="1"/>
  <c r="H163" i="119"/>
  <c r="K163" i="119" s="1"/>
  <c r="H164" i="119"/>
  <c r="K164" i="119" s="1"/>
  <c r="H162" i="119"/>
  <c r="K162" i="119" s="1"/>
  <c r="I166" i="119"/>
  <c r="M166" i="119" s="1"/>
  <c r="H160" i="119"/>
  <c r="K160" i="119" s="1"/>
  <c r="I164" i="119"/>
  <c r="M164" i="119" s="1"/>
  <c r="I161" i="119"/>
  <c r="M161" i="119" s="1"/>
  <c r="H168" i="119"/>
  <c r="K168" i="119" s="1"/>
  <c r="I165" i="119"/>
  <c r="M165" i="119" s="1"/>
  <c r="I170" i="119"/>
  <c r="M170" i="119" s="1"/>
  <c r="H166" i="119"/>
  <c r="K166" i="119" s="1"/>
  <c r="I169" i="119"/>
  <c r="M169" i="119" s="1"/>
  <c r="I160" i="119"/>
  <c r="M160" i="119" s="1"/>
  <c r="I163" i="119"/>
  <c r="M163" i="119" s="1"/>
  <c r="H161" i="119"/>
  <c r="K161" i="119" s="1"/>
  <c r="I167" i="119"/>
  <c r="M167" i="119" s="1"/>
  <c r="N169" i="119" l="1"/>
  <c r="N160" i="119"/>
  <c r="N170" i="119"/>
  <c r="N163" i="119"/>
  <c r="N167" i="119"/>
  <c r="N165" i="119"/>
  <c r="N166" i="119"/>
  <c r="N162" i="119"/>
  <c r="N161" i="119"/>
  <c r="N159" i="119"/>
  <c r="M171" i="119"/>
  <c r="N171" i="119" s="1"/>
  <c r="N164" i="119"/>
  <c r="N168"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C30" authorId="0" shapeId="0" xr:uid="{46269D44-DA77-40B6-A6F6-09406CB060A0}">
      <text>
        <r>
          <rPr>
            <b/>
            <sz val="9"/>
            <color indexed="81"/>
            <rFont val="Tahoma"/>
            <family val="2"/>
          </rPr>
          <t>Windows User:</t>
        </r>
        <r>
          <rPr>
            <sz val="9"/>
            <color indexed="81"/>
            <rFont val="Tahoma"/>
            <family val="2"/>
          </rPr>
          <t xml:space="preserve">
Set to 0 to turn off carbon sequestration</t>
        </r>
      </text>
    </commen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<sst xmlns="http://schemas.openxmlformats.org/spreadsheetml/2006/main" count="3900" uniqueCount="1407">
  <si>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</si>
  <si>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</si>
  <si>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</si>
  <si>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</si>
  <si>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</si>
  <si>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</si>
  <si>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</si>
  <si>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</si>
  <si>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</si>
  <si>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</si>
  <si>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</si>
  <si>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</si>
  <si>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</si>
  <si>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</si>
  <si>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</si>
  <si>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</si>
  <si>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</si>
  <si>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</si>
  <si>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</si>
  <si>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</si>
  <si>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</si>
  <si>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</si>
  <si>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</si>
  <si>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</si>
  <si>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</si>
  <si>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</si>
  <si>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</si>
  <si>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</si>
  <si>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</si>
  <si>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</si>
  <si>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</si>
  <si>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</si>
  <si>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</si>
  <si>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</si>
  <si>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</si>
  <si>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</si>
  <si>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</si>
  <si>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</si>
  <si>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</si>
  <si>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</si>
  <si>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</si>
  <si>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</si>
  <si>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</si>
  <si>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</si>
  <si>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</si>
  <si>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</si>
  <si>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</si>
  <si>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</si>
  <si>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</si>
  <si>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</si>
  <si>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</si>
  <si>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</si>
  <si>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</si>
  <si>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</si>
  <si>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</si>
  <si>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</si>
  <si>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</si>
  <si>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</si>
  <si>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</si>
  <si>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</si>
  <si>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</si>
  <si>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</si>
  <si>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</si>
  <si>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</si>
  <si>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</si>
  <si>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</si>
  <si>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</si>
  <si>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</si>
  <si>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</si>
  <si>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</si>
  <si>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</si>
  <si>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</si>
  <si>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</si>
  <si>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</si>
  <si>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</si>
  <si>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</si>
  <si>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</si>
  <si>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</si>
  <si>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</si>
  <si>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</si>
  <si>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</si>
  <si>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</si>
  <si>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</si>
  <si>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</si>
  <si>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</si>
  <si>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</si>
  <si>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</si>
  <si>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</si>
  <si>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</si>
  <si>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</si>
  <si>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</si>
  <si>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</si>
  <si>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</si>
  <si>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</si>
  <si>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</si>
  <si>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</si>
  <si>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</si>
  <si>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</si>
  <si>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</si>
  <si>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</si>
  <si>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</si>
  <si>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</si>
  <si>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</si>
  <si>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</si>
  <si>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</si>
  <si>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</si>
  <si>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</si>
  <si>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</si>
  <si>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</si>
  <si>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</si>
  <si>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</si>
  <si>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</si>
  <si>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</si>
  <si>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</si>
  <si>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</si>
  <si>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</si>
  <si>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</si>
  <si>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</si>
  <si>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</si>
  <si>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</si>
  <si>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</si>
  <si>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</si>
  <si>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</si>
  <si>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</si>
  <si>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</si>
  <si>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</si>
  <si>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</si>
  <si>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</si>
  <si>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</si>
  <si>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</si>
  <si>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</si>
  <si>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</si>
  <si>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</si>
  <si>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</si>
  <si>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</si>
  <si>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</si>
  <si>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</si>
  <si>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</si>
  <si>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</si>
  <si>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</si>
  <si>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</si>
  <si>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</si>
  <si>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</si>
  <si>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</si>
  <si>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</si>
  <si>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</si>
  <si>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</si>
  <si>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</si>
  <si>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</si>
  <si>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</si>
  <si>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</si>
  <si>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</si>
  <si>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</si>
  <si>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</si>
  <si>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</si>
  <si>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</si>
  <si>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</si>
  <si>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</si>
  <si>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</si>
  <si>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</si>
  <si>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</si>
  <si>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</si>
  <si>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</si>
  <si>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</si>
  <si>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</si>
  <si>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</si>
  <si>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</si>
  <si>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</si>
  <si>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</si>
  <si>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</si>
  <si>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</si>
  <si>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</si>
  <si>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</si>
  <si>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</si>
  <si>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</si>
  <si>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</si>
  <si>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</si>
  <si>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</si>
  <si>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</si>
  <si>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</si>
  <si>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</si>
  <si>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</si>
  <si>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</si>
  <si>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</si>
  <si>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</si>
  <si>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</si>
  <si>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</si>
  <si>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</si>
  <si>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</si>
  <si>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</si>
  <si>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</si>
  <si>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</si>
  <si>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</si>
  <si>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</si>
  <si>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</si>
  <si>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</si>
  <si>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</si>
  <si>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</si>
  <si>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</si>
  <si>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</si>
  <si>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</si>
  <si>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</si>
  <si>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</si>
  <si>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</si>
  <si>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</si>
  <si>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</si>
  <si>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</si>
  <si>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</si>
  <si>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</si>
  <si>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</si>
  <si>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</si>
  <si>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</si>
  <si>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</si>
  <si>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</si>
  <si>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</si>
  <si>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</si>
  <si>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</si>
  <si>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</si>
  <si>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</si>
  <si>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</si>
  <si>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</si>
  <si>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</si>
  <si>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</si>
  <si>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</si>
  <si>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</si>
  <si>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</si>
  <si>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</si>
  <si>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</si>
  <si>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</si>
  <si>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</si>
  <si>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</si>
  <si>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</si>
  <si>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</si>
  <si>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</si>
  <si>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</si>
  <si>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</si>
  <si>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</si>
  <si>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</si>
  <si>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</si>
  <si>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</si>
  <si>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</si>
  <si>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</si>
  <si>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</si>
  <si>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</si>
  <si>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</si>
  <si>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</si>
  <si>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</si>
  <si>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</si>
  <si>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</si>
  <si>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</si>
  <si>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</si>
  <si>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</si>
  <si>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</si>
  <si>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</si>
  <si>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</si>
  <si>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</si>
  <si>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</si>
  <si>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</si>
  <si>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</si>
  <si>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</si>
  <si>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</si>
  <si>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</si>
  <si>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</si>
  <si>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</si>
  <si>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</si>
  <si>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</si>
  <si>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</si>
  <si>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</si>
  <si>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</si>
  <si>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</si>
  <si>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</si>
  <si>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</si>
  <si>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</si>
  <si>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</si>
  <si>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</si>
  <si>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</si>
  <si>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</si>
  <si>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</si>
  <si>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</si>
  <si>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</si>
  <si>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</si>
  <si>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</si>
  <si>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</si>
  <si>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</si>
  <si>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</si>
  <si>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</si>
  <si>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</si>
  <si>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</si>
  <si>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</si>
  <si>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</si>
  <si>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</si>
  <si>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</si>
  <si>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</si>
  <si>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</si>
  <si>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</si>
  <si>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</si>
  <si>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</si>
  <si>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</si>
  <si>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</si>
  <si>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</si>
  <si>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</si>
  <si>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</si>
  <si>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</si>
  <si>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</si>
  <si>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</si>
  <si>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</si>
  <si>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</si>
  <si>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</si>
  <si>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</si>
  <si>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</si>
  <si>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</si>
  <si>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</si>
  <si>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</si>
  <si>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</si>
  <si>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</si>
  <si>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</si>
  <si>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</si>
  <si>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</si>
  <si>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</si>
  <si>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</si>
  <si>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</si>
  <si>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</si>
  <si>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</si>
  <si>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</si>
  <si>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</si>
  <si>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</si>
  <si>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</si>
  <si>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</si>
  <si>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</si>
  <si>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</si>
  <si>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</si>
  <si>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</si>
  <si>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</si>
  <si>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</si>
  <si>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</si>
  <si>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</si>
  <si>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</si>
  <si>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</si>
  <si>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</si>
  <si>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</si>
  <si>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</si>
  <si>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</si>
  <si>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</si>
  <si>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</si>
  <si>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</si>
  <si>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</si>
  <si>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</si>
  <si>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Process contingency ($)</t>
  </si>
  <si>
    <t>Project contingency ($)</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</si>
  <si>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</si>
  <si>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</si>
  <si>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</si>
  <si>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</si>
  <si>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</si>
  <si>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</si>
  <si>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</si>
  <si>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</si>
  <si>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</si>
  <si>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</si>
  <si>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</si>
  <si>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</si>
  <si>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</si>
  <si>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</si>
  <si>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</si>
  <si>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</si>
  <si>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</si>
  <si>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</si>
  <si>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</si>
  <si>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</si>
  <si>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</si>
  <si>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</si>
  <si>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</si>
  <si>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</si>
  <si>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</si>
  <si>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</si>
  <si>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</si>
  <si>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</si>
  <si>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</si>
  <si>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</si>
  <si>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</si>
  <si>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</si>
  <si>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</si>
  <si>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</si>
  <si>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</si>
  <si>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</si>
  <si>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</si>
  <si>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</si>
  <si>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</si>
  <si>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</si>
  <si>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</si>
  <si>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</si>
  <si>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</si>
  <si>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</si>
  <si>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</si>
  <si>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</si>
  <si>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</si>
  <si>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</si>
  <si>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</si>
  <si>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</si>
  <si>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</si>
  <si>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</si>
  <si>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</si>
  <si>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</si>
  <si>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</si>
  <si>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</si>
  <si>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</si>
  <si>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</si>
  <si>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</si>
  <si>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</si>
  <si>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</si>
  <si>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</si>
  <si>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</si>
  <si>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</si>
  <si>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</si>
  <si>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</si>
  <si>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</si>
  <si>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</si>
  <si>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</si>
  <si>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</si>
  <si>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</si>
  <si>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</si>
  <si>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</si>
  <si>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</si>
  <si>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</si>
  <si>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</si>
  <si>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</si>
  <si>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</si>
  <si>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</si>
  <si>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</si>
  <si>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</si>
  <si>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</si>
  <si>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</si>
  <si>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</si>
  <si>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</si>
  <si>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</si>
  <si>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</si>
  <si>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</si>
  <si>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</si>
  <si>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</si>
  <si>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</si>
  <si>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</si>
  <si>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</si>
  <si>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</si>
  <si>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</si>
  <si>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</si>
  <si>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</si>
  <si>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</si>
  <si>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</si>
  <si>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</si>
  <si>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</si>
  <si>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</si>
  <si>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</si>
  <si>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</si>
  <si>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</si>
  <si>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</si>
  <si>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</si>
  <si>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</si>
  <si>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</si>
  <si>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</si>
  <si>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</si>
  <si>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</si>
  <si>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</si>
  <si>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</si>
  <si>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</si>
  <si>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</si>
  <si>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</si>
  <si>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</si>
  <si>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</si>
  <si>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</si>
  <si>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</si>
  <si>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</si>
  <si>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</si>
  <si>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</si>
  <si>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</si>
  <si>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</si>
  <si>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</si>
  <si>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</si>
  <si>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</si>
  <si>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</si>
  <si>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</si>
  <si>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</si>
  <si>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</si>
  <si>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</si>
  <si>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</si>
  <si>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</si>
  <si>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</si>
  <si>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</si>
  <si>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</si>
  <si>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</si>
  <si>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</si>
  <si>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</si>
  <si>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</si>
  <si>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</si>
  <si>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</si>
  <si>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</si>
  <si>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</si>
  <si>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</si>
  <si>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</si>
  <si>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</si>
  <si>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</si>
  <si>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</si>
  <si>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</si>
  <si>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</si>
  <si>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</si>
  <si>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</si>
  <si>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</si>
  <si>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</si>
  <si>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</si>
  <si>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</si>
  <si>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</si>
  <si>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</si>
  <si>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</si>
  <si>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</si>
  <si>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</si>
  <si>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</si>
  <si>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</si>
  <si>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</si>
  <si>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</si>
  <si>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</si>
  <si>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</si>
  <si>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</si>
  <si>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</si>
  <si>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</si>
  <si>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</si>
  <si>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</si>
  <si>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</si>
  <si>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</si>
  <si>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</si>
  <si>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</si>
  <si>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</si>
  <si>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</si>
  <si>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</si>
  <si>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</si>
  <si>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</si>
  <si>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</si>
  <si>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</si>
  <si>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</si>
  <si>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</si>
  <si>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</si>
  <si>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</si>
  <si>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</si>
  <si>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</si>
  <si>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</si>
  <si>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</si>
  <si>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</si>
  <si>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</si>
  <si>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</si>
  <si>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</si>
  <si>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</si>
  <si>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</si>
  <si>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</si>
  <si>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</si>
  <si>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</si>
  <si>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</si>
  <si>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</si>
  <si>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</si>
  <si>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</si>
  <si>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</si>
  <si>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</si>
  <si>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</si>
  <si>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</si>
  <si>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</si>
  <si>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</si>
  <si>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</si>
  <si>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</si>
  <si>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</si>
  <si>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</si>
  <si>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</si>
  <si>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</si>
  <si>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</si>
  <si>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</si>
  <si>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</si>
  <si>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</si>
  <si>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</si>
  <si>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</si>
  <si>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</si>
  <si>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</si>
  <si>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</si>
  <si>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</si>
  <si>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</si>
  <si>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</si>
  <si>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</si>
  <si>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</si>
  <si>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</si>
  <si>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</si>
  <si>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</si>
  <si>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</si>
  <si>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</si>
  <si>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</si>
  <si>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</si>
  <si>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</si>
  <si>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</si>
  <si>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</si>
  <si>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</si>
  <si>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</si>
  <si>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</si>
  <si>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</si>
  <si>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</si>
  <si>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</si>
  <si>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</si>
  <si>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</si>
  <si>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</si>
  <si>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</si>
  <si>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</si>
  <si>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</si>
  <si>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</si>
  <si>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</si>
  <si>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</si>
  <si>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</si>
  <si>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</si>
  <si>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</si>
  <si>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</si>
  <si>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</si>
  <si>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</si>
  <si>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</si>
  <si>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</si>
  <si>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</si>
  <si>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</si>
  <si>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</si>
  <si>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</si>
  <si>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</si>
  <si>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</si>
  <si>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</si>
  <si>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</si>
  <si>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</si>
  <si>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</si>
  <si>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</si>
  <si>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</si>
  <si>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</si>
  <si>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</si>
  <si>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</si>
  <si>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</si>
  <si>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</si>
  <si>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</si>
  <si>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</si>
  <si>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</si>
  <si>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</si>
  <si>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</si>
  <si>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</si>
  <si>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</si>
  <si>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</si>
  <si>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</si>
  <si>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</si>
  <si>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</si>
  <si>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</si>
  <si>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</si>
  <si>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</si>
  <si>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</si>
  <si>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</si>
  <si>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</si>
  <si>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</si>
  <si>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</si>
  <si>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</si>
  <si>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</si>
  <si>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</si>
  <si>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</si>
  <si>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</si>
  <si>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</si>
  <si>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</si>
  <si>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</si>
  <si>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</si>
  <si>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</si>
  <si>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</si>
  <si>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</si>
  <si>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</si>
  <si>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</si>
  <si>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</si>
  <si>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</si>
  <si>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</si>
  <si>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</si>
  <si>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</si>
  <si>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</si>
  <si>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</si>
  <si>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</si>
  <si>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</si>
  <si>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</si>
  <si>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</si>
  <si>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</si>
  <si>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</si>
  <si>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</si>
  <si>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</si>
  <si>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</si>
  <si>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</si>
  <si>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</si>
  <si>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</si>
  <si>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</si>
  <si>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</si>
  <si>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</si>
  <si>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</si>
  <si>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</si>
  <si>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</si>
  <si>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</si>
  <si>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</si>
  <si>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</si>
  <si>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</si>
  <si>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</si>
  <si>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</si>
  <si>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</si>
  <si>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</si>
  <si>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</si>
  <si>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</si>
  <si>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</si>
  <si>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</si>
  <si>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</si>
  <si>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</si>
  <si>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</si>
  <si>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</si>
  <si>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</si>
  <si>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</si>
  <si>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</si>
  <si>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</si>
  <si>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</si>
  <si>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</si>
  <si>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</si>
  <si>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</si>
  <si>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</si>
  <si>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</si>
  <si>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</si>
  <si>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</si>
  <si>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</si>
  <si>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</si>
  <si>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</si>
  <si>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</si>
  <si>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</si>
  <si>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</si>
  <si>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</si>
  <si>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</si>
  <si>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</si>
  <si>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</si>
  <si>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</si>
  <si>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</si>
  <si>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</si>
  <si>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</si>
  <si>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</si>
  <si>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</si>
  <si>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</si>
  <si>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</si>
  <si>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</si>
  <si>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</si>
  <si>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</si>
  <si>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</si>
  <si>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</si>
  <si>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</si>
  <si>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</si>
  <si>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</si>
  <si>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</si>
  <si>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</si>
  <si>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</si>
  <si>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</si>
  <si>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</si>
  <si>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</si>
  <si>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</si>
  <si>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</si>
  <si>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</si>
  <si>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</si>
  <si>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</si>
  <si>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</si>
  <si>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</si>
  <si>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</si>
  <si>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</si>
  <si>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</si>
  <si>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</si>
  <si>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</si>
  <si>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</si>
  <si>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</si>
  <si>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</si>
  <si>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</si>
  <si>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</si>
  <si>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</si>
  <si>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</si>
  <si>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</si>
  <si>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</si>
  <si>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</si>
  <si>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</si>
  <si>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</si>
  <si>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</si>
  <si>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</si>
  <si>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</si>
  <si>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</si>
  <si>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</si>
  <si>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</si>
  <si>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</si>
  <si>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</si>
  <si>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</si>
  <si>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</si>
  <si>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</si>
  <si>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</si>
  <si>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</si>
  <si>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</si>
  <si>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</si>
  <si>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</si>
  <si>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</si>
  <si>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</si>
  <si>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</si>
  <si>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</si>
  <si>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</si>
  <si>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</si>
  <si>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</si>
  <si>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</si>
  <si>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</si>
  <si>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</si>
  <si>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</si>
  <si>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</si>
  <si>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</si>
  <si>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</si>
  <si>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</si>
  <si>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</si>
  <si>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</si>
  <si>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</si>
  <si>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</si>
  <si>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</si>
  <si>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</si>
  <si>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</si>
  <si>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</si>
  <si>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</si>
  <si>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</si>
  <si>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</si>
  <si>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</si>
  <si>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</si>
  <si>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</si>
  <si>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</si>
  <si>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</si>
  <si>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</si>
  <si>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</si>
  <si>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</si>
  <si>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</si>
  <si>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</si>
  <si>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</si>
  <si>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</si>
  <si>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</si>
  <si>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</si>
  <si>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H2A Version 2.1 updates</t>
  </si>
  <si>
    <t>Mike Rutkowski</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</si>
  <si>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</si>
  <si>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</si>
  <si>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</si>
  <si>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</si>
  <si>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</si>
  <si>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</si>
  <si>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</si>
  <si>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</si>
  <si>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</si>
  <si>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</si>
  <si>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</si>
  <si>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</si>
  <si>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</si>
  <si>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</si>
  <si>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</si>
  <si>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</si>
  <si>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</si>
  <si>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</si>
  <si>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</si>
  <si>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</si>
  <si>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</si>
  <si>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</si>
  <si>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</si>
  <si>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</si>
  <si>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</si>
  <si>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</si>
  <si>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</si>
  <si>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</si>
  <si>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</si>
  <si>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</si>
  <si>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</si>
  <si>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</si>
  <si>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</si>
  <si>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</si>
  <si>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</si>
  <si>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</si>
  <si>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</si>
  <si>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</si>
  <si>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</si>
  <si>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</si>
  <si>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</si>
  <si>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</si>
  <si>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</si>
  <si>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</si>
  <si>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</si>
  <si>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</si>
  <si>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</si>
  <si>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</si>
  <si>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</si>
  <si>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</si>
  <si>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</si>
  <si>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</si>
  <si>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</si>
  <si>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</si>
  <si>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</si>
  <si>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</si>
  <si>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</si>
  <si>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</si>
  <si>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</si>
  <si>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</si>
  <si>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</si>
  <si>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</si>
  <si>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</si>
  <si>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</si>
  <si>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</si>
  <si>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</si>
  <si>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</si>
  <si>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</si>
  <si>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</si>
  <si>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</si>
  <si>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</si>
  <si>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</si>
  <si>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</si>
  <si>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</si>
  <si>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</si>
  <si>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</si>
  <si>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</si>
  <si>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</si>
  <si>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</si>
  <si>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</si>
  <si>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</si>
  <si>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</si>
  <si>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</si>
  <si>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</si>
  <si>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</si>
  <si>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</si>
  <si>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</si>
  <si>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</si>
  <si>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</si>
  <si>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</si>
  <si>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</si>
  <si>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</si>
  <si>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</si>
  <si>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</si>
  <si>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</si>
  <si>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</si>
  <si>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</si>
  <si>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</si>
  <si>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</si>
  <si>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</si>
  <si>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</si>
  <si>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</si>
  <si>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</si>
  <si>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</si>
  <si>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</si>
  <si>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</si>
  <si>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</si>
  <si>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</si>
  <si>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</si>
  <si>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</si>
  <si>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</si>
  <si>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</si>
  <si>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</si>
  <si>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</si>
  <si>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</si>
  <si>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</si>
  <si>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</si>
  <si>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</si>
  <si>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</si>
  <si>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</si>
  <si>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</si>
  <si>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</si>
  <si>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</si>
  <si>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</si>
  <si>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</si>
  <si>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</si>
  <si>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</si>
  <si>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</si>
  <si>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</si>
  <si>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</si>
  <si>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</si>
  <si>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</si>
  <si>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</si>
  <si>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</si>
  <si>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</si>
  <si>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</si>
  <si>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</si>
  <si>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</si>
  <si>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</si>
  <si>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</si>
  <si>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</si>
  <si>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</si>
  <si>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</si>
  <si>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</si>
  <si>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</si>
  <si>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</si>
  <si>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</si>
  <si>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</si>
  <si>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</si>
  <si>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</si>
  <si>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</si>
  <si>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</si>
  <si>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</si>
  <si>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</si>
  <si>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</si>
  <si>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</si>
  <si>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</si>
  <si>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</si>
  <si>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</si>
  <si>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</si>
  <si>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</si>
  <si>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</si>
  <si>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</si>
  <si>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</si>
  <si>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</si>
  <si>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</si>
  <si>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</si>
  <si>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</si>
  <si>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</si>
  <si>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</si>
  <si>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</si>
  <si>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</si>
  <si>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</si>
  <si>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</si>
  <si>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</si>
  <si>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</si>
  <si>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</si>
  <si>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</si>
  <si>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</si>
  <si>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</si>
  <si>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</si>
  <si>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</si>
  <si>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</si>
  <si>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</si>
  <si>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</si>
  <si>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</si>
  <si>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</si>
  <si>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</si>
  <si>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</si>
  <si>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</si>
  <si>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</si>
  <si>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</si>
  <si>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</si>
  <si>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</si>
  <si>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</si>
  <si>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</si>
  <si>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</si>
  <si>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</si>
  <si>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</si>
  <si>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</si>
  <si>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</si>
  <si>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</si>
  <si>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</si>
  <si>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</si>
  <si>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</si>
  <si>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</si>
  <si>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</si>
  <si>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</si>
  <si>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</si>
  <si>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</si>
  <si>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</si>
  <si>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</si>
  <si>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</si>
  <si>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</si>
  <si>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</si>
  <si>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</si>
  <si>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</si>
  <si>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</si>
  <si>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</si>
  <si>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</si>
  <si>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</si>
  <si>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</si>
  <si>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</si>
  <si>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</si>
  <si>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</si>
  <si>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</si>
  <si>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</si>
  <si>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</si>
  <si>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</si>
  <si>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</si>
  <si>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</si>
  <si>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</si>
  <si>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</si>
  <si>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</si>
  <si>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</si>
  <si>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</si>
  <si>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</si>
  <si>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</si>
  <si>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</si>
  <si>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</si>
  <si>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</si>
  <si>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</si>
  <si>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</si>
  <si>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</si>
  <si>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</si>
  <si>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</si>
  <si>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</si>
  <si>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</si>
  <si>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</si>
  <si>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</si>
  <si>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</si>
  <si>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</si>
  <si>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</si>
  <si>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</si>
  <si>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</si>
  <si>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</si>
  <si>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</si>
  <si>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</si>
  <si>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</si>
  <si>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</si>
  <si>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</si>
  <si>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</si>
  <si>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</si>
  <si>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</si>
  <si>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</si>
  <si>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</si>
  <si>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</si>
  <si>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</si>
  <si>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</si>
  <si>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</si>
  <si>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Source: http://data.bls.gov/timeseries/CEU3232500008?data_tool=Xgtable</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</si>
  <si>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</si>
  <si>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</si>
  <si>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</si>
  <si>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</si>
  <si>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</si>
  <si>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</si>
  <si>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</si>
  <si>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</si>
  <si>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</si>
  <si>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</si>
  <si>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</si>
  <si>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</si>
  <si>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</si>
  <si>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</si>
  <si>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</si>
  <si>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</si>
  <si>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</si>
  <si>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</si>
  <si>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</si>
  <si>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</si>
  <si>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</si>
  <si>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</si>
  <si>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</si>
  <si>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</si>
  <si>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</si>
  <si>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</si>
  <si>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</si>
  <si>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</si>
  <si>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</si>
  <si>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</si>
  <si>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</si>
  <si>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</si>
  <si>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</si>
  <si>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</si>
  <si>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</si>
  <si>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</si>
  <si>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</si>
  <si>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</si>
  <si>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</si>
  <si>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</si>
  <si>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</si>
  <si>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</si>
  <si>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</si>
  <si>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</si>
  <si>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</si>
  <si>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</si>
  <si>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</si>
  <si>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</si>
  <si>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</si>
  <si>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</si>
  <si>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</si>
  <si>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</si>
  <si>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</si>
  <si>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</si>
  <si>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</si>
  <si>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</si>
  <si>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</si>
  <si>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</si>
  <si>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</si>
  <si>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</si>
  <si>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</si>
  <si>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</si>
  <si>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</si>
  <si>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</si>
  <si>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</si>
  <si>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</si>
  <si>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</si>
  <si>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</si>
  <si>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</si>
  <si>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</si>
  <si>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</si>
  <si>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</si>
  <si>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</si>
  <si>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</si>
  <si>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</si>
  <si>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</si>
  <si>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</si>
  <si>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</si>
  <si>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</si>
  <si>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</si>
  <si>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</si>
  <si>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</si>
  <si>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</si>
  <si>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</si>
  <si>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</si>
  <si>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</si>
  <si>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</si>
  <si>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</si>
  <si>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</si>
  <si>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</si>
  <si>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</si>
  <si>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</si>
  <si>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</si>
  <si>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</si>
  <si>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</si>
  <si>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</si>
  <si>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</si>
  <si>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</si>
  <si>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</si>
  <si>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</si>
  <si>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</si>
  <si>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</si>
  <si>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</si>
  <si>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</si>
  <si>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</si>
  <si>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</si>
  <si>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</si>
  <si>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</si>
  <si>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</si>
  <si>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</si>
  <si>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</si>
  <si>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</si>
  <si>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</si>
  <si>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</si>
  <si>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</si>
  <si>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</si>
  <si>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</si>
  <si>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</si>
  <si>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</si>
  <si>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</si>
  <si>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</si>
  <si>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</si>
  <si>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</si>
  <si>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</si>
  <si>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</si>
  <si>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</si>
  <si>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</si>
  <si>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</si>
  <si>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</si>
  <si>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</si>
  <si>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</si>
  <si>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</si>
  <si>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</si>
  <si>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</si>
  <si>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</si>
  <si>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</si>
  <si>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</si>
  <si>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</si>
  <si>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</si>
  <si>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</si>
  <si>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</si>
  <si>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</si>
  <si>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</si>
  <si>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</si>
  <si>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</si>
  <si>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</si>
  <si>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</si>
  <si>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</si>
  <si>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</si>
  <si>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</si>
  <si>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</si>
  <si>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</si>
  <si>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</si>
  <si>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</si>
  <si>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</si>
  <si>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</si>
  <si>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</si>
  <si>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</si>
  <si>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</si>
  <si>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</si>
  <si>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</si>
  <si>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</si>
  <si>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</si>
  <si>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</si>
  <si>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</si>
  <si>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</si>
  <si>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</si>
  <si>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</si>
  <si>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</si>
  <si>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</si>
  <si>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</si>
  <si>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</si>
  <si>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</si>
  <si>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</si>
  <si>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</si>
  <si>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</si>
  <si>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</si>
  <si>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</si>
  <si>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</si>
  <si>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</si>
  <si>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</si>
  <si>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</si>
  <si>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</si>
  <si>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</si>
  <si>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</si>
  <si>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Total transportation and storage cost (w/o capture)</t>
  </si>
  <si>
    <t>Prices are in $(2012)/GJ LHV</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</si>
  <si>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</si>
  <si>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</si>
  <si>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</si>
  <si>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</si>
  <si>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</si>
  <si>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</si>
  <si>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</si>
  <si>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</si>
  <si>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www.nrel.gov</t>
  </si>
  <si>
    <t>H2A Version 2</t>
  </si>
  <si>
    <t>H2A Version 3</t>
  </si>
  <si>
    <t>M. Penev</t>
  </si>
  <si>
    <t>Case was ported to H2A version 3</t>
  </si>
  <si>
    <t>Price Conversion Factor (GJ/kg)</t>
  </si>
  <si>
    <t>Price in Startup Year ($2016)/kg</t>
  </si>
  <si>
    <t>Usage (kg/kg H2)</t>
  </si>
  <si>
    <t>$(2016)/ gal</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</si>
  <si>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</si>
  <si>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</si>
  <si>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</si>
  <si>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</si>
  <si>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</si>
  <si>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</si>
  <si>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</si>
  <si>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</si>
  <si>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</si>
  <si>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</si>
  <si>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</si>
  <si>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</si>
  <si>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</si>
  <si>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</si>
  <si>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</si>
  <si>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</si>
  <si>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</si>
  <si>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</si>
  <si>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</si>
  <si>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</si>
  <si>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</si>
  <si>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</si>
  <si>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</si>
  <si>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</si>
  <si>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</si>
  <si>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</si>
  <si>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</si>
  <si>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</si>
  <si>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</si>
  <si>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</si>
  <si>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</si>
  <si>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</si>
  <si>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</si>
  <si>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</si>
  <si>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</si>
  <si>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</si>
  <si>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</si>
  <si>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</si>
  <si>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</si>
  <si>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</si>
  <si>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</si>
  <si>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</si>
  <si>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Michael Penev</t>
  </si>
  <si>
    <t>303 275 3880</t>
  </si>
  <si>
    <t>mike.penev@nrel.gov</t>
  </si>
  <si>
    <t>Price Conversion Factor (GJ/kWh)</t>
  </si>
  <si>
    <t>Price in Startup Year ($2016)/kWh</t>
  </si>
  <si>
    <t>D. M. Steward</t>
  </si>
  <si>
    <t>NREL - Transferred to new model structure</t>
  </si>
  <si>
    <t>NREL - updated for release</t>
  </si>
  <si>
    <t>This version was not released</t>
  </si>
  <si>
    <t>Mike Rutkowski, Revise Capital and Feedstock $</t>
  </si>
  <si>
    <t>NJ Kuehn</t>
  </si>
  <si>
    <t>none</t>
  </si>
  <si>
    <t>NREL - tornado chart</t>
  </si>
  <si>
    <t>Version 1</t>
  </si>
  <si>
    <t>M. Mann and D. M. Steward</t>
  </si>
  <si>
    <t>Farmed woody biomass</t>
  </si>
  <si>
    <t>Internally generated steam and electricity; Industrial electricity and Commercial Natural Gas</t>
  </si>
  <si>
    <t>Battelle Columbus Laboratory Indirectly-Heated Gasifier</t>
  </si>
  <si>
    <t>Nth plant</t>
  </si>
  <si>
    <t>USA, average</t>
  </si>
  <si>
    <t>The purpose of this analysis was to determine the production cost of hydrogen from biomass via the FERCO indirectly-heated gasifier.</t>
  </si>
  <si>
    <t>The systems examined are based on the Battelle/FERCO indirectly-heated biomass gasifier, conventional catalytic steam reforming, water gas shift, and pressure swing adsorption purification.  The indirectly-heated biomass gasifier uses hot sand, circulating between the char combustor and the gasifier, to provide the heat necessary for gasification.  Steam is used as the fluidizing gas; no oxygen (as pure oxygen or air) is fed to the gasifier.  The biomass feedstock is assumed to be a woody biomass, represented as hybrid poplar.</t>
  </si>
  <si>
    <t>Material and energy balances in Aspen Plus®, equipment costing in Questimate, cash flow analysis, sensitivity analysis.</t>
  </si>
  <si>
    <t>Corporate ownership, 100% equity financed</t>
  </si>
  <si>
    <t>Spath, P.; Aden, A.; Eggeman, T.; Ringer, M.; Wallace, B.; Jechura, J. (2005). Biomass to Hydrogen Production Detailed Design and Economics Utilizing the Battelle Columbus Laboratory Indirectly-Heated Gasifier. 161 pp.; NREL Report No. TP-510-37408.  http://www.nrel.gov/docs/fy05osti/37408.pdf
Mann, M.K., Spath, P.L.; Life Cycle Assessment of a Biomass Gasification Combined-cycle Power System; NREL/TP--430-23076; National Renewable Energy Laboratory; Golden, CO; 1997.  (http://www.osti.gov/bridge/product.biblio.jsp?osti_id=567454&amp;queryId=2&amp;start=0)
Spath, P.L., Mann, M.K., Amos, W.A.; Update of Hydrogen from Biomass - Determination of the Delivered Cost of Hydrogen; NREL/MP-510-33112; National Renewable Energy Laboratory; Golden, CO; 2003.  (http://www.osti.gov/bridge/product.biblio.jsp?osti_id=15006097&amp;queryId=1&amp;start=0)</t>
  </si>
  <si>
    <t>Rob Williams, Nathan Parker, Christopher Yang, Joan Ogden and Bryan Jenkins, H2 Production Via Biomass Gasification, Advanced Energy Pathways (AEP) Project Task 4.1 Technology Assessments of Vehicle Fuels and Technologies, Public Interest Energy Research (PIER) Program California Energy Commission, July 2007.</t>
  </si>
  <si>
    <t>Sensitivity ranges derived from; October 2011
Hydrogen Production Cost Estimate Using Biomass Gasification
NREL/BK-6A10-51726</t>
  </si>
  <si>
    <t>The as-received wood is dried from 50 wt% moisture down to 12 wt% employing a rotary dryer.  The dryer uses gas from the char combustor as the drying medium.  Conveyors and hoppers are used to feed the wood to the low-pressure indirectly-heated entrained flow gasifier.  Heat for the endothermic gasification reactions is supplied by circulating hot synthetic olivine, which is a calcined magnesium silicate [primarily Enstatite (MgSiO3) Forsterite (Mg2SiO3), and Hematite (Fe2O3)] used as a sand for various applications, between the gasifier and a char combustor vessel.  A small amount of MgO is added to the fresh olivine to keep from forming glass-like bed agglomerations that would result from biomass potassium interacting with the silicate compounds.  The gasification medium is steam.  The char that is formed in the gasifier is burned in the combustor to reheat the olivine.  Particulate removal is performed through cyclone separators.  Ash and any sand particles that are carried over are landfilled.</t>
  </si>
  <si>
    <t>Reforming (CnHm + nH2O à (n+m/2)H2 + nCO) and water-gas shift (CO + H2O à CO2 + H2) are the main reactions in the steam reformer.  The steam reformer was simulated as an equilibrium reactor with a -20°F approach temperature and a steam to carbon ratio of 3 mol of H2O/mol of C (SRI 1994).  The reformer is fueled by the pressure swing adsorption  (PSA) offgas and for burner control a small amount of natural gas is added.  The amount of natural gas added is equal to 10% of the heating value of the PSA offgas.  The high temperature shift (HTS) and low temperature shift (LTS) reactors convert the majority of the CO into CO2 and H2 through the water-gas shift reaction.  The HTS and LTS were modeled as equilibrium reactors with approach temperatures of 35°F and 20°F, respectively, (SRI 1994).</t>
  </si>
  <si>
    <t xml:space="preserve">For purification, a pressure swing adsorption unit is used to separate the hydrogen from the other components in the shifted gas stream, mainly CO2, and unreacted CO, CH4, and other hydrocarbons.  The hydrogen purity achieved from a PSA unit can be greater than 99.99+%.  Based on past conversations with industrial gas producers, the shifted gas stream must contain at least 70 mol% hydrogen before it can be purified in the PSA unit (Mann, 1995).  Purification of streams more dilute than this decreases the product purity and recovery of hydrogen.  For this analysis, the concentration of hydrogen in the shifted stream prior to the PSA is between 60-65 mol%.  Therefore, part of the PSA hydrogen product stream is recycled back into the PSA feed.  For a 70 mol% hydrogen PSA feed, a hydrogen recovery rate of 85% is typical with a product purity of 99.9 vol%.  </t>
  </si>
  <si>
    <t>The steam cycle produces power in addition to providing steam for the gasifier and reformer operations.  The steam cycle is integrated with the biomass-to-hydrogen production process.  There is an extraction steam turbine/generator and steam is supplied to the reformer and gasifer from the intermediate and low pressure turbine sections, respectively.  Superheated steam enters the intermediate pressure turbine at 1,000 ºF and1,265 psia and is expanded to a pressure of 450 psia.  The steam then enters a low pressure turbine and is expanded to a pressure of 35 psia.  Finally, the steam enters a condensing turbine and is expanded to a pressure of 1.5 psia.  Preheaters, steam generators, and superheaters are integrated within the process design.  The condensate from the syngas compressor and the condensate from the cooled shifted gas stream prior to the PSA are sent to the steam cycle, de-gassed, and combined with the make-up water.  A pinch analysis was performed to determine the heat integration of the system.</t>
  </si>
  <si>
    <t>A cooling water system is also included in the Aspen Plus® model to determine the requirements of each cooling water heat exchanger within the hydrogen production system as well as the requirements of the cooling tower.  The cooling water supply temperature is 90°F and the return temperature is 110°F.</t>
  </si>
  <si>
    <t>feedstock Woody Biomass Usage</t>
  </si>
  <si>
    <t>feedstockWoody_Biomass_Usage</t>
  </si>
  <si>
    <t>utility</t>
  </si>
  <si>
    <t>Price Conversion Factor (GJ/mmBtu)</t>
  </si>
  <si>
    <t>Price in Startup Year ($2016)/mmBtu</t>
  </si>
  <si>
    <t>Usage (mmBtu/kg H2)</t>
  </si>
  <si>
    <t>utility Commercial Natural Gas Usage</t>
  </si>
  <si>
    <t>utilityCommercial_Natural_Gas_Usage</t>
  </si>
  <si>
    <t>Usage (kWh/kg H2)</t>
  </si>
  <si>
    <t>utility Commercial Electricity Usage</t>
  </si>
  <si>
    <t>utilityCommercial_Electricity_Usage</t>
  </si>
  <si>
    <t xml:space="preserve">      Feed Handling &amp; Drying</t>
  </si>
  <si>
    <t xml:space="preserve">      Gasification, Tar Reforming, &amp; Quench</t>
  </si>
  <si>
    <t xml:space="preserve">      Compression &amp; Sulfur Removal</t>
  </si>
  <si>
    <t xml:space="preserve">      Steam Methane Reforming, Shift, and PSA</t>
  </si>
  <si>
    <t xml:space="preserve">      Steam System and Power Generation</t>
  </si>
  <si>
    <t xml:space="preserve">      Cooling Water and Other Utilities</t>
  </si>
  <si>
    <t xml:space="preserve">      Buildings &amp; Structures</t>
  </si>
  <si>
    <t>Central Biomass Gasification - Current Timeframe</t>
  </si>
  <si>
    <t>Enter 0 to enable constant outstanding debt.</t>
  </si>
  <si>
    <t>H2A Hydrogen Production Cash Flow Analysis Tool v3.2018</t>
  </si>
  <si>
    <t>Current Central Hydrogen from Biomass via Gasification and Catalytic Steam Reforming</t>
  </si>
  <si>
    <t>Default used?</t>
  </si>
  <si>
    <t>Made compatible with Excel for Mac</t>
  </si>
  <si>
    <t>Run Risk Analysis (note: Risk analysis could take ~5 min to run)?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</si>
</sst>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0;;&quot;Constant debt&quot;"/>
  </numFmts>
  <fonts count="83" x14ac:knownFonts="1">
    <font>
      <sz val="10"/>
      <name val="Arial"/>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u/>
      <sz val="10"/>
      <name val="Arial"/>
      <family val="2"/>
    </font>
    <font>
      <sz val="11"/>
      <name val="Arial"/>
      <family val="2"/>
    </font>
    <font>
      <b/>
      <sz val="14"/>
      <color indexed="12"/>
      <name val="Arial Black"/>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color theme="0" tint="-0.249977111117893"/>
      <name val="Arial"/>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
      <sz val="8"/>
      <color rgb="FF000000"/>
      <name val="Segoe UI"/>
      <family val="2"/>
    </font>
    <font>
      <sz val="10"/>
      <color theme="0" tint="-0.34998626667073579"/>
      <name val="Arial"/>
      <family val="2"/>
    </font>
  </fonts>
  <fills count="27">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s>
  <borders count="17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s>
  <cellStyleXfs count="21">
    <xf numFmtId="0" fontId="0" fillId="0" borderId="0"/>
    <xf numFmtId="43" fontId="1" fillId="0" borderId="0" applyFont="0" applyFill="0" applyBorder="0" applyAlignment="0" applyProtection="0"/>
    <xf numFmtId="43" fontId="61" fillId="0" borderId="0" applyFont="0" applyFill="0" applyBorder="0" applyAlignment="0" applyProtection="0"/>
    <xf numFmtId="44" fontId="1" fillId="0" borderId="0" applyFont="0" applyFill="0" applyBorder="0" applyAlignment="0" applyProtection="0"/>
    <xf numFmtId="44" fontId="61"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1" fillId="0" borderId="0"/>
    <xf numFmtId="0" fontId="62" fillId="0" borderId="0"/>
    <xf numFmtId="0" fontId="62" fillId="0" borderId="0"/>
    <xf numFmtId="0" fontId="58" fillId="0" borderId="0"/>
    <xf numFmtId="0" fontId="62" fillId="0" borderId="0"/>
    <xf numFmtId="173" fontId="52" fillId="0" borderId="0"/>
    <xf numFmtId="173" fontId="52" fillId="0" borderId="0"/>
    <xf numFmtId="0" fontId="11" fillId="0" borderId="0"/>
    <xf numFmtId="0" fontId="11" fillId="0" borderId="0"/>
    <xf numFmtId="173" fontId="15" fillId="0" borderId="0"/>
    <xf numFmtId="9" fontId="1" fillId="0" borderId="0" applyFont="0" applyFill="0" applyBorder="0" applyAlignment="0" applyProtection="0"/>
    <xf numFmtId="9" fontId="11" fillId="0" borderId="0" applyFont="0" applyFill="0" applyBorder="0" applyAlignment="0" applyProtection="0"/>
    <xf numFmtId="9" fontId="61" fillId="0" borderId="0" applyFont="0" applyFill="0" applyBorder="0" applyAlignment="0" applyProtection="0"/>
    <xf numFmtId="0" fontId="74" fillId="0" borderId="0"/>
  </cellStyleXfs>
  <cellXfs count="1680">
    <xf numFmtId="0" fontId="0" fillId="0" borderId="0" xfId="0"/>
    <xf numFmtId="0" fontId="3" fillId="0" borderId="0" xfId="0" applyFont="1"/>
    <xf numFmtId="0" fontId="5" fillId="0" borderId="0" xfId="0" applyFont="1"/>
    <xf numFmtId="0" fontId="8" fillId="2" borderId="1" xfId="0" applyFont="1" applyFill="1" applyBorder="1" applyAlignment="1">
      <alignment wrapText="1"/>
    </xf>
    <xf numFmtId="0" fontId="8" fillId="2" borderId="2" xfId="0" applyFont="1" applyFill="1" applyBorder="1" applyAlignment="1">
      <alignment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3" borderId="4" xfId="0" applyFont="1" applyFill="1" applyBorder="1" applyAlignment="1">
      <alignment vertical="center" wrapText="1"/>
    </xf>
    <xf numFmtId="0" fontId="8" fillId="3" borderId="0" xfId="0" applyFont="1" applyFill="1" applyBorder="1" applyAlignment="1">
      <alignment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8" fillId="2" borderId="0" xfId="0" applyFont="1" applyFill="1" applyBorder="1" applyAlignment="1">
      <alignment horizontal="left" vertical="center" wrapText="1"/>
    </xf>
    <xf numFmtId="1" fontId="7" fillId="2" borderId="0" xfId="0" applyNumberFormat="1" applyFont="1" applyFill="1" applyBorder="1" applyAlignment="1">
      <alignment horizontal="center" vertical="center"/>
    </xf>
    <xf numFmtId="3" fontId="7" fillId="0" borderId="0" xfId="0" applyNumberFormat="1" applyFont="1" applyFill="1" applyBorder="1" applyAlignment="1">
      <alignment horizontal="center" vertical="center"/>
    </xf>
    <xf numFmtId="0" fontId="7" fillId="2" borderId="4" xfId="0" applyFont="1" applyFill="1" applyBorder="1" applyAlignment="1">
      <alignment vertical="center" wrapText="1"/>
    </xf>
    <xf numFmtId="0" fontId="8" fillId="2" borderId="0" xfId="0" applyFont="1" applyFill="1" applyBorder="1" applyAlignment="1">
      <alignment vertical="center" wrapText="1"/>
    </xf>
    <xf numFmtId="3" fontId="7" fillId="2" borderId="0" xfId="0" applyNumberFormat="1" applyFont="1" applyFill="1" applyBorder="1" applyAlignment="1">
      <alignment horizontal="center" vertical="center"/>
    </xf>
    <xf numFmtId="166" fontId="7" fillId="2" borderId="0" xfId="0" applyNumberFormat="1" applyFont="1" applyFill="1" applyBorder="1" applyAlignment="1">
      <alignment horizontal="center" vertical="center"/>
    </xf>
    <xf numFmtId="3" fontId="7" fillId="2" borderId="0" xfId="0" applyNumberFormat="1" applyFont="1" applyFill="1" applyBorder="1" applyAlignment="1">
      <alignment horizontal="center" vertical="center" wrapText="1"/>
    </xf>
    <xf numFmtId="166" fontId="7" fillId="2" borderId="5" xfId="0" applyNumberFormat="1" applyFont="1" applyFill="1" applyBorder="1" applyAlignment="1">
      <alignment horizontal="center" vertical="center" wrapText="1"/>
    </xf>
    <xf numFmtId="3" fontId="7" fillId="2" borderId="5" xfId="0" applyNumberFormat="1" applyFont="1" applyFill="1" applyBorder="1" applyAlignment="1">
      <alignment horizontal="center" vertical="center" wrapText="1"/>
    </xf>
    <xf numFmtId="3" fontId="7" fillId="2" borderId="5" xfId="0" quotePrefix="1" applyNumberFormat="1" applyFont="1" applyFill="1" applyBorder="1" applyAlignment="1">
      <alignment horizontal="center" vertical="center" wrapText="1"/>
    </xf>
    <xf numFmtId="0" fontId="8" fillId="2" borderId="0" xfId="0" applyFont="1" applyFill="1" applyBorder="1" applyAlignment="1">
      <alignment vertical="center"/>
    </xf>
    <xf numFmtId="3" fontId="7" fillId="2" borderId="0" xfId="0" quotePrefix="1" applyNumberFormat="1" applyFont="1" applyFill="1" applyBorder="1" applyAlignment="1">
      <alignment horizontal="center" vertical="center" wrapText="1"/>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Font="1" applyBorder="1" applyAlignment="1">
      <alignment vertical="top" wrapText="1"/>
    </xf>
    <xf numFmtId="0" fontId="0" fillId="0" borderId="0" xfId="0" applyFill="1"/>
    <xf numFmtId="0" fontId="0" fillId="0" borderId="0" xfId="0" applyFill="1" applyAlignment="1">
      <alignment vertical="top" wrapText="1"/>
    </xf>
    <xf numFmtId="0" fontId="11" fillId="0" borderId="0" xfId="0" applyFont="1" applyAlignment="1">
      <alignment vertical="top" wrapText="1"/>
    </xf>
    <xf numFmtId="0" fontId="11" fillId="3" borderId="8" xfId="0" applyFont="1" applyFill="1" applyBorder="1" applyAlignment="1" applyProtection="1">
      <alignment horizontal="left" vertical="center" wrapText="1"/>
    </xf>
    <xf numFmtId="0" fontId="16" fillId="0" borderId="0" xfId="0" applyFont="1" applyProtection="1"/>
    <xf numFmtId="0" fontId="0" fillId="0" borderId="0" xfId="0" applyProtection="1"/>
    <xf numFmtId="0" fontId="0" fillId="0" borderId="0" xfId="0" applyFill="1" applyProtection="1"/>
    <xf numFmtId="0" fontId="11" fillId="0" borderId="0" xfId="0" applyFont="1" applyFill="1" applyBorder="1" applyAlignment="1" applyProtection="1">
      <alignment horizontal="left" vertical="center" wrapText="1"/>
    </xf>
    <xf numFmtId="0" fontId="3" fillId="0" borderId="0" xfId="0" quotePrefix="1" applyFont="1" applyFill="1" applyBorder="1" applyAlignment="1" applyProtection="1">
      <alignment horizontal="left" vertical="center"/>
    </xf>
    <xf numFmtId="0" fontId="12" fillId="4" borderId="0" xfId="0" applyFont="1" applyFill="1" applyProtection="1"/>
    <xf numFmtId="0" fontId="11" fillId="4" borderId="0" xfId="0" applyFont="1" applyFill="1" applyProtection="1"/>
    <xf numFmtId="0" fontId="11" fillId="0" borderId="0" xfId="0" applyFont="1" applyFill="1" applyProtection="1"/>
    <xf numFmtId="0" fontId="0" fillId="0" borderId="0" xfId="0" applyFill="1" applyBorder="1" applyProtection="1"/>
    <xf numFmtId="0" fontId="11" fillId="5" borderId="8" xfId="0" applyFont="1" applyFill="1" applyBorder="1" applyAlignment="1" applyProtection="1">
      <alignment horizontal="left" vertical="center" wrapText="1"/>
    </xf>
    <xf numFmtId="0" fontId="11" fillId="6" borderId="8" xfId="0" applyFont="1" applyFill="1" applyBorder="1" applyAlignment="1" applyProtection="1">
      <alignment horizontal="left" vertical="center" wrapText="1"/>
    </xf>
    <xf numFmtId="0" fontId="0" fillId="4" borderId="8" xfId="0" applyFill="1" applyBorder="1" applyProtection="1"/>
    <xf numFmtId="173" fontId="17" fillId="0" borderId="9" xfId="16" applyFont="1" applyBorder="1" applyAlignment="1" applyProtection="1"/>
    <xf numFmtId="173" fontId="17"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1" fillId="0" borderId="0" xfId="16" applyFont="1" applyProtection="1"/>
    <xf numFmtId="173" fontId="3" fillId="0" borderId="13" xfId="16" applyFont="1" applyBorder="1" applyAlignment="1" applyProtection="1">
      <alignment horizontal="center"/>
    </xf>
    <xf numFmtId="173" fontId="3" fillId="0" borderId="14" xfId="16" applyFont="1" applyBorder="1" applyAlignment="1" applyProtection="1">
      <alignment horizontal="center"/>
    </xf>
    <xf numFmtId="173" fontId="3" fillId="0" borderId="15" xfId="16" applyFont="1" applyBorder="1" applyAlignment="1" applyProtection="1">
      <alignment horizontal="center"/>
    </xf>
    <xf numFmtId="173" fontId="3" fillId="0" borderId="16" xfId="16" applyFont="1" applyBorder="1" applyAlignment="1" applyProtection="1">
      <alignment horizontal="center"/>
    </xf>
    <xf numFmtId="173" fontId="11" fillId="3" borderId="17" xfId="16" applyFont="1" applyFill="1" applyBorder="1" applyProtection="1"/>
    <xf numFmtId="170" fontId="11" fillId="3" borderId="8" xfId="16" applyNumberFormat="1" applyFont="1" applyFill="1" applyBorder="1" applyProtection="1"/>
    <xf numFmtId="170" fontId="11" fillId="3" borderId="19" xfId="16" applyNumberFormat="1" applyFont="1" applyFill="1" applyBorder="1" applyProtection="1"/>
    <xf numFmtId="173" fontId="11" fillId="3" borderId="20" xfId="16" applyFont="1" applyFill="1" applyBorder="1" applyProtection="1"/>
    <xf numFmtId="170" fontId="11" fillId="3" borderId="23" xfId="16" applyNumberFormat="1" applyFont="1" applyFill="1" applyBorder="1" applyProtection="1"/>
    <xf numFmtId="0" fontId="17"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7"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7"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3" fillId="3" borderId="13" xfId="0" applyFont="1" applyFill="1" applyBorder="1" applyProtection="1"/>
    <xf numFmtId="0" fontId="3" fillId="3" borderId="15" xfId="0" applyFont="1" applyFill="1" applyBorder="1" applyProtection="1"/>
    <xf numFmtId="0" fontId="3" fillId="3" borderId="16" xfId="0" applyFont="1" applyFill="1" applyBorder="1" applyAlignment="1" applyProtection="1">
      <alignment wrapText="1"/>
    </xf>
    <xf numFmtId="5" fontId="1"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1" fillId="3" borderId="38" xfId="3" applyNumberFormat="1" applyFill="1" applyBorder="1" applyProtection="1"/>
    <xf numFmtId="0" fontId="3" fillId="3" borderId="25" xfId="0" applyFont="1" applyFill="1" applyBorder="1" applyProtection="1"/>
    <xf numFmtId="170" fontId="3" fillId="3" borderId="26" xfId="0" applyNumberFormat="1" applyFont="1" applyFill="1" applyBorder="1" applyProtection="1"/>
    <xf numFmtId="5" fontId="3" fillId="3" borderId="27" xfId="3" applyNumberFormat="1" applyFont="1" applyFill="1" applyBorder="1" applyProtection="1"/>
    <xf numFmtId="0" fontId="3" fillId="0" borderId="0" xfId="0" applyFont="1" applyFill="1" applyBorder="1" applyProtection="1"/>
    <xf numFmtId="170" fontId="3" fillId="0" borderId="0" xfId="0" applyNumberFormat="1" applyFont="1" applyFill="1" applyBorder="1" applyProtection="1"/>
    <xf numFmtId="5" fontId="3" fillId="0" borderId="0" xfId="3" applyNumberFormat="1" applyFont="1" applyFill="1" applyBorder="1" applyProtection="1"/>
    <xf numFmtId="0" fontId="3" fillId="3" borderId="20" xfId="0" applyFont="1" applyFill="1" applyBorder="1" applyAlignment="1" applyProtection="1">
      <alignment wrapText="1"/>
    </xf>
    <xf numFmtId="0" fontId="3" fillId="3" borderId="23" xfId="0" applyFont="1" applyFill="1" applyBorder="1" applyAlignment="1" applyProtection="1">
      <alignment wrapText="1"/>
    </xf>
    <xf numFmtId="0" fontId="0" fillId="3" borderId="39" xfId="0" applyFill="1" applyBorder="1" applyProtection="1"/>
    <xf numFmtId="170" fontId="3" fillId="3" borderId="27" xfId="0" applyNumberFormat="1" applyFont="1" applyFill="1" applyBorder="1" applyProtection="1"/>
    <xf numFmtId="173" fontId="16" fillId="0" borderId="0" xfId="16" applyFont="1" applyAlignment="1" applyProtection="1">
      <alignment horizontal="left"/>
    </xf>
    <xf numFmtId="173" fontId="11" fillId="0" borderId="0" xfId="16" applyFont="1" applyFill="1" applyBorder="1" applyProtection="1"/>
    <xf numFmtId="173" fontId="7" fillId="0" borderId="0" xfId="16" applyFont="1" applyFill="1" applyProtection="1"/>
    <xf numFmtId="173" fontId="19" fillId="0" borderId="0" xfId="16" applyFont="1" applyProtection="1"/>
    <xf numFmtId="173" fontId="20" fillId="0" borderId="0" xfId="16" applyFont="1" applyAlignment="1" applyProtection="1">
      <alignment horizontal="left"/>
    </xf>
    <xf numFmtId="173" fontId="11" fillId="0" borderId="17" xfId="16" applyFont="1" applyBorder="1" applyAlignment="1" applyProtection="1">
      <alignment wrapText="1"/>
    </xf>
    <xf numFmtId="173" fontId="11" fillId="0" borderId="17" xfId="16" applyFont="1" applyBorder="1" applyProtection="1"/>
    <xf numFmtId="164" fontId="11" fillId="3" borderId="19" xfId="16" applyNumberFormat="1" applyFont="1" applyFill="1" applyBorder="1" applyAlignment="1" applyProtection="1">
      <alignment horizontal="center"/>
    </xf>
    <xf numFmtId="173" fontId="11" fillId="0" borderId="36" xfId="16" applyFont="1" applyBorder="1" applyProtection="1"/>
    <xf numFmtId="164" fontId="11" fillId="3" borderId="38" xfId="16" applyNumberFormat="1" applyFont="1" applyFill="1" applyBorder="1" applyAlignment="1" applyProtection="1">
      <alignment horizontal="center"/>
    </xf>
    <xf numFmtId="0" fontId="19" fillId="0" borderId="0" xfId="0" applyFont="1" applyFill="1" applyBorder="1" applyAlignment="1" applyProtection="1">
      <alignment horizontal="left" vertical="center"/>
    </xf>
    <xf numFmtId="173" fontId="11" fillId="0" borderId="36" xfId="16" applyFont="1" applyBorder="1" applyAlignment="1" applyProtection="1">
      <alignment wrapText="1"/>
    </xf>
    <xf numFmtId="165" fontId="11" fillId="3" borderId="38" xfId="16" applyNumberFormat="1" applyFont="1" applyFill="1" applyBorder="1" applyAlignment="1" applyProtection="1">
      <alignment horizontal="center"/>
    </xf>
    <xf numFmtId="173" fontId="11" fillId="0" borderId="20" xfId="16" applyFont="1" applyBorder="1" applyProtection="1"/>
    <xf numFmtId="173" fontId="11" fillId="0" borderId="0" xfId="16" applyFont="1" applyBorder="1" applyProtection="1"/>
    <xf numFmtId="173" fontId="11" fillId="0" borderId="0" xfId="16" applyFont="1" applyFill="1" applyProtection="1"/>
    <xf numFmtId="0" fontId="17" fillId="0" borderId="10" xfId="0" applyFont="1" applyBorder="1" applyAlignment="1" applyProtection="1">
      <alignment wrapText="1"/>
    </xf>
    <xf numFmtId="173" fontId="11" fillId="0" borderId="11" xfId="16" applyFont="1" applyBorder="1" applyProtection="1"/>
    <xf numFmtId="10" fontId="11" fillId="0" borderId="0" xfId="17" applyNumberFormat="1" applyFont="1" applyFill="1" applyBorder="1" applyProtection="1"/>
    <xf numFmtId="173" fontId="3" fillId="0" borderId="40" xfId="16" applyFont="1" applyBorder="1" applyAlignment="1" applyProtection="1">
      <alignment horizontal="center"/>
    </xf>
    <xf numFmtId="164" fontId="11" fillId="3" borderId="31" xfId="16" applyNumberFormat="1" applyFont="1" applyFill="1" applyBorder="1" applyProtection="1"/>
    <xf numFmtId="164" fontId="11" fillId="3" borderId="19" xfId="16" applyNumberFormat="1" applyFont="1" applyFill="1" applyBorder="1" applyProtection="1"/>
    <xf numFmtId="173" fontId="17" fillId="0" borderId="9" xfId="16" applyFont="1" applyBorder="1" applyAlignment="1" applyProtection="1">
      <alignment horizontal="left"/>
    </xf>
    <xf numFmtId="173" fontId="21" fillId="0" borderId="17" xfId="16" applyFont="1" applyBorder="1" applyAlignment="1" applyProtection="1">
      <alignment horizontal="left"/>
    </xf>
    <xf numFmtId="173" fontId="11" fillId="0" borderId="19" xfId="16" applyFont="1" applyBorder="1" applyProtection="1"/>
    <xf numFmtId="173" fontId="11" fillId="0" borderId="17" xfId="16" applyFont="1" applyBorder="1" applyAlignment="1" applyProtection="1">
      <alignment horizontal="left" wrapText="1"/>
    </xf>
    <xf numFmtId="3" fontId="11" fillId="3" borderId="19" xfId="16" applyNumberFormat="1" applyFont="1" applyFill="1" applyBorder="1" applyProtection="1"/>
    <xf numFmtId="173" fontId="11" fillId="0" borderId="17" xfId="16" applyFont="1" applyBorder="1" applyAlignment="1" applyProtection="1">
      <alignment horizontal="left"/>
    </xf>
    <xf numFmtId="0" fontId="11" fillId="0" borderId="17" xfId="0" applyFont="1" applyFill="1" applyBorder="1" applyAlignment="1" applyProtection="1">
      <alignment horizontal="left" vertical="center"/>
    </xf>
    <xf numFmtId="2" fontId="11" fillId="3" borderId="19" xfId="16" applyNumberFormat="1" applyFont="1" applyFill="1" applyBorder="1" applyProtection="1"/>
    <xf numFmtId="173" fontId="11" fillId="0" borderId="19" xfId="16" applyFont="1" applyFill="1" applyBorder="1" applyProtection="1"/>
    <xf numFmtId="1" fontId="11" fillId="3" borderId="19" xfId="16" applyNumberFormat="1" applyFont="1" applyFill="1" applyBorder="1" applyProtection="1"/>
    <xf numFmtId="173" fontId="22" fillId="0" borderId="0" xfId="16" applyFont="1" applyFill="1" applyProtection="1"/>
    <xf numFmtId="0" fontId="0" fillId="0" borderId="0" xfId="0" applyBorder="1" applyProtection="1"/>
    <xf numFmtId="9" fontId="11" fillId="3" borderId="19" xfId="16" applyNumberFormat="1" applyFont="1" applyFill="1" applyBorder="1" applyProtection="1"/>
    <xf numFmtId="9" fontId="11" fillId="3" borderId="7" xfId="16" applyNumberFormat="1" applyFont="1" applyFill="1" applyBorder="1" applyProtection="1"/>
    <xf numFmtId="164" fontId="11" fillId="0" borderId="19" xfId="16" applyNumberFormat="1" applyFont="1" applyFill="1" applyBorder="1" applyProtection="1"/>
    <xf numFmtId="173" fontId="21" fillId="0" borderId="17" xfId="16" applyFont="1" applyBorder="1" applyProtection="1"/>
    <xf numFmtId="9" fontId="11" fillId="0" borderId="19" xfId="16" applyNumberFormat="1" applyFont="1" applyFill="1" applyBorder="1" applyProtection="1"/>
    <xf numFmtId="10" fontId="11" fillId="3" borderId="19" xfId="16" applyNumberFormat="1" applyFont="1" applyFill="1" applyBorder="1" applyProtection="1"/>
    <xf numFmtId="7" fontId="11" fillId="0" borderId="0" xfId="3" applyNumberFormat="1" applyFont="1" applyFill="1" applyBorder="1" applyProtection="1"/>
    <xf numFmtId="1" fontId="11" fillId="3" borderId="19" xfId="16" applyNumberFormat="1" applyFont="1" applyFill="1" applyBorder="1" applyAlignment="1" applyProtection="1">
      <alignment horizontal="right"/>
    </xf>
    <xf numFmtId="170" fontId="11" fillId="3" borderId="19" xfId="16" applyNumberFormat="1" applyFont="1" applyFill="1" applyBorder="1" applyAlignment="1" applyProtection="1">
      <alignment horizontal="right"/>
    </xf>
    <xf numFmtId="173" fontId="11" fillId="0" borderId="20" xfId="16" applyFont="1" applyBorder="1" applyAlignment="1" applyProtection="1">
      <alignment wrapText="1"/>
    </xf>
    <xf numFmtId="0" fontId="0" fillId="0" borderId="10" xfId="0" applyBorder="1" applyAlignment="1" applyProtection="1">
      <alignment wrapText="1"/>
    </xf>
    <xf numFmtId="173" fontId="3" fillId="0" borderId="0" xfId="16" applyFont="1" applyFill="1" applyBorder="1" applyAlignment="1" applyProtection="1">
      <alignment horizontal="center" wrapText="1"/>
    </xf>
    <xf numFmtId="173" fontId="11" fillId="3" borderId="13" xfId="16" applyFont="1" applyFill="1" applyBorder="1" applyProtection="1"/>
    <xf numFmtId="173" fontId="11" fillId="3" borderId="15" xfId="16" applyFont="1" applyFill="1" applyBorder="1" applyProtection="1"/>
    <xf numFmtId="165" fontId="11" fillId="3" borderId="15" xfId="16" applyNumberFormat="1" applyFont="1" applyFill="1" applyBorder="1" applyProtection="1"/>
    <xf numFmtId="170" fontId="11" fillId="3" borderId="15" xfId="16" applyNumberFormat="1" applyFont="1" applyFill="1" applyBorder="1" applyProtection="1"/>
    <xf numFmtId="6" fontId="11" fillId="3" borderId="15" xfId="16" applyNumberFormat="1" applyFont="1" applyFill="1" applyBorder="1" applyProtection="1"/>
    <xf numFmtId="164" fontId="1" fillId="3" borderId="15" xfId="17" applyNumberFormat="1" applyFill="1" applyBorder="1" applyProtection="1"/>
    <xf numFmtId="173" fontId="11" fillId="3" borderId="8" xfId="16" applyFont="1" applyFill="1" applyBorder="1" applyProtection="1"/>
    <xf numFmtId="165" fontId="11" fillId="3" borderId="8" xfId="16" applyNumberFormat="1" applyFont="1" applyFill="1" applyBorder="1" applyProtection="1"/>
    <xf numFmtId="6" fontId="11" fillId="3" borderId="8" xfId="16" applyNumberFormat="1" applyFont="1" applyFill="1" applyBorder="1" applyProtection="1"/>
    <xf numFmtId="164" fontId="1" fillId="3" borderId="8" xfId="17" applyNumberFormat="1" applyFill="1" applyBorder="1" applyProtection="1"/>
    <xf numFmtId="173" fontId="11" fillId="3" borderId="22" xfId="16" applyFont="1" applyFill="1" applyBorder="1" applyProtection="1"/>
    <xf numFmtId="6" fontId="11" fillId="3" borderId="22" xfId="16" applyNumberFormat="1" applyFont="1" applyFill="1" applyBorder="1" applyProtection="1"/>
    <xf numFmtId="173" fontId="11" fillId="0" borderId="0" xfId="16" applyFont="1" applyAlignment="1" applyProtection="1">
      <alignment horizontal="right"/>
    </xf>
    <xf numFmtId="170" fontId="11" fillId="0" borderId="0" xfId="16" applyNumberFormat="1" applyFont="1" applyFill="1" applyProtection="1"/>
    <xf numFmtId="0" fontId="17" fillId="0" borderId="11" xfId="0" applyFont="1" applyBorder="1" applyAlignment="1" applyProtection="1">
      <alignment wrapText="1"/>
    </xf>
    <xf numFmtId="173" fontId="11" fillId="3" borderId="17" xfId="16" applyFont="1" applyFill="1" applyBorder="1" applyAlignment="1" applyProtection="1">
      <alignment horizontal="right"/>
    </xf>
    <xf numFmtId="10" fontId="11" fillId="3" borderId="8" xfId="16" applyNumberFormat="1" applyFont="1" applyFill="1" applyBorder="1" applyProtection="1"/>
    <xf numFmtId="169" fontId="11" fillId="3" borderId="19" xfId="16" applyNumberFormat="1" applyFont="1" applyFill="1" applyBorder="1" applyAlignment="1" applyProtection="1">
      <alignment horizontal="right"/>
    </xf>
    <xf numFmtId="173" fontId="11" fillId="3" borderId="20" xfId="16" applyFont="1" applyFill="1" applyBorder="1" applyAlignment="1" applyProtection="1">
      <alignment horizontal="right" wrapText="1"/>
    </xf>
    <xf numFmtId="10" fontId="11" fillId="3" borderId="22" xfId="16" applyNumberFormat="1" applyFont="1" applyFill="1" applyBorder="1" applyProtection="1"/>
    <xf numFmtId="169" fontId="11" fillId="3" borderId="23" xfId="16" applyNumberFormat="1" applyFont="1" applyFill="1" applyBorder="1" applyAlignment="1" applyProtection="1">
      <alignment horizontal="right"/>
    </xf>
    <xf numFmtId="173" fontId="17" fillId="0" borderId="46" xfId="16" applyFont="1" applyFill="1" applyBorder="1" applyAlignment="1" applyProtection="1"/>
    <xf numFmtId="0" fontId="0" fillId="0" borderId="47" xfId="0" applyBorder="1" applyAlignment="1" applyProtection="1">
      <alignment wrapText="1"/>
    </xf>
    <xf numFmtId="173" fontId="17" fillId="0" borderId="9" xfId="16" applyFont="1" applyFill="1" applyBorder="1" applyAlignment="1" applyProtection="1">
      <alignment wrapText="1"/>
    </xf>
    <xf numFmtId="0" fontId="17" fillId="0" borderId="9" xfId="0" applyFont="1" applyBorder="1" applyAlignment="1" applyProtection="1">
      <alignment wrapText="1"/>
    </xf>
    <xf numFmtId="173" fontId="3" fillId="0" borderId="48" xfId="16" applyFont="1" applyFill="1" applyBorder="1" applyAlignment="1" applyProtection="1">
      <alignment horizontal="center"/>
    </xf>
    <xf numFmtId="173" fontId="11" fillId="3" borderId="49" xfId="16" applyFont="1" applyFill="1" applyBorder="1" applyProtection="1"/>
    <xf numFmtId="169" fontId="11" fillId="3" borderId="17" xfId="16" applyNumberFormat="1" applyFont="1" applyFill="1" applyBorder="1" applyProtection="1"/>
    <xf numFmtId="169" fontId="11" fillId="3" borderId="8" xfId="16" applyNumberFormat="1" applyFont="1" applyFill="1" applyBorder="1" applyProtection="1"/>
    <xf numFmtId="173" fontId="11"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1" fillId="0" borderId="0" xfId="0" applyFont="1" applyFill="1" applyProtection="1">
      <protection locked="0"/>
    </xf>
    <xf numFmtId="0" fontId="3" fillId="0" borderId="0" xfId="0" applyFont="1" applyFill="1" applyProtection="1"/>
    <xf numFmtId="0" fontId="3"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1"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1"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1"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6" fillId="0" borderId="25" xfId="0" applyFont="1" applyBorder="1" applyAlignment="1" applyProtection="1">
      <alignment wrapText="1"/>
    </xf>
    <xf numFmtId="0" fontId="26" fillId="0" borderId="51" xfId="0" applyFont="1" applyFill="1" applyBorder="1" applyAlignment="1" applyProtection="1">
      <alignment horizontal="center" wrapText="1"/>
    </xf>
    <xf numFmtId="0" fontId="26" fillId="0" borderId="52" xfId="0" applyFont="1" applyFill="1" applyBorder="1" applyAlignment="1" applyProtection="1">
      <alignment horizontal="center" wrapText="1"/>
    </xf>
    <xf numFmtId="0" fontId="26" fillId="0" borderId="53" xfId="0" applyFont="1" applyFill="1" applyBorder="1" applyAlignment="1" applyProtection="1">
      <alignment horizontal="center" wrapText="1"/>
    </xf>
    <xf numFmtId="0" fontId="26" fillId="0" borderId="54" xfId="0" applyFont="1" applyFill="1" applyBorder="1" applyAlignment="1" applyProtection="1">
      <alignment horizontal="center" wrapText="1"/>
    </xf>
    <xf numFmtId="173" fontId="3" fillId="0" borderId="0" xfId="16" applyFont="1" applyAlignment="1" applyProtection="1">
      <alignment vertical="top" wrapText="1"/>
    </xf>
    <xf numFmtId="0" fontId="11" fillId="3" borderId="8" xfId="16" applyNumberFormat="1" applyFont="1" applyFill="1" applyBorder="1" applyProtection="1"/>
    <xf numFmtId="0" fontId="28" fillId="0" borderId="10" xfId="0" applyFont="1" applyBorder="1" applyAlignment="1" applyProtection="1">
      <alignment wrapText="1"/>
    </xf>
    <xf numFmtId="0" fontId="28" fillId="0" borderId="10" xfId="0" quotePrefix="1" applyFont="1" applyBorder="1" applyAlignment="1" applyProtection="1">
      <alignment wrapText="1"/>
    </xf>
    <xf numFmtId="169" fontId="11" fillId="3" borderId="18" xfId="16" applyNumberFormat="1" applyFont="1" applyFill="1" applyBorder="1" applyProtection="1"/>
    <xf numFmtId="0" fontId="17" fillId="0" borderId="25" xfId="0" applyFont="1" applyBorder="1" applyAlignment="1" applyProtection="1">
      <alignment wrapText="1"/>
    </xf>
    <xf numFmtId="169" fontId="11" fillId="3" borderId="55" xfId="16" applyNumberFormat="1" applyFont="1" applyFill="1" applyBorder="1" applyProtection="1"/>
    <xf numFmtId="169" fontId="11" fillId="3" borderId="19" xfId="16" applyNumberFormat="1" applyFont="1" applyFill="1" applyBorder="1" applyProtection="1"/>
    <xf numFmtId="173" fontId="11" fillId="0" borderId="56" xfId="16" applyFont="1" applyBorder="1" applyProtection="1"/>
    <xf numFmtId="173" fontId="3" fillId="0" borderId="34" xfId="16" applyFont="1" applyFill="1" applyBorder="1" applyAlignment="1" applyProtection="1">
      <alignment horizontal="center" wrapText="1"/>
    </xf>
    <xf numFmtId="173" fontId="3" fillId="7" borderId="34" xfId="16" applyFont="1" applyFill="1" applyBorder="1" applyAlignment="1" applyProtection="1">
      <alignment horizontal="center" wrapText="1"/>
    </xf>
    <xf numFmtId="169" fontId="11" fillId="7" borderId="17" xfId="16" applyNumberFormat="1" applyFont="1" applyFill="1" applyBorder="1" applyProtection="1"/>
    <xf numFmtId="174" fontId="11" fillId="7" borderId="17" xfId="16" applyNumberFormat="1" applyFont="1" applyFill="1" applyBorder="1" applyProtection="1"/>
    <xf numFmtId="174" fontId="11" fillId="7" borderId="20" xfId="16" applyNumberFormat="1" applyFont="1" applyFill="1" applyBorder="1" applyProtection="1"/>
    <xf numFmtId="0" fontId="0" fillId="6" borderId="0" xfId="0" applyFill="1" applyBorder="1" applyAlignment="1">
      <alignment horizontal="left" vertical="top" wrapText="1"/>
    </xf>
    <xf numFmtId="170"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0" fontId="0" fillId="3" borderId="57" xfId="0" applyNumberFormat="1" applyFill="1" applyBorder="1" applyAlignment="1">
      <alignment horizontal="right" vertical="top" wrapText="1"/>
    </xf>
    <xf numFmtId="0" fontId="3"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4"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3" fillId="7" borderId="1" xfId="0" applyFont="1" applyFill="1" applyBorder="1"/>
    <xf numFmtId="0" fontId="0" fillId="7" borderId="2" xfId="0" applyFill="1" applyBorder="1"/>
    <xf numFmtId="0" fontId="3"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7"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1" fillId="14" borderId="63" xfId="0" applyFont="1" applyFill="1" applyBorder="1" applyProtection="1"/>
    <xf numFmtId="0" fontId="11" fillId="14" borderId="17" xfId="0" applyFont="1" applyFill="1" applyBorder="1" applyProtection="1"/>
    <xf numFmtId="0" fontId="1" fillId="0" borderId="0" xfId="0" applyFont="1"/>
    <xf numFmtId="0" fontId="1" fillId="7" borderId="0" xfId="0" applyFont="1" applyFill="1"/>
    <xf numFmtId="0" fontId="1" fillId="4" borderId="0" xfId="0" applyFont="1" applyFill="1"/>
    <xf numFmtId="0" fontId="1" fillId="9" borderId="0" xfId="0" applyFont="1" applyFill="1"/>
    <xf numFmtId="0" fontId="1" fillId="11" borderId="0" xfId="0" applyFont="1" applyFill="1"/>
    <xf numFmtId="0" fontId="1" fillId="12" borderId="0" xfId="0" applyFont="1" applyFill="1"/>
    <xf numFmtId="0" fontId="1" fillId="10" borderId="0" xfId="0" applyFont="1" applyFill="1"/>
    <xf numFmtId="164" fontId="12"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1" fillId="0" borderId="0" xfId="0" applyFont="1"/>
    <xf numFmtId="173" fontId="3" fillId="0" borderId="17" xfId="16" applyFont="1" applyBorder="1" applyAlignment="1" applyProtection="1">
      <alignment wrapText="1"/>
    </xf>
    <xf numFmtId="0" fontId="25"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1" fillId="2" borderId="4" xfId="0" applyFont="1" applyFill="1" applyBorder="1" applyAlignment="1">
      <alignment vertical="top" wrapText="1"/>
    </xf>
    <xf numFmtId="0" fontId="1" fillId="2" borderId="4" xfId="0" applyFont="1" applyFill="1" applyBorder="1" applyAlignment="1">
      <alignment vertical="top" wrapText="1"/>
    </xf>
    <xf numFmtId="0" fontId="3" fillId="2" borderId="4" xfId="0" applyFont="1" applyFill="1" applyBorder="1" applyAlignment="1">
      <alignment vertical="top" wrapText="1"/>
    </xf>
    <xf numFmtId="0" fontId="11" fillId="2" borderId="0" xfId="0" applyFont="1" applyFill="1" applyBorder="1" applyAlignment="1">
      <alignment vertical="top" wrapText="1"/>
    </xf>
    <xf numFmtId="0" fontId="0" fillId="2" borderId="0" xfId="0" applyFill="1" applyAlignment="1">
      <alignment vertical="top" wrapText="1"/>
    </xf>
    <xf numFmtId="0" fontId="5" fillId="2" borderId="4"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0"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3"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5" fillId="2" borderId="58" xfId="0" applyFont="1" applyFill="1" applyBorder="1" applyAlignment="1">
      <alignment vertical="top" wrapText="1"/>
    </xf>
    <xf numFmtId="0" fontId="13" fillId="2" borderId="24" xfId="0" applyFont="1" applyFill="1" applyBorder="1" applyAlignment="1" applyProtection="1">
      <alignment horizontal="left"/>
    </xf>
    <xf numFmtId="3" fontId="3" fillId="2" borderId="65" xfId="0" applyNumberFormat="1" applyFont="1" applyFill="1" applyBorder="1" applyAlignment="1" applyProtection="1">
      <alignment vertical="center" wrapText="1"/>
    </xf>
    <xf numFmtId="0" fontId="3" fillId="2" borderId="65" xfId="0" applyFont="1" applyFill="1" applyBorder="1" applyAlignment="1" applyProtection="1">
      <alignment horizontal="left" vertical="center" wrapText="1"/>
    </xf>
    <xf numFmtId="0" fontId="11" fillId="2" borderId="65" xfId="0" applyFont="1" applyFill="1" applyBorder="1" applyAlignment="1" applyProtection="1">
      <alignment horizontal="left" vertical="center" wrapText="1"/>
    </xf>
    <xf numFmtId="0" fontId="0" fillId="2" borderId="66" xfId="0" applyFill="1" applyBorder="1" applyProtection="1"/>
    <xf numFmtId="0" fontId="13" fillId="2" borderId="25" xfId="0" applyFont="1" applyFill="1" applyBorder="1" applyAlignment="1" applyProtection="1">
      <alignment horizontal="left"/>
    </xf>
    <xf numFmtId="3" fontId="3" fillId="2" borderId="42" xfId="0" applyNumberFormat="1" applyFont="1" applyFill="1" applyBorder="1" applyAlignment="1" applyProtection="1">
      <alignment vertical="center" wrapText="1"/>
    </xf>
    <xf numFmtId="0" fontId="3" fillId="2" borderId="26" xfId="0" applyFont="1" applyFill="1" applyBorder="1" applyAlignment="1" applyProtection="1">
      <alignment horizontal="left" vertical="center" wrapText="1"/>
    </xf>
    <xf numFmtId="0" fontId="3" fillId="2" borderId="27" xfId="0" applyFont="1" applyFill="1" applyBorder="1" applyAlignment="1" applyProtection="1">
      <alignment vertical="center"/>
    </xf>
    <xf numFmtId="0" fontId="11" fillId="2" borderId="67" xfId="0" applyFont="1" applyFill="1" applyBorder="1" applyAlignment="1" applyProtection="1">
      <alignment wrapText="1"/>
    </xf>
    <xf numFmtId="0" fontId="11" fillId="2" borderId="68" xfId="0" applyFont="1" applyFill="1" applyBorder="1" applyAlignment="1" applyProtection="1">
      <alignment wrapText="1"/>
      <protection locked="0"/>
    </xf>
    <xf numFmtId="0" fontId="11" fillId="2" borderId="69" xfId="0" applyFont="1" applyFill="1" applyBorder="1" applyAlignment="1" applyProtection="1">
      <alignment wrapText="1"/>
      <protection locked="0"/>
    </xf>
    <xf numFmtId="0" fontId="3" fillId="2" borderId="70" xfId="0" applyFont="1" applyFill="1" applyBorder="1" applyAlignment="1" applyProtection="1">
      <alignment wrapText="1"/>
    </xf>
    <xf numFmtId="0" fontId="3" fillId="2" borderId="25" xfId="0" applyFont="1" applyFill="1" applyBorder="1" applyAlignment="1" applyProtection="1">
      <alignment horizontal="center"/>
    </xf>
    <xf numFmtId="0" fontId="3" fillId="2" borderId="69" xfId="0" applyFont="1" applyFill="1" applyBorder="1" applyAlignment="1" applyProtection="1">
      <alignment horizontal="center" wrapText="1"/>
    </xf>
    <xf numFmtId="0" fontId="3" fillId="2" borderId="26" xfId="0" applyFont="1" applyFill="1" applyBorder="1" applyAlignment="1" applyProtection="1">
      <alignment horizontal="center" wrapText="1"/>
    </xf>
    <xf numFmtId="0" fontId="3" fillId="2" borderId="26" xfId="0" applyFont="1" applyFill="1" applyBorder="1" applyAlignment="1" applyProtection="1">
      <alignment wrapText="1"/>
    </xf>
    <xf numFmtId="0" fontId="3" fillId="2" borderId="27" xfId="0" applyFont="1" applyFill="1" applyBorder="1" applyAlignment="1" applyProtection="1">
      <alignment wrapText="1"/>
    </xf>
    <xf numFmtId="0" fontId="3" fillId="2" borderId="41" xfId="0" applyFont="1" applyFill="1" applyBorder="1" applyAlignment="1" applyProtection="1">
      <alignment horizontal="center"/>
    </xf>
    <xf numFmtId="0" fontId="3" fillId="2" borderId="42" xfId="0" applyFont="1" applyFill="1" applyBorder="1" applyAlignment="1" applyProtection="1">
      <alignment horizontal="center" wrapText="1"/>
    </xf>
    <xf numFmtId="0" fontId="3" fillId="2" borderId="42" xfId="0" applyFont="1" applyFill="1" applyBorder="1" applyAlignment="1" applyProtection="1">
      <alignment wrapText="1"/>
    </xf>
    <xf numFmtId="0" fontId="3" fillId="2" borderId="71" xfId="0" applyFont="1" applyFill="1" applyBorder="1" applyAlignment="1" applyProtection="1">
      <alignment wrapText="1"/>
    </xf>
    <xf numFmtId="170" fontId="11" fillId="2" borderId="15" xfId="0" applyNumberFormat="1" applyFont="1" applyFill="1" applyBorder="1" applyAlignment="1" applyProtection="1">
      <alignment horizontal="right" vertical="center" wrapText="1"/>
      <protection locked="0"/>
    </xf>
    <xf numFmtId="171" fontId="11" fillId="2" borderId="15" xfId="0" applyNumberFormat="1" applyFont="1" applyFill="1" applyBorder="1" applyAlignment="1" applyProtection="1">
      <alignment horizontal="right" vertical="center" wrapText="1"/>
      <protection locked="0"/>
    </xf>
    <xf numFmtId="3" fontId="11" fillId="2" borderId="15" xfId="0" applyNumberFormat="1" applyFont="1" applyFill="1" applyBorder="1" applyAlignment="1" applyProtection="1">
      <alignment horizontal="right" vertical="center" wrapText="1"/>
      <protection locked="0"/>
    </xf>
    <xf numFmtId="3" fontId="11" fillId="2" borderId="16" xfId="0" applyNumberFormat="1" applyFont="1" applyFill="1" applyBorder="1" applyAlignment="1" applyProtection="1">
      <alignment horizontal="right" vertical="center" wrapText="1"/>
      <protection locked="0"/>
    </xf>
    <xf numFmtId="170" fontId="11" fillId="2" borderId="8" xfId="0" applyNumberFormat="1" applyFont="1" applyFill="1" applyBorder="1" applyAlignment="1" applyProtection="1">
      <alignment horizontal="right" vertical="center" wrapText="1"/>
      <protection locked="0"/>
    </xf>
    <xf numFmtId="171" fontId="11" fillId="2" borderId="8" xfId="0" applyNumberFormat="1" applyFont="1" applyFill="1" applyBorder="1" applyAlignment="1" applyProtection="1">
      <alignment horizontal="right" vertical="center" wrapText="1"/>
      <protection locked="0"/>
    </xf>
    <xf numFmtId="3" fontId="11" fillId="2" borderId="8" xfId="0" applyNumberFormat="1" applyFont="1" applyFill="1" applyBorder="1" applyAlignment="1" applyProtection="1">
      <alignment horizontal="right" vertical="center" wrapText="1"/>
      <protection locked="0"/>
    </xf>
    <xf numFmtId="3" fontId="11" fillId="2" borderId="19" xfId="0" applyNumberFormat="1" applyFont="1" applyFill="1" applyBorder="1" applyAlignment="1" applyProtection="1">
      <alignment horizontal="right" vertical="center" wrapText="1"/>
      <protection locked="0"/>
    </xf>
    <xf numFmtId="170" fontId="11" fillId="2" borderId="22" xfId="0" applyNumberFormat="1" applyFont="1" applyFill="1" applyBorder="1" applyAlignment="1" applyProtection="1">
      <alignment horizontal="right" vertical="center" wrapText="1"/>
      <protection locked="0"/>
    </xf>
    <xf numFmtId="171" fontId="11" fillId="2" borderId="22" xfId="0" applyNumberFormat="1" applyFont="1" applyFill="1" applyBorder="1" applyAlignment="1" applyProtection="1">
      <alignment horizontal="right" vertical="center" wrapText="1"/>
      <protection locked="0"/>
    </xf>
    <xf numFmtId="3" fontId="11" fillId="2" borderId="22" xfId="0" applyNumberFormat="1" applyFont="1" applyFill="1" applyBorder="1" applyAlignment="1" applyProtection="1">
      <alignment horizontal="right" vertical="center" wrapText="1"/>
      <protection locked="0"/>
    </xf>
    <xf numFmtId="3" fontId="11" fillId="2" borderId="23" xfId="0" applyNumberFormat="1" applyFont="1" applyFill="1" applyBorder="1" applyAlignment="1" applyProtection="1">
      <alignment horizontal="right" vertical="center" wrapText="1"/>
      <protection locked="0"/>
    </xf>
    <xf numFmtId="0" fontId="5"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7" fillId="0" borderId="72" xfId="16" applyFont="1" applyFill="1" applyBorder="1" applyAlignment="1" applyProtection="1">
      <alignment wrapText="1"/>
    </xf>
    <xf numFmtId="173" fontId="17" fillId="0" borderId="73" xfId="16" applyFont="1" applyFill="1" applyBorder="1" applyAlignment="1" applyProtection="1">
      <alignment wrapText="1"/>
    </xf>
    <xf numFmtId="173" fontId="17" fillId="0" borderId="74" xfId="16" applyFont="1" applyFill="1" applyBorder="1" applyAlignment="1" applyProtection="1">
      <alignment wrapText="1"/>
    </xf>
    <xf numFmtId="173" fontId="12" fillId="3" borderId="75" xfId="16" applyFont="1" applyFill="1" applyBorder="1" applyAlignment="1" applyProtection="1">
      <alignment wrapText="1"/>
    </xf>
    <xf numFmtId="0" fontId="12" fillId="3" borderId="76" xfId="0" applyFont="1" applyFill="1" applyBorder="1" applyAlignment="1" applyProtection="1">
      <alignment wrapText="1"/>
    </xf>
    <xf numFmtId="0" fontId="12" fillId="3" borderId="75" xfId="0" applyFont="1" applyFill="1" applyBorder="1" applyAlignment="1" applyProtection="1">
      <alignment wrapText="1"/>
    </xf>
    <xf numFmtId="0" fontId="12" fillId="3" borderId="76" xfId="0" quotePrefix="1" applyFont="1" applyFill="1" applyBorder="1" applyAlignment="1" applyProtection="1">
      <alignment wrapText="1"/>
    </xf>
    <xf numFmtId="0" fontId="17" fillId="3" borderId="76" xfId="0" applyFont="1" applyFill="1" applyBorder="1" applyAlignment="1" applyProtection="1">
      <alignment wrapText="1"/>
    </xf>
    <xf numFmtId="0" fontId="17" fillId="3" borderId="77" xfId="0" applyFont="1" applyFill="1" applyBorder="1" applyAlignment="1" applyProtection="1">
      <alignment wrapText="1"/>
    </xf>
    <xf numFmtId="173" fontId="12" fillId="3" borderId="78" xfId="16" applyFont="1" applyFill="1" applyBorder="1" applyAlignment="1" applyProtection="1">
      <alignment wrapText="1"/>
    </xf>
    <xf numFmtId="0" fontId="12" fillId="3" borderId="79" xfId="0" applyFont="1" applyFill="1" applyBorder="1" applyAlignment="1" applyProtection="1">
      <alignment wrapText="1"/>
    </xf>
    <xf numFmtId="0" fontId="12" fillId="3" borderId="78" xfId="0" applyFont="1" applyFill="1" applyBorder="1" applyAlignment="1" applyProtection="1">
      <alignment wrapText="1"/>
    </xf>
    <xf numFmtId="0" fontId="12" fillId="3" borderId="79" xfId="0" quotePrefix="1" applyFont="1" applyFill="1" applyBorder="1" applyAlignment="1" applyProtection="1">
      <alignment wrapText="1"/>
    </xf>
    <xf numFmtId="0" fontId="17" fillId="3" borderId="79" xfId="0" applyFont="1" applyFill="1" applyBorder="1" applyAlignment="1" applyProtection="1">
      <alignment wrapText="1"/>
    </xf>
    <xf numFmtId="0" fontId="17" fillId="3" borderId="80" xfId="0" applyFont="1" applyFill="1" applyBorder="1" applyAlignment="1" applyProtection="1">
      <alignment wrapText="1"/>
    </xf>
    <xf numFmtId="173" fontId="12" fillId="3" borderId="81" xfId="16" applyFont="1" applyFill="1" applyBorder="1" applyAlignment="1" applyProtection="1">
      <alignment wrapText="1"/>
    </xf>
    <xf numFmtId="0" fontId="12" fillId="3" borderId="2" xfId="0" applyFont="1" applyFill="1" applyBorder="1" applyAlignment="1" applyProtection="1">
      <alignment wrapText="1"/>
    </xf>
    <xf numFmtId="0" fontId="12" fillId="3" borderId="81" xfId="0" applyFont="1" applyFill="1" applyBorder="1" applyAlignment="1" applyProtection="1">
      <alignment wrapText="1"/>
    </xf>
    <xf numFmtId="0" fontId="12" fillId="3" borderId="2" xfId="0" quotePrefix="1" applyFont="1" applyFill="1" applyBorder="1" applyAlignment="1" applyProtection="1">
      <alignment wrapText="1"/>
    </xf>
    <xf numFmtId="0" fontId="17" fillId="3" borderId="2" xfId="0" applyFont="1" applyFill="1" applyBorder="1" applyAlignment="1" applyProtection="1">
      <alignment wrapText="1"/>
    </xf>
    <xf numFmtId="0" fontId="17" fillId="3" borderId="82" xfId="0" applyFont="1" applyFill="1" applyBorder="1" applyAlignment="1" applyProtection="1">
      <alignment wrapText="1"/>
    </xf>
    <xf numFmtId="0" fontId="17" fillId="0" borderId="41" xfId="0" applyFont="1" applyFill="1" applyBorder="1" applyAlignment="1" applyProtection="1">
      <alignment wrapText="1"/>
    </xf>
    <xf numFmtId="0" fontId="17" fillId="0" borderId="13" xfId="0" applyFont="1" applyFill="1" applyBorder="1" applyAlignment="1" applyProtection="1">
      <alignment wrapText="1"/>
    </xf>
    <xf numFmtId="0" fontId="17" fillId="0" borderId="17" xfId="0" applyFont="1" applyFill="1" applyBorder="1" applyAlignment="1" applyProtection="1">
      <alignment wrapText="1"/>
    </xf>
    <xf numFmtId="0" fontId="17" fillId="0" borderId="20" xfId="0" applyFont="1" applyFill="1" applyBorder="1" applyAlignment="1" applyProtection="1">
      <alignment wrapText="1"/>
    </xf>
    <xf numFmtId="0" fontId="17" fillId="0" borderId="83" xfId="0" applyFont="1" applyFill="1" applyBorder="1" applyAlignment="1" applyProtection="1">
      <alignment wrapText="1"/>
    </xf>
    <xf numFmtId="0" fontId="17" fillId="3" borderId="42" xfId="0" applyFont="1" applyFill="1" applyBorder="1" applyAlignment="1" applyProtection="1">
      <alignment wrapText="1"/>
    </xf>
    <xf numFmtId="0" fontId="17" fillId="3" borderId="71" xfId="0" applyFont="1" applyFill="1" applyBorder="1" applyAlignment="1" applyProtection="1">
      <alignment wrapText="1"/>
    </xf>
    <xf numFmtId="0" fontId="17" fillId="3" borderId="15" xfId="0" applyFont="1" applyFill="1" applyBorder="1" applyAlignment="1" applyProtection="1">
      <alignment wrapText="1"/>
    </xf>
    <xf numFmtId="0" fontId="17" fillId="3" borderId="16" xfId="0" applyFont="1" applyFill="1" applyBorder="1" applyAlignment="1" applyProtection="1">
      <alignment wrapText="1"/>
    </xf>
    <xf numFmtId="0" fontId="17" fillId="3" borderId="8" xfId="0" applyFont="1" applyFill="1" applyBorder="1" applyAlignment="1" applyProtection="1">
      <alignment wrapText="1"/>
    </xf>
    <xf numFmtId="0" fontId="17" fillId="3" borderId="19" xfId="0" applyFont="1" applyFill="1" applyBorder="1" applyAlignment="1" applyProtection="1">
      <alignment wrapText="1"/>
    </xf>
    <xf numFmtId="0" fontId="17" fillId="3" borderId="22" xfId="0" applyFont="1" applyFill="1" applyBorder="1" applyAlignment="1" applyProtection="1">
      <alignment wrapText="1"/>
    </xf>
    <xf numFmtId="0" fontId="17" fillId="3" borderId="23" xfId="0" applyFont="1" applyFill="1" applyBorder="1" applyAlignment="1" applyProtection="1">
      <alignment wrapText="1"/>
    </xf>
    <xf numFmtId="0" fontId="17" fillId="3" borderId="84" xfId="0" applyFont="1" applyFill="1" applyBorder="1" applyAlignment="1" applyProtection="1">
      <alignment wrapText="1"/>
    </xf>
    <xf numFmtId="0" fontId="17" fillId="3" borderId="45" xfId="0" applyFont="1" applyFill="1" applyBorder="1" applyAlignment="1" applyProtection="1">
      <alignment wrapText="1"/>
    </xf>
    <xf numFmtId="173" fontId="17" fillId="0" borderId="6" xfId="16" applyFont="1" applyFill="1" applyBorder="1" applyAlignment="1" applyProtection="1">
      <alignment wrapText="1"/>
    </xf>
    <xf numFmtId="173" fontId="17" fillId="3" borderId="10" xfId="16" applyFont="1" applyFill="1" applyBorder="1" applyAlignment="1" applyProtection="1">
      <alignment wrapText="1"/>
    </xf>
    <xf numFmtId="173" fontId="11" fillId="3" borderId="11" xfId="16" applyFont="1" applyFill="1" applyBorder="1" applyProtection="1"/>
    <xf numFmtId="173" fontId="17" fillId="3" borderId="22" xfId="16" applyFont="1" applyFill="1" applyBorder="1" applyAlignment="1" applyProtection="1">
      <alignment wrapText="1"/>
    </xf>
    <xf numFmtId="173" fontId="11" fillId="3" borderId="23" xfId="16" applyFont="1" applyFill="1" applyBorder="1" applyProtection="1"/>
    <xf numFmtId="173" fontId="17" fillId="3" borderId="0" xfId="16" applyFont="1" applyFill="1" applyBorder="1" applyAlignment="1" applyProtection="1">
      <alignment wrapText="1"/>
    </xf>
    <xf numFmtId="173" fontId="11" fillId="3" borderId="7" xfId="16" applyFont="1" applyFill="1" applyBorder="1" applyProtection="1"/>
    <xf numFmtId="173" fontId="5" fillId="3" borderId="0" xfId="16" applyFont="1" applyFill="1" applyAlignment="1" applyProtection="1">
      <alignment horizontal="center" vertical="center"/>
    </xf>
    <xf numFmtId="173" fontId="17" fillId="0" borderId="85" xfId="16" applyFont="1" applyFill="1" applyBorder="1" applyAlignment="1" applyProtection="1">
      <alignment wrapText="1"/>
    </xf>
    <xf numFmtId="0" fontId="17" fillId="3" borderId="47" xfId="0" applyFont="1" applyFill="1" applyBorder="1" applyAlignment="1" applyProtection="1">
      <alignment wrapText="1"/>
    </xf>
    <xf numFmtId="0" fontId="17" fillId="3" borderId="56" xfId="0" applyFont="1" applyFill="1" applyBorder="1" applyAlignment="1" applyProtection="1">
      <alignment wrapText="1"/>
    </xf>
    <xf numFmtId="0" fontId="17" fillId="0" borderId="86" xfId="0" applyFont="1" applyFill="1" applyBorder="1" applyAlignment="1" applyProtection="1">
      <alignment wrapText="1"/>
    </xf>
    <xf numFmtId="173" fontId="17" fillId="0" borderId="86" xfId="16" applyFont="1" applyFill="1" applyBorder="1" applyAlignment="1" applyProtection="1">
      <alignment wrapText="1"/>
    </xf>
    <xf numFmtId="173" fontId="17" fillId="3" borderId="47" xfId="16" applyFont="1" applyFill="1" applyBorder="1" applyAlignment="1" applyProtection="1">
      <alignment wrapText="1"/>
    </xf>
    <xf numFmtId="173" fontId="11" fillId="3" borderId="56" xfId="16" applyFont="1" applyFill="1" applyBorder="1" applyProtection="1"/>
    <xf numFmtId="2" fontId="12" fillId="3" borderId="86" xfId="16" applyNumberFormat="1" applyFont="1" applyFill="1" applyBorder="1" applyAlignment="1" applyProtection="1">
      <alignment wrapText="1"/>
    </xf>
    <xf numFmtId="2" fontId="12" fillId="3" borderId="47" xfId="16" applyNumberFormat="1" applyFont="1" applyFill="1" applyBorder="1" applyAlignment="1" applyProtection="1">
      <alignment wrapText="1"/>
    </xf>
    <xf numFmtId="2" fontId="12" fillId="3" borderId="56" xfId="16" applyNumberFormat="1" applyFont="1" applyFill="1" applyBorder="1" applyAlignment="1" applyProtection="1">
      <alignment wrapText="1"/>
    </xf>
    <xf numFmtId="173" fontId="17" fillId="0" borderId="75" xfId="16" applyFont="1" applyBorder="1" applyProtection="1"/>
    <xf numFmtId="173" fontId="11" fillId="0" borderId="76" xfId="16" applyFont="1" applyBorder="1" applyProtection="1"/>
    <xf numFmtId="173" fontId="3" fillId="0" borderId="16" xfId="16" applyFont="1" applyBorder="1" applyAlignment="1" applyProtection="1">
      <alignment horizontal="center" wrapText="1"/>
    </xf>
    <xf numFmtId="173" fontId="33" fillId="0" borderId="0" xfId="16" applyFont="1" applyAlignment="1" applyProtection="1">
      <alignment horizontal="left"/>
    </xf>
    <xf numFmtId="0" fontId="5" fillId="0" borderId="4" xfId="0" applyFont="1" applyFill="1" applyBorder="1" applyAlignment="1">
      <alignment vertical="top" wrapText="1"/>
    </xf>
    <xf numFmtId="0" fontId="11" fillId="0" borderId="0" xfId="0" applyFont="1" applyFill="1" applyBorder="1" applyAlignment="1">
      <alignment vertical="top" wrapText="1"/>
    </xf>
    <xf numFmtId="0" fontId="0" fillId="0" borderId="0" xfId="0" applyFill="1" applyBorder="1" applyAlignment="1">
      <alignment vertical="top" wrapText="1"/>
    </xf>
    <xf numFmtId="0" fontId="11" fillId="0" borderId="5" xfId="0" applyFont="1" applyFill="1" applyBorder="1" applyAlignment="1">
      <alignment vertical="top" wrapText="1"/>
    </xf>
    <xf numFmtId="0" fontId="5" fillId="0" borderId="0" xfId="0" applyFont="1" applyFill="1" applyBorder="1" applyAlignment="1">
      <alignment vertical="top" wrapText="1"/>
    </xf>
    <xf numFmtId="0" fontId="5" fillId="0" borderId="4" xfId="0" applyFont="1" applyFill="1" applyBorder="1" applyAlignment="1">
      <alignment vertical="center" wrapText="1"/>
    </xf>
    <xf numFmtId="0" fontId="11" fillId="0" borderId="0" xfId="0" applyFont="1" applyFill="1" applyBorder="1" applyAlignment="1">
      <alignment vertical="center" wrapText="1"/>
    </xf>
    <xf numFmtId="0" fontId="0" fillId="0" borderId="0" xfId="0" applyFill="1" applyBorder="1" applyAlignment="1">
      <alignment vertical="center" wrapText="1"/>
    </xf>
    <xf numFmtId="0" fontId="11" fillId="0" borderId="0" xfId="0" applyFont="1" applyFill="1" applyBorder="1" applyAlignment="1">
      <alignment horizontal="center" vertical="center" wrapText="1"/>
    </xf>
    <xf numFmtId="0" fontId="5" fillId="0" borderId="0" xfId="0" applyFont="1" applyFill="1" applyBorder="1" applyAlignment="1">
      <alignment vertical="center" wrapText="1"/>
    </xf>
    <xf numFmtId="0" fontId="5"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5" fillId="3" borderId="57" xfId="0" applyFont="1" applyFill="1" applyBorder="1" applyAlignment="1">
      <alignment vertical="center" wrapText="1"/>
    </xf>
    <xf numFmtId="0" fontId="5" fillId="0" borderId="4" xfId="0" applyFont="1" applyFill="1" applyBorder="1" applyAlignment="1">
      <alignment horizontal="right" vertical="center" wrapText="1"/>
    </xf>
    <xf numFmtId="0" fontId="5" fillId="0" borderId="4" xfId="0" applyFon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5" fillId="0" borderId="58" xfId="0" applyFont="1" applyFill="1" applyBorder="1" applyAlignment="1">
      <alignment vertical="center" wrapText="1"/>
    </xf>
    <xf numFmtId="0" fontId="0" fillId="0" borderId="59" xfId="0" applyFill="1" applyBorder="1" applyAlignment="1">
      <alignment horizontal="center" vertical="top" wrapText="1"/>
    </xf>
    <xf numFmtId="170" fontId="5" fillId="3" borderId="57" xfId="0" applyNumberFormat="1" applyFont="1" applyFill="1" applyBorder="1" applyAlignment="1">
      <alignment horizontal="right" vertical="top" wrapText="1"/>
    </xf>
    <xf numFmtId="0" fontId="27" fillId="3" borderId="57" xfId="0" applyFont="1" applyFill="1" applyBorder="1" applyAlignment="1">
      <alignment vertical="top" wrapText="1"/>
    </xf>
    <xf numFmtId="0" fontId="3" fillId="3" borderId="57" xfId="0" applyFont="1" applyFill="1" applyBorder="1" applyAlignment="1">
      <alignment horizontal="center" vertical="top" wrapText="1"/>
    </xf>
    <xf numFmtId="170"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3" fillId="3" borderId="4" xfId="0" applyFont="1" applyFill="1" applyBorder="1" applyAlignment="1">
      <alignment horizontal="center" vertical="top" wrapText="1"/>
    </xf>
    <xf numFmtId="0" fontId="3" fillId="3" borderId="0" xfId="0" applyFont="1" applyFill="1" applyBorder="1" applyAlignment="1">
      <alignment horizontal="center" vertical="top" wrapText="1"/>
    </xf>
    <xf numFmtId="170" fontId="3" fillId="3" borderId="0" xfId="0" applyNumberFormat="1" applyFont="1" applyFill="1" applyBorder="1" applyAlignment="1">
      <alignment horizontal="center" vertical="top" wrapText="1"/>
    </xf>
    <xf numFmtId="0" fontId="3" fillId="3" borderId="5" xfId="0" applyFont="1" applyFill="1" applyBorder="1" applyAlignment="1">
      <alignment vertical="top"/>
    </xf>
    <xf numFmtId="170" fontId="14" fillId="3" borderId="89" xfId="0" applyNumberFormat="1" applyFont="1" applyFill="1" applyBorder="1" applyAlignment="1">
      <alignment vertical="center" wrapText="1"/>
    </xf>
    <xf numFmtId="0" fontId="11" fillId="0" borderId="0" xfId="0" applyFont="1"/>
    <xf numFmtId="0" fontId="34" fillId="0" borderId="0" xfId="0" applyFont="1" applyFill="1" applyAlignment="1">
      <alignment vertical="top" wrapText="1"/>
    </xf>
    <xf numFmtId="0" fontId="34" fillId="15" borderId="0" xfId="0" applyFont="1" applyFill="1" applyAlignment="1">
      <alignment vertical="top" wrapText="1"/>
    </xf>
    <xf numFmtId="0" fontId="34" fillId="15" borderId="0" xfId="0" applyFont="1" applyFill="1"/>
    <xf numFmtId="0" fontId="34" fillId="15" borderId="5" xfId="0" applyFont="1" applyFill="1" applyBorder="1" applyAlignment="1">
      <alignment vertical="top" wrapText="1"/>
    </xf>
    <xf numFmtId="0" fontId="34" fillId="15" borderId="0" xfId="0" applyFont="1" applyFill="1" applyAlignment="1">
      <alignment vertical="top"/>
    </xf>
    <xf numFmtId="42" fontId="11" fillId="3" borderId="22" xfId="0" applyNumberFormat="1" applyFont="1" applyFill="1" applyBorder="1" applyAlignment="1" applyProtection="1">
      <alignment wrapText="1"/>
      <protection locked="0"/>
    </xf>
    <xf numFmtId="164" fontId="0" fillId="5" borderId="57" xfId="0" applyNumberFormat="1" applyFill="1" applyBorder="1" applyAlignment="1">
      <alignment vertical="top" wrapText="1"/>
    </xf>
    <xf numFmtId="0" fontId="0" fillId="4" borderId="0" xfId="0" applyFill="1" applyBorder="1" applyAlignment="1">
      <alignment vertical="top" wrapText="1"/>
    </xf>
    <xf numFmtId="0" fontId="0" fillId="4" borderId="0" xfId="0" applyFill="1" applyAlignment="1">
      <alignment vertical="top" wrapText="1"/>
    </xf>
    <xf numFmtId="9" fontId="1" fillId="5" borderId="57" xfId="17" applyFill="1" applyBorder="1" applyAlignment="1">
      <alignment vertical="top" wrapText="1"/>
    </xf>
    <xf numFmtId="0" fontId="0" fillId="6" borderId="5" xfId="0" applyFill="1" applyBorder="1" applyAlignment="1">
      <alignment vertical="top" wrapText="1"/>
    </xf>
    <xf numFmtId="0" fontId="0" fillId="6" borderId="0" xfId="0" applyFill="1" applyBorder="1" applyAlignment="1">
      <alignment vertical="top" wrapText="1"/>
    </xf>
    <xf numFmtId="7" fontId="0" fillId="5" borderId="57" xfId="0" applyNumberFormat="1" applyFill="1" applyBorder="1" applyAlignment="1">
      <alignment vertical="top" wrapText="1"/>
    </xf>
    <xf numFmtId="9" fontId="11" fillId="5" borderId="57" xfId="17" applyFont="1" applyFill="1" applyBorder="1" applyAlignment="1">
      <alignment vertical="top" wrapText="1"/>
    </xf>
    <xf numFmtId="0" fontId="14" fillId="5" borderId="89" xfId="0" applyFont="1" applyFill="1" applyBorder="1" applyAlignment="1">
      <alignment horizontal="right" vertical="top" wrapText="1"/>
    </xf>
    <xf numFmtId="170" fontId="0" fillId="4" borderId="0" xfId="0" applyNumberFormat="1" applyFill="1" applyBorder="1" applyAlignment="1">
      <alignment horizontal="right" vertical="top" wrapText="1"/>
    </xf>
    <xf numFmtId="0" fontId="0" fillId="6" borderId="0" xfId="0" applyFill="1"/>
    <xf numFmtId="176" fontId="14"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6" fillId="2" borderId="20" xfId="0" applyFont="1" applyFill="1" applyBorder="1" applyAlignment="1" applyProtection="1">
      <protection locked="0"/>
    </xf>
    <xf numFmtId="0" fontId="36" fillId="2" borderId="22" xfId="0" applyFont="1" applyFill="1" applyBorder="1" applyAlignment="1" applyProtection="1">
      <alignment horizontal="right" wrapText="1"/>
      <protection locked="0"/>
    </xf>
    <xf numFmtId="0" fontId="39" fillId="2" borderId="90" xfId="0" applyFont="1" applyFill="1" applyBorder="1" applyAlignment="1" applyProtection="1">
      <alignment horizontal="left" vertical="center"/>
      <protection locked="0"/>
    </xf>
    <xf numFmtId="0" fontId="37" fillId="2" borderId="90" xfId="0" applyFont="1" applyFill="1" applyBorder="1" applyProtection="1">
      <protection locked="0"/>
    </xf>
    <xf numFmtId="0" fontId="10" fillId="2" borderId="15" xfId="0" applyFont="1" applyFill="1" applyBorder="1" applyAlignment="1" applyProtection="1">
      <alignment horizontal="center" wrapText="1"/>
      <protection locked="0"/>
    </xf>
    <xf numFmtId="0" fontId="3" fillId="0" borderId="0" xfId="0" applyFont="1" applyFill="1" applyBorder="1" applyAlignment="1">
      <alignment vertical="top" wrapText="1"/>
    </xf>
    <xf numFmtId="0" fontId="40" fillId="2" borderId="91" xfId="0" applyFont="1" applyFill="1" applyBorder="1" applyAlignment="1">
      <alignment vertical="top" wrapText="1"/>
    </xf>
    <xf numFmtId="0" fontId="10" fillId="2" borderId="92" xfId="0" applyFont="1" applyFill="1" applyBorder="1" applyAlignment="1">
      <alignment vertical="top" wrapText="1"/>
    </xf>
    <xf numFmtId="0" fontId="37" fillId="2" borderId="92" xfId="0" applyFont="1" applyFill="1" applyBorder="1" applyAlignment="1">
      <alignment vertical="top" wrapText="1"/>
    </xf>
    <xf numFmtId="0" fontId="36" fillId="2" borderId="92" xfId="0" applyFont="1" applyFill="1" applyBorder="1" applyAlignment="1">
      <alignment vertical="top" wrapText="1"/>
    </xf>
    <xf numFmtId="0" fontId="37" fillId="2" borderId="93" xfId="0" applyFont="1" applyFill="1" applyBorder="1" applyAlignment="1">
      <alignment vertical="top" wrapText="1"/>
    </xf>
    <xf numFmtId="0" fontId="32" fillId="2" borderId="0" xfId="0" applyFont="1" applyFill="1" applyBorder="1" applyAlignment="1">
      <alignment vertical="top" wrapText="1"/>
    </xf>
    <xf numFmtId="0" fontId="32" fillId="2" borderId="5" xfId="0" applyFont="1" applyFill="1" applyBorder="1" applyAlignment="1">
      <alignment vertical="top" wrapText="1"/>
    </xf>
    <xf numFmtId="0" fontId="40" fillId="2" borderId="94" xfId="0" applyFont="1" applyFill="1" applyBorder="1" applyAlignment="1">
      <alignment vertical="top" wrapText="1"/>
    </xf>
    <xf numFmtId="0" fontId="32" fillId="2" borderId="95" xfId="0" applyFont="1" applyFill="1" applyBorder="1" applyAlignment="1">
      <alignment vertical="top" wrapText="1"/>
    </xf>
    <xf numFmtId="0" fontId="40" fillId="2" borderId="95" xfId="0" applyFont="1" applyFill="1" applyBorder="1" applyAlignment="1">
      <alignment vertical="top" wrapText="1"/>
    </xf>
    <xf numFmtId="0" fontId="32" fillId="2" borderId="96" xfId="0" applyFont="1" applyFill="1" applyBorder="1" applyAlignment="1">
      <alignment vertical="top" wrapText="1"/>
    </xf>
    <xf numFmtId="3" fontId="0" fillId="3" borderId="62" xfId="0" applyNumberFormat="1" applyFill="1" applyBorder="1" applyAlignment="1">
      <alignment vertical="top" wrapText="1"/>
    </xf>
    <xf numFmtId="0" fontId="42" fillId="2" borderId="95" xfId="0" applyFont="1" applyFill="1" applyBorder="1" applyAlignment="1">
      <alignment vertical="top" wrapText="1"/>
    </xf>
    <xf numFmtId="0" fontId="43" fillId="2" borderId="4" xfId="0" applyFont="1" applyFill="1" applyBorder="1" applyAlignment="1">
      <alignment horizontal="center" vertical="center" wrapText="1"/>
    </xf>
    <xf numFmtId="0" fontId="43" fillId="2" borderId="0" xfId="0" applyFont="1" applyFill="1" applyBorder="1" applyAlignment="1">
      <alignment horizontal="center" vertical="top" wrapText="1"/>
    </xf>
    <xf numFmtId="0" fontId="41" fillId="2" borderId="94" xfId="0" applyFont="1" applyFill="1" applyBorder="1" applyAlignment="1">
      <alignment wrapText="1"/>
    </xf>
    <xf numFmtId="0" fontId="32" fillId="2" borderId="95" xfId="0" applyFont="1" applyFill="1" applyBorder="1" applyAlignment="1">
      <alignment horizontal="center" vertical="top" wrapText="1"/>
    </xf>
    <xf numFmtId="0" fontId="32" fillId="2" borderId="96" xfId="0" applyFont="1" applyFill="1" applyBorder="1" applyAlignment="1">
      <alignment vertical="top"/>
    </xf>
    <xf numFmtId="170" fontId="0" fillId="3" borderId="62" xfId="0" applyNumberFormat="1" applyFill="1" applyBorder="1" applyAlignment="1">
      <alignment vertical="top" wrapText="1"/>
    </xf>
    <xf numFmtId="0" fontId="45" fillId="2" borderId="95" xfId="0" applyFont="1" applyFill="1" applyBorder="1" applyAlignment="1">
      <alignment horizontal="center" vertical="top" wrapText="1"/>
    </xf>
    <xf numFmtId="0" fontId="45" fillId="2" borderId="96" xfId="0" applyFont="1" applyFill="1" applyBorder="1"/>
    <xf numFmtId="170" fontId="0" fillId="2" borderId="0" xfId="0" applyNumberFormat="1" applyFill="1" applyBorder="1" applyAlignment="1">
      <alignment vertical="top" wrapText="1"/>
    </xf>
    <xf numFmtId="0" fontId="36"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1" fillId="2" borderId="97" xfId="0" applyFont="1" applyFill="1" applyBorder="1" applyAlignment="1" applyProtection="1">
      <alignment horizontal="left" wrapText="1"/>
      <protection locked="0"/>
    </xf>
    <xf numFmtId="42" fontId="11" fillId="3" borderId="69" xfId="0" applyNumberFormat="1" applyFont="1" applyFill="1" applyBorder="1" applyAlignment="1" applyProtection="1">
      <alignment wrapText="1"/>
      <protection locked="0"/>
    </xf>
    <xf numFmtId="42" fontId="11" fillId="3" borderId="98" xfId="0" applyNumberFormat="1" applyFont="1" applyFill="1" applyBorder="1" applyAlignment="1" applyProtection="1">
      <alignment wrapText="1"/>
      <protection locked="0"/>
    </xf>
    <xf numFmtId="2" fontId="11" fillId="2" borderId="69" xfId="0" applyNumberFormat="1" applyFont="1" applyFill="1" applyBorder="1" applyAlignment="1" applyProtection="1">
      <alignment wrapText="1"/>
      <protection locked="0"/>
    </xf>
    <xf numFmtId="0" fontId="10" fillId="2" borderId="71" xfId="0" applyFont="1" applyFill="1" applyBorder="1" applyAlignment="1" applyProtection="1">
      <alignment horizontal="center" wrapText="1"/>
      <protection locked="0"/>
    </xf>
    <xf numFmtId="172" fontId="3" fillId="2" borderId="69" xfId="0" applyNumberFormat="1" applyFont="1" applyFill="1" applyBorder="1" applyAlignment="1" applyProtection="1">
      <alignment wrapText="1"/>
      <protection locked="0"/>
    </xf>
    <xf numFmtId="0" fontId="11" fillId="2" borderId="70" xfId="0" applyFont="1" applyFill="1" applyBorder="1" applyAlignment="1" applyProtection="1">
      <alignment wrapText="1"/>
      <protection locked="0"/>
    </xf>
    <xf numFmtId="0" fontId="11" fillId="6" borderId="99" xfId="0" applyFont="1" applyFill="1" applyBorder="1" applyAlignment="1" applyProtection="1">
      <alignment wrapText="1"/>
      <protection locked="0"/>
    </xf>
    <xf numFmtId="0" fontId="11" fillId="6" borderId="100" xfId="0" applyFont="1" applyFill="1" applyBorder="1" applyAlignment="1" applyProtection="1">
      <alignment wrapText="1"/>
      <protection locked="0"/>
    </xf>
    <xf numFmtId="0" fontId="11" fillId="6" borderId="101" xfId="0" applyFont="1" applyFill="1" applyBorder="1" applyAlignment="1" applyProtection="1">
      <alignment wrapText="1"/>
      <protection locked="0"/>
    </xf>
    <xf numFmtId="0" fontId="0" fillId="3" borderId="98" xfId="0" applyFill="1" applyBorder="1"/>
    <xf numFmtId="0" fontId="11" fillId="6" borderId="102" xfId="0" applyFont="1" applyFill="1" applyBorder="1" applyAlignment="1" applyProtection="1">
      <alignment wrapText="1"/>
      <protection locked="0"/>
    </xf>
    <xf numFmtId="0" fontId="11" fillId="6" borderId="18" xfId="0" applyFont="1" applyFill="1" applyBorder="1" applyAlignment="1" applyProtection="1">
      <alignment wrapText="1"/>
      <protection locked="0"/>
    </xf>
    <xf numFmtId="0" fontId="11" fillId="6" borderId="103" xfId="0" applyFont="1" applyFill="1" applyBorder="1" applyAlignment="1" applyProtection="1">
      <alignment wrapText="1"/>
      <protection locked="0"/>
    </xf>
    <xf numFmtId="10" fontId="11" fillId="3" borderId="57" xfId="0" applyNumberFormat="1" applyFont="1" applyFill="1" applyBorder="1" applyAlignment="1" applyProtection="1">
      <alignment wrapText="1"/>
      <protection locked="0"/>
    </xf>
    <xf numFmtId="0" fontId="17" fillId="3" borderId="0" xfId="0" applyFont="1" applyFill="1" applyBorder="1" applyAlignment="1" applyProtection="1">
      <alignment wrapText="1"/>
    </xf>
    <xf numFmtId="0" fontId="17" fillId="3" borderId="7" xfId="0" applyFont="1" applyFill="1" applyBorder="1" applyAlignment="1" applyProtection="1">
      <alignment wrapText="1"/>
    </xf>
    <xf numFmtId="0" fontId="17" fillId="0" borderId="6" xfId="0" applyFont="1" applyFill="1" applyBorder="1" applyAlignment="1" applyProtection="1">
      <alignment wrapText="1"/>
    </xf>
    <xf numFmtId="173" fontId="17" fillId="0" borderId="104" xfId="16" applyFont="1" applyFill="1" applyBorder="1" applyAlignment="1" applyProtection="1">
      <alignment wrapText="1"/>
    </xf>
    <xf numFmtId="2" fontId="12" fillId="3" borderId="78" xfId="16" applyNumberFormat="1" applyFont="1" applyFill="1" applyBorder="1" applyAlignment="1" applyProtection="1">
      <alignment wrapText="1"/>
    </xf>
    <xf numFmtId="2" fontId="12" fillId="3" borderId="79" xfId="16" applyNumberFormat="1" applyFont="1" applyFill="1" applyBorder="1" applyAlignment="1" applyProtection="1">
      <alignment wrapText="1"/>
    </xf>
    <xf numFmtId="2" fontId="12" fillId="3" borderId="80" xfId="16" applyNumberFormat="1" applyFont="1" applyFill="1" applyBorder="1" applyAlignment="1" applyProtection="1">
      <alignment wrapText="1"/>
    </xf>
    <xf numFmtId="0" fontId="9"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5" fillId="0" borderId="0" xfId="0" applyFont="1" applyAlignment="1"/>
    <xf numFmtId="0" fontId="0" fillId="0" borderId="0" xfId="0" applyAlignment="1"/>
    <xf numFmtId="0" fontId="0" fillId="0" borderId="0" xfId="0" applyFill="1" applyAlignment="1"/>
    <xf numFmtId="165" fontId="7" fillId="2" borderId="0" xfId="0" applyNumberFormat="1" applyFont="1" applyFill="1" applyBorder="1" applyAlignment="1">
      <alignment horizontal="center" vertical="center"/>
    </xf>
    <xf numFmtId="166" fontId="7" fillId="0" borderId="5" xfId="0" applyNumberFormat="1" applyFont="1" applyFill="1" applyBorder="1" applyAlignment="1">
      <alignment horizontal="center" vertical="center" wrapText="1"/>
    </xf>
    <xf numFmtId="1" fontId="7" fillId="2" borderId="0" xfId="0" applyNumberFormat="1" applyFont="1" applyFill="1" applyBorder="1" applyAlignment="1">
      <alignment horizontal="center" vertical="center" wrapText="1"/>
    </xf>
    <xf numFmtId="2" fontId="7" fillId="2" borderId="0" xfId="0" applyNumberFormat="1" applyFont="1" applyFill="1" applyBorder="1" applyAlignment="1">
      <alignment horizontal="center" vertical="center"/>
    </xf>
    <xf numFmtId="2" fontId="7" fillId="2" borderId="5" xfId="0" applyNumberFormat="1" applyFont="1" applyFill="1" applyBorder="1" applyAlignment="1">
      <alignment horizontal="center" vertical="center" wrapText="1"/>
    </xf>
    <xf numFmtId="0" fontId="5" fillId="3" borderId="57" xfId="0" applyFont="1" applyFill="1" applyBorder="1" applyAlignment="1">
      <alignment horizontal="left" vertical="center" wrapText="1"/>
    </xf>
    <xf numFmtId="0" fontId="5" fillId="0" borderId="4" xfId="0" applyFont="1" applyFill="1" applyBorder="1" applyAlignment="1">
      <alignment horizontal="left" vertical="center" wrapText="1"/>
    </xf>
    <xf numFmtId="0" fontId="0" fillId="0" borderId="0" xfId="0" applyAlignment="1">
      <alignment horizontal="center"/>
    </xf>
    <xf numFmtId="0" fontId="3"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0" fontId="0" fillId="6" borderId="5" xfId="0" applyFill="1" applyBorder="1" applyAlignment="1">
      <alignment horizontal="left" vertical="top" wrapText="1"/>
    </xf>
    <xf numFmtId="0" fontId="38" fillId="2" borderId="13" xfId="0" applyFont="1" applyFill="1" applyBorder="1" applyAlignment="1">
      <alignment vertical="top" wrapText="1"/>
    </xf>
    <xf numFmtId="0" fontId="14" fillId="0" borderId="63" xfId="0" applyFont="1" applyBorder="1" applyAlignment="1">
      <alignment vertical="top" wrapText="1"/>
    </xf>
    <xf numFmtId="3" fontId="0" fillId="5" borderId="57" xfId="0" applyNumberFormat="1" applyFill="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4" fillId="0" borderId="109" xfId="0" applyFont="1" applyBorder="1" applyAlignment="1">
      <alignment vertical="top" wrapText="1"/>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167" fontId="14"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Border="1" applyAlignment="1">
      <alignment vertical="top" wrapText="1"/>
    </xf>
    <xf numFmtId="0" fontId="0" fillId="0" borderId="90" xfId="0" applyBorder="1"/>
    <xf numFmtId="0" fontId="19" fillId="3" borderId="111" xfId="0" applyFont="1" applyFill="1" applyBorder="1" applyAlignment="1" applyProtection="1">
      <alignment horizontal="left" vertical="center"/>
    </xf>
    <xf numFmtId="173" fontId="11" fillId="0" borderId="112" xfId="16" applyFont="1" applyBorder="1" applyAlignment="1" applyProtection="1">
      <alignment wrapText="1"/>
    </xf>
    <xf numFmtId="165" fontId="11" fillId="3" borderId="113" xfId="16" applyNumberFormat="1" applyFont="1" applyFill="1" applyBorder="1" applyProtection="1"/>
    <xf numFmtId="173" fontId="11" fillId="0" borderId="114" xfId="16" applyFont="1" applyBorder="1" applyProtection="1"/>
    <xf numFmtId="173" fontId="11" fillId="0" borderId="115" xfId="16" applyFont="1" applyBorder="1" applyAlignment="1" applyProtection="1">
      <alignment wrapText="1"/>
    </xf>
    <xf numFmtId="165" fontId="11" fillId="3" borderId="98" xfId="16" applyNumberFormat="1" applyFont="1" applyFill="1" applyBorder="1" applyProtection="1"/>
    <xf numFmtId="173" fontId="11" fillId="0" borderId="116" xfId="16" applyFont="1" applyBorder="1" applyProtection="1"/>
    <xf numFmtId="173" fontId="11" fillId="0" borderId="117" xfId="16" applyFont="1" applyBorder="1" applyAlignment="1" applyProtection="1">
      <alignment wrapText="1"/>
    </xf>
    <xf numFmtId="165" fontId="11" fillId="3" borderId="118" xfId="16" applyNumberFormat="1" applyFont="1" applyFill="1" applyBorder="1" applyProtection="1"/>
    <xf numFmtId="173" fontId="11" fillId="0" borderId="119" xfId="16" applyFont="1" applyBorder="1" applyProtection="1"/>
    <xf numFmtId="165" fontId="3" fillId="0" borderId="0" xfId="16" applyNumberFormat="1" applyFont="1" applyFill="1" applyBorder="1" applyProtection="1"/>
    <xf numFmtId="0" fontId="3" fillId="0" borderId="58" xfId="0" applyFont="1" applyBorder="1"/>
    <xf numFmtId="0" fontId="3" fillId="0" borderId="59" xfId="0" applyFont="1" applyFill="1" applyBorder="1" applyProtection="1"/>
    <xf numFmtId="0" fontId="3" fillId="0" borderId="87" xfId="0" applyFont="1" applyFill="1" applyBorder="1" applyProtection="1"/>
    <xf numFmtId="173" fontId="11" fillId="0" borderId="106" xfId="16" applyFont="1" applyBorder="1" applyProtection="1"/>
    <xf numFmtId="170" fontId="11" fillId="0" borderId="107" xfId="16" applyNumberFormat="1" applyFont="1" applyFill="1" applyBorder="1" applyAlignment="1" applyProtection="1">
      <alignment horizontal="center"/>
    </xf>
    <xf numFmtId="173" fontId="11" fillId="0" borderId="98" xfId="16" applyFont="1" applyBorder="1" applyProtection="1"/>
    <xf numFmtId="173" fontId="11" fillId="0" borderId="108" xfId="16" applyFont="1" applyBorder="1" applyProtection="1"/>
    <xf numFmtId="173" fontId="11" fillId="0" borderId="120" xfId="16" applyFont="1" applyBorder="1" applyProtection="1"/>
    <xf numFmtId="173" fontId="11" fillId="0" borderId="111" xfId="16" applyFont="1" applyBorder="1" applyProtection="1"/>
    <xf numFmtId="173" fontId="5" fillId="0" borderId="40" xfId="16" applyFont="1" applyBorder="1" applyProtection="1"/>
    <xf numFmtId="173" fontId="4" fillId="0" borderId="63" xfId="5" applyNumberFormat="1" applyBorder="1" applyAlignment="1" applyProtection="1"/>
    <xf numFmtId="173" fontId="4" fillId="0" borderId="109" xfId="5" applyNumberFormat="1" applyBorder="1" applyAlignment="1" applyProtection="1"/>
    <xf numFmtId="0" fontId="14" fillId="0" borderId="121" xfId="0" applyFont="1" applyBorder="1" applyAlignment="1">
      <alignment vertical="top" wrapText="1"/>
    </xf>
    <xf numFmtId="167" fontId="14" fillId="3" borderId="37" xfId="0" applyNumberFormat="1" applyFont="1" applyFill="1" applyBorder="1" applyAlignment="1">
      <alignment vertical="top" wrapText="1"/>
    </xf>
    <xf numFmtId="0" fontId="17" fillId="0" borderId="10" xfId="0" quotePrefix="1" applyFont="1" applyBorder="1" applyAlignment="1" applyProtection="1">
      <alignment wrapText="1"/>
    </xf>
    <xf numFmtId="173" fontId="3" fillId="0" borderId="40" xfId="16" applyFont="1" applyFill="1" applyBorder="1" applyAlignment="1" applyProtection="1">
      <alignment horizontal="center" wrapText="1"/>
    </xf>
    <xf numFmtId="0" fontId="12" fillId="3" borderId="122" xfId="0" applyFont="1" applyFill="1" applyBorder="1" applyAlignment="1" applyProtection="1">
      <alignment wrapText="1"/>
    </xf>
    <xf numFmtId="0" fontId="12" fillId="3" borderId="123" xfId="0" applyFont="1" applyFill="1" applyBorder="1" applyAlignment="1" applyProtection="1">
      <alignment wrapText="1"/>
    </xf>
    <xf numFmtId="0" fontId="12" fillId="3" borderId="124" xfId="0" applyFont="1" applyFill="1" applyBorder="1" applyAlignment="1" applyProtection="1">
      <alignment wrapText="1"/>
    </xf>
    <xf numFmtId="173" fontId="3" fillId="0" borderId="107" xfId="16" applyFont="1" applyFill="1" applyBorder="1" applyAlignment="1" applyProtection="1">
      <alignment horizontal="center" wrapText="1"/>
    </xf>
    <xf numFmtId="169" fontId="11" fillId="3" borderId="108" xfId="16" applyNumberFormat="1" applyFont="1" applyFill="1" applyBorder="1" applyProtection="1"/>
    <xf numFmtId="173" fontId="3" fillId="0" borderId="125" xfId="16" applyFont="1" applyFill="1" applyBorder="1" applyAlignment="1" applyProtection="1">
      <alignment horizontal="center" wrapText="1"/>
    </xf>
    <xf numFmtId="0" fontId="12" fillId="3" borderId="77" xfId="0" quotePrefix="1" applyFont="1" applyFill="1" applyBorder="1" applyAlignment="1" applyProtection="1">
      <alignment horizontal="left" wrapText="1"/>
    </xf>
    <xf numFmtId="0" fontId="12" fillId="3" borderId="80" xfId="0" quotePrefix="1" applyFont="1" applyFill="1" applyBorder="1" applyAlignment="1" applyProtection="1">
      <alignment wrapText="1"/>
    </xf>
    <xf numFmtId="0" fontId="12" fillId="3" borderId="80" xfId="0" quotePrefix="1" applyFont="1" applyFill="1" applyBorder="1" applyAlignment="1" applyProtection="1">
      <alignment horizontal="center" wrapText="1"/>
    </xf>
    <xf numFmtId="0" fontId="3" fillId="0" borderId="3" xfId="0" applyFont="1" applyBorder="1" applyAlignment="1">
      <alignment wrapText="1"/>
    </xf>
    <xf numFmtId="0" fontId="3" fillId="0" borderId="87" xfId="0" applyFont="1" applyBorder="1"/>
    <xf numFmtId="0" fontId="3" fillId="0" borderId="59" xfId="0" applyFont="1" applyBorder="1"/>
    <xf numFmtId="0" fontId="0" fillId="0" borderId="113" xfId="0" applyBorder="1"/>
    <xf numFmtId="0" fontId="0" fillId="0" borderId="98" xfId="0" applyBorder="1"/>
    <xf numFmtId="0" fontId="0" fillId="0" borderId="116" xfId="0" applyBorder="1"/>
    <xf numFmtId="0" fontId="11" fillId="2" borderId="4" xfId="0" applyFont="1" applyFill="1" applyBorder="1" applyAlignment="1">
      <alignment horizontal="left" vertical="top" wrapText="1"/>
    </xf>
    <xf numFmtId="173" fontId="17" fillId="0" borderId="76" xfId="16" applyFont="1" applyBorder="1" applyAlignment="1" applyProtection="1">
      <alignment horizontal="left"/>
    </xf>
    <xf numFmtId="164" fontId="12" fillId="0" borderId="76" xfId="16" applyNumberFormat="1" applyFont="1" applyFill="1" applyBorder="1" applyProtection="1"/>
    <xf numFmtId="173" fontId="11" fillId="0" borderId="6" xfId="16" applyFont="1" applyBorder="1" applyAlignment="1" applyProtection="1">
      <alignment wrapText="1"/>
    </xf>
    <xf numFmtId="173" fontId="3" fillId="0" borderId="6" xfId="16" applyFont="1" applyBorder="1" applyAlignment="1" applyProtection="1">
      <alignment wrapText="1"/>
    </xf>
    <xf numFmtId="173" fontId="11" fillId="0" borderId="67" xfId="16" applyFont="1" applyBorder="1" applyAlignment="1" applyProtection="1">
      <alignment wrapText="1"/>
    </xf>
    <xf numFmtId="0" fontId="0" fillId="0" borderId="77" xfId="0" applyBorder="1"/>
    <xf numFmtId="173" fontId="5" fillId="0" borderId="78" xfId="16" applyFont="1" applyBorder="1" applyAlignment="1" applyProtection="1">
      <alignment vertical="center" wrapText="1"/>
    </xf>
    <xf numFmtId="173" fontId="5" fillId="0" borderId="79" xfId="16" applyFont="1" applyBorder="1" applyAlignment="1" applyProtection="1">
      <alignment horizontal="center" vertical="center" wrapText="1"/>
    </xf>
    <xf numFmtId="165" fontId="5" fillId="0" borderId="79" xfId="16" applyNumberFormat="1" applyFont="1" applyFill="1" applyBorder="1" applyAlignment="1" applyProtection="1">
      <alignment horizontal="center" vertical="center" wrapText="1"/>
    </xf>
    <xf numFmtId="165" fontId="5" fillId="0" borderId="80" xfId="16" applyNumberFormat="1" applyFont="1" applyFill="1" applyBorder="1" applyAlignment="1" applyProtection="1">
      <alignment horizontal="center" vertical="center" wrapText="1"/>
    </xf>
    <xf numFmtId="173" fontId="11" fillId="3" borderId="0" xfId="16" applyFont="1" applyFill="1" applyBorder="1" applyAlignment="1" applyProtection="1">
      <alignment horizontal="center"/>
    </xf>
    <xf numFmtId="173" fontId="11" fillId="3" borderId="7" xfId="16" applyFont="1" applyFill="1" applyBorder="1" applyAlignment="1" applyProtection="1">
      <alignment horizontal="center"/>
    </xf>
    <xf numFmtId="165" fontId="11" fillId="3" borderId="0" xfId="16" applyNumberFormat="1" applyFont="1" applyFill="1" applyBorder="1" applyAlignment="1" applyProtection="1">
      <alignment horizontal="center"/>
    </xf>
    <xf numFmtId="165" fontId="11" fillId="0" borderId="2" xfId="16" applyNumberFormat="1" applyFont="1" applyFill="1" applyBorder="1" applyAlignment="1" applyProtection="1">
      <alignment horizontal="center"/>
    </xf>
    <xf numFmtId="173" fontId="11" fillId="0" borderId="2" xfId="16" applyFont="1" applyFill="1" applyBorder="1" applyAlignment="1" applyProtection="1">
      <alignment horizontal="center"/>
    </xf>
    <xf numFmtId="173" fontId="11" fillId="0" borderId="82" xfId="16" applyFont="1" applyFill="1" applyBorder="1" applyAlignment="1" applyProtection="1">
      <alignment horizontal="center"/>
    </xf>
    <xf numFmtId="173" fontId="11" fillId="0" borderId="63" xfId="16" applyFont="1" applyFill="1" applyBorder="1" applyAlignment="1" applyProtection="1">
      <alignment horizontal="right"/>
    </xf>
    <xf numFmtId="173" fontId="11" fillId="0" borderId="63" xfId="16" applyFont="1" applyFill="1" applyBorder="1" applyAlignment="1" applyProtection="1">
      <alignment horizontal="right" wrapText="1"/>
    </xf>
    <xf numFmtId="173" fontId="3" fillId="0" borderId="109" xfId="16" applyFont="1" applyFill="1" applyBorder="1" applyProtection="1"/>
    <xf numFmtId="173" fontId="17" fillId="0" borderId="77" xfId="16" applyFont="1" applyBorder="1" applyAlignment="1" applyProtection="1">
      <alignment horizontal="left"/>
    </xf>
    <xf numFmtId="165" fontId="3" fillId="0" borderId="7" xfId="16" applyNumberFormat="1" applyFont="1" applyFill="1" applyBorder="1" applyProtection="1"/>
    <xf numFmtId="0" fontId="0" fillId="0" borderId="9" xfId="0" applyBorder="1"/>
    <xf numFmtId="0" fontId="0" fillId="0" borderId="11" xfId="0" applyBorder="1"/>
    <xf numFmtId="0" fontId="5" fillId="0" borderId="40" xfId="0" applyFont="1" applyBorder="1" applyAlignment="1">
      <alignment vertical="top" wrapText="1"/>
    </xf>
    <xf numFmtId="0" fontId="5" fillId="0" borderId="106" xfId="0" applyFont="1" applyBorder="1" applyAlignment="1">
      <alignment vertical="top" wrapText="1"/>
    </xf>
    <xf numFmtId="0" fontId="5" fillId="0" borderId="106" xfId="0" applyFont="1" applyBorder="1" applyAlignment="1">
      <alignment horizontal="left" vertical="top" wrapText="1"/>
    </xf>
    <xf numFmtId="0" fontId="5" fillId="0" borderId="106" xfId="0" applyFont="1" applyBorder="1" applyAlignment="1">
      <alignment horizontal="right" vertical="top" wrapText="1"/>
    </xf>
    <xf numFmtId="0" fontId="5" fillId="0" borderId="106" xfId="0" applyFont="1" applyBorder="1" applyAlignment="1">
      <alignment horizontal="center" vertical="top" wrapText="1"/>
    </xf>
    <xf numFmtId="0" fontId="5" fillId="0" borderId="48" xfId="0" applyFont="1" applyFill="1" applyBorder="1" applyAlignment="1">
      <alignment vertical="top" wrapText="1"/>
    </xf>
    <xf numFmtId="0" fontId="5" fillId="0" borderId="40" xfId="0" applyFont="1" applyFill="1" applyBorder="1" applyAlignment="1">
      <alignment vertical="top" wrapText="1"/>
    </xf>
    <xf numFmtId="0" fontId="5"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3" fillId="0" borderId="76" xfId="16" applyFont="1" applyBorder="1" applyAlignment="1" applyProtection="1">
      <alignment horizontal="center"/>
    </xf>
    <xf numFmtId="0" fontId="3" fillId="0" borderId="76" xfId="0" applyFont="1" applyFill="1" applyBorder="1" applyAlignment="1" applyProtection="1">
      <alignment horizontal="center"/>
    </xf>
    <xf numFmtId="0" fontId="3" fillId="0" borderId="77" xfId="0" applyFont="1" applyFill="1" applyBorder="1" applyAlignment="1" applyProtection="1">
      <alignment horizontal="center"/>
    </xf>
    <xf numFmtId="2" fontId="11" fillId="3" borderId="113" xfId="16" applyNumberFormat="1" applyFont="1" applyFill="1" applyBorder="1" applyAlignment="1" applyProtection="1">
      <alignment horizontal="center" vertical="center" wrapText="1"/>
    </xf>
    <xf numFmtId="2" fontId="11" fillId="3" borderId="128" xfId="16" applyNumberFormat="1" applyFont="1" applyFill="1" applyBorder="1" applyAlignment="1" applyProtection="1">
      <alignment horizontal="center" vertical="center" wrapText="1"/>
    </xf>
    <xf numFmtId="3" fontId="11" fillId="3" borderId="98" xfId="16" applyNumberFormat="1" applyFont="1" applyFill="1" applyBorder="1" applyAlignment="1" applyProtection="1">
      <alignment horizontal="center" vertical="center" wrapText="1"/>
    </xf>
    <xf numFmtId="3" fontId="11" fillId="3" borderId="108" xfId="16" applyNumberFormat="1" applyFont="1" applyFill="1" applyBorder="1" applyAlignment="1" applyProtection="1">
      <alignment horizontal="center" vertical="center" wrapText="1"/>
    </xf>
    <xf numFmtId="2" fontId="11" fillId="3" borderId="98" xfId="16" applyNumberFormat="1" applyFont="1" applyFill="1" applyBorder="1" applyAlignment="1" applyProtection="1">
      <alignment horizontal="center" vertical="center" wrapText="1"/>
    </xf>
    <xf numFmtId="2" fontId="11" fillId="3" borderId="108" xfId="16" applyNumberFormat="1" applyFont="1" applyFill="1" applyBorder="1" applyAlignment="1" applyProtection="1">
      <alignment horizontal="center" vertical="center" wrapText="1"/>
    </xf>
    <xf numFmtId="3" fontId="11" fillId="3" borderId="120" xfId="16" applyNumberFormat="1" applyFont="1" applyFill="1" applyBorder="1" applyAlignment="1" applyProtection="1">
      <alignment horizontal="center" vertical="center" wrapText="1"/>
    </xf>
    <xf numFmtId="3" fontId="11" fillId="3" borderId="111" xfId="16" applyNumberFormat="1" applyFont="1" applyFill="1" applyBorder="1" applyAlignment="1" applyProtection="1">
      <alignment horizontal="center" vertical="center" wrapText="1"/>
    </xf>
    <xf numFmtId="173" fontId="3" fillId="0" borderId="127" xfId="16" applyFont="1" applyBorder="1" applyAlignment="1" applyProtection="1">
      <alignment wrapText="1"/>
    </xf>
    <xf numFmtId="173" fontId="11" fillId="0" borderId="63" xfId="16" applyFont="1" applyBorder="1" applyAlignment="1" applyProtection="1">
      <alignment wrapText="1"/>
    </xf>
    <xf numFmtId="173" fontId="11" fillId="0" borderId="109" xfId="16" applyFont="1" applyBorder="1" applyAlignment="1" applyProtection="1">
      <alignment wrapText="1"/>
    </xf>
    <xf numFmtId="165" fontId="3" fillId="0" borderId="113" xfId="16" applyNumberFormat="1" applyFont="1" applyFill="1" applyBorder="1" applyAlignment="1" applyProtection="1">
      <alignment horizontal="center"/>
    </xf>
    <xf numFmtId="165" fontId="3" fillId="0" borderId="128" xfId="16" applyNumberFormat="1" applyFont="1" applyFill="1" applyBorder="1" applyAlignment="1" applyProtection="1">
      <alignment horizontal="center"/>
    </xf>
    <xf numFmtId="165" fontId="11" fillId="3" borderId="98" xfId="16" applyNumberFormat="1" applyFont="1" applyFill="1" applyBorder="1" applyAlignment="1" applyProtection="1">
      <alignment horizontal="center"/>
    </xf>
    <xf numFmtId="173" fontId="11" fillId="0" borderId="121" xfId="16" applyFont="1" applyBorder="1" applyAlignment="1" applyProtection="1">
      <alignment wrapText="1"/>
    </xf>
    <xf numFmtId="0" fontId="3" fillId="0" borderId="86" xfId="0" applyFont="1" applyBorder="1"/>
    <xf numFmtId="165" fontId="11"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1" fillId="3" borderId="98" xfId="16" applyNumberFormat="1" applyFont="1" applyFill="1" applyBorder="1" applyAlignment="1" applyProtection="1">
      <alignment horizontal="center"/>
    </xf>
    <xf numFmtId="11" fontId="11"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1" fillId="3" borderId="108" xfId="16" applyNumberFormat="1" applyFont="1" applyFill="1" applyBorder="1" applyAlignment="1" applyProtection="1">
      <alignment horizontal="center"/>
    </xf>
    <xf numFmtId="165" fontId="11"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1" fillId="3" borderId="120" xfId="16" applyNumberFormat="1" applyFont="1" applyFill="1" applyBorder="1" applyAlignment="1" applyProtection="1">
      <alignment horizontal="center"/>
    </xf>
    <xf numFmtId="11" fontId="11" fillId="3" borderId="120" xfId="16" applyNumberFormat="1" applyFont="1" applyFill="1" applyBorder="1" applyAlignment="1" applyProtection="1">
      <alignment horizontal="center"/>
    </xf>
    <xf numFmtId="165" fontId="11" fillId="3" borderId="111" xfId="16" applyNumberFormat="1" applyFont="1" applyFill="1" applyBorder="1" applyAlignment="1" applyProtection="1">
      <alignment horizontal="center"/>
    </xf>
    <xf numFmtId="11" fontId="11" fillId="3" borderId="0" xfId="16" applyNumberFormat="1" applyFont="1" applyFill="1" applyBorder="1" applyProtection="1"/>
    <xf numFmtId="11" fontId="11" fillId="3" borderId="7" xfId="16" applyNumberFormat="1" applyFont="1" applyFill="1" applyBorder="1" applyProtection="1"/>
    <xf numFmtId="11" fontId="11" fillId="3" borderId="90" xfId="16" applyNumberFormat="1" applyFont="1" applyFill="1" applyBorder="1" applyProtection="1"/>
    <xf numFmtId="11" fontId="11" fillId="3" borderId="110" xfId="16" applyNumberFormat="1" applyFont="1" applyFill="1" applyBorder="1" applyProtection="1"/>
    <xf numFmtId="165" fontId="11" fillId="3" borderId="0" xfId="16" applyNumberFormat="1" applyFont="1" applyFill="1" applyBorder="1" applyAlignment="1" applyProtection="1">
      <alignment horizontal="center" wrapText="1"/>
    </xf>
    <xf numFmtId="165" fontId="3" fillId="3" borderId="0" xfId="16" applyNumberFormat="1" applyFont="1" applyFill="1" applyBorder="1" applyAlignment="1" applyProtection="1">
      <alignment horizontal="center" wrapText="1"/>
    </xf>
    <xf numFmtId="173" fontId="17" fillId="0" borderId="24" xfId="16" applyFont="1" applyBorder="1" applyProtection="1"/>
    <xf numFmtId="173" fontId="11" fillId="0" borderId="65" xfId="16" applyFont="1" applyBorder="1" applyProtection="1"/>
    <xf numFmtId="0" fontId="3" fillId="0" borderId="65" xfId="0" applyFont="1" applyBorder="1"/>
    <xf numFmtId="0" fontId="3" fillId="0" borderId="65" xfId="0" applyFont="1" applyFill="1" applyBorder="1" applyProtection="1"/>
    <xf numFmtId="0" fontId="3" fillId="0" borderId="66" xfId="0" applyFont="1" applyFill="1" applyBorder="1" applyProtection="1"/>
    <xf numFmtId="0" fontId="0" fillId="0" borderId="7" xfId="0" applyBorder="1"/>
    <xf numFmtId="2" fontId="11" fillId="3" borderId="113" xfId="16" applyNumberFormat="1" applyFont="1" applyFill="1" applyBorder="1" applyAlignment="1" applyProtection="1">
      <alignment vertical="center" wrapText="1"/>
    </xf>
    <xf numFmtId="3" fontId="11" fillId="3" borderId="98" xfId="16" applyNumberFormat="1" applyFont="1" applyFill="1" applyBorder="1" applyAlignment="1" applyProtection="1">
      <alignment vertical="center" wrapText="1"/>
    </xf>
    <xf numFmtId="2" fontId="11" fillId="3" borderId="98" xfId="16" applyNumberFormat="1" applyFont="1" applyFill="1" applyBorder="1" applyAlignment="1" applyProtection="1">
      <alignment vertical="center" wrapText="1"/>
    </xf>
    <xf numFmtId="3" fontId="11"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3" fillId="0" borderId="75" xfId="16" applyFont="1" applyBorder="1" applyAlignment="1" applyProtection="1">
      <alignment wrapText="1"/>
    </xf>
    <xf numFmtId="173" fontId="5" fillId="0" borderId="76" xfId="16" applyFont="1" applyFill="1" applyBorder="1" applyAlignment="1" applyProtection="1">
      <alignment horizontal="center" wrapText="1"/>
    </xf>
    <xf numFmtId="173" fontId="5" fillId="0" borderId="76" xfId="16" applyFont="1" applyBorder="1" applyAlignment="1" applyProtection="1">
      <alignment horizontal="center" vertical="center" wrapText="1"/>
    </xf>
    <xf numFmtId="165" fontId="5" fillId="0" borderId="76" xfId="16" applyNumberFormat="1" applyFont="1" applyFill="1" applyBorder="1" applyAlignment="1" applyProtection="1">
      <alignment horizontal="center" vertical="center" wrapText="1"/>
    </xf>
    <xf numFmtId="165" fontId="5" fillId="0" borderId="77" xfId="16" applyNumberFormat="1" applyFont="1" applyFill="1" applyBorder="1" applyAlignment="1" applyProtection="1">
      <alignment horizontal="center" vertical="center" wrapText="1"/>
    </xf>
    <xf numFmtId="173" fontId="11" fillId="0" borderId="127" xfId="16" applyFont="1" applyBorder="1" applyAlignment="1" applyProtection="1">
      <alignment wrapText="1"/>
    </xf>
    <xf numFmtId="165" fontId="11" fillId="3" borderId="113" xfId="16" applyNumberFormat="1" applyFont="1" applyFill="1" applyBorder="1" applyAlignment="1" applyProtection="1">
      <alignment horizontal="center" wrapText="1"/>
    </xf>
    <xf numFmtId="165" fontId="11" fillId="3" borderId="113" xfId="16" applyNumberFormat="1" applyFont="1" applyFill="1" applyBorder="1" applyAlignment="1" applyProtection="1">
      <alignment horizontal="center"/>
    </xf>
    <xf numFmtId="173" fontId="11" fillId="3" borderId="113" xfId="16" applyFont="1" applyFill="1" applyBorder="1" applyAlignment="1" applyProtection="1">
      <alignment horizontal="center"/>
    </xf>
    <xf numFmtId="165" fontId="11" fillId="3" borderId="98" xfId="16" applyNumberFormat="1" applyFont="1" applyFill="1" applyBorder="1" applyAlignment="1" applyProtection="1">
      <alignment horizontal="center" wrapText="1"/>
    </xf>
    <xf numFmtId="173" fontId="11" fillId="3" borderId="98" xfId="16" applyFont="1" applyFill="1" applyBorder="1" applyAlignment="1" applyProtection="1">
      <alignment horizontal="center"/>
    </xf>
    <xf numFmtId="173" fontId="11" fillId="3" borderId="108" xfId="16" applyFont="1" applyFill="1" applyBorder="1" applyAlignment="1" applyProtection="1">
      <alignment horizontal="center"/>
    </xf>
    <xf numFmtId="173" fontId="11" fillId="0" borderId="131" xfId="16" applyFont="1" applyBorder="1" applyAlignment="1" applyProtection="1">
      <alignment wrapText="1"/>
    </xf>
    <xf numFmtId="165" fontId="11" fillId="3" borderId="118" xfId="16" applyNumberFormat="1" applyFont="1" applyFill="1" applyBorder="1" applyAlignment="1" applyProtection="1">
      <alignment horizontal="center" wrapText="1"/>
    </xf>
    <xf numFmtId="165" fontId="11" fillId="3" borderId="118" xfId="16" applyNumberFormat="1" applyFont="1" applyFill="1" applyBorder="1" applyAlignment="1" applyProtection="1">
      <alignment horizontal="center"/>
    </xf>
    <xf numFmtId="173" fontId="11" fillId="3" borderId="118" xfId="16" applyFont="1" applyFill="1" applyBorder="1" applyAlignment="1" applyProtection="1">
      <alignment horizontal="center"/>
    </xf>
    <xf numFmtId="173" fontId="5" fillId="0" borderId="81" xfId="16" applyFont="1" applyFill="1" applyBorder="1" applyAlignment="1" applyProtection="1">
      <alignment wrapText="1"/>
    </xf>
    <xf numFmtId="165" fontId="3" fillId="0" borderId="2" xfId="16" applyNumberFormat="1" applyFont="1" applyFill="1" applyBorder="1" applyAlignment="1" applyProtection="1">
      <alignment horizontal="center" wrapText="1"/>
    </xf>
    <xf numFmtId="165" fontId="11" fillId="3" borderId="120" xfId="16" applyNumberFormat="1" applyFont="1" applyFill="1" applyBorder="1" applyAlignment="1" applyProtection="1">
      <alignment horizontal="center" wrapText="1"/>
    </xf>
    <xf numFmtId="173" fontId="11" fillId="3" borderId="120" xfId="16" applyFont="1" applyFill="1" applyBorder="1" applyAlignment="1" applyProtection="1">
      <alignment horizontal="center"/>
    </xf>
    <xf numFmtId="173" fontId="11" fillId="3" borderId="111" xfId="16" applyFont="1" applyFill="1" applyBorder="1" applyAlignment="1" applyProtection="1">
      <alignment horizontal="center"/>
    </xf>
    <xf numFmtId="11" fontId="11" fillId="0" borderId="0" xfId="16" applyNumberFormat="1" applyFont="1" applyFill="1" applyBorder="1" applyProtection="1"/>
    <xf numFmtId="11" fontId="11" fillId="0" borderId="7" xfId="16" applyNumberFormat="1" applyFont="1" applyFill="1" applyBorder="1" applyProtection="1"/>
    <xf numFmtId="173" fontId="3" fillId="0" borderId="6" xfId="16" applyFont="1" applyFill="1" applyBorder="1" applyAlignment="1" applyProtection="1">
      <alignment wrapText="1"/>
    </xf>
    <xf numFmtId="173" fontId="3" fillId="0" borderId="63" xfId="16" applyFont="1" applyFill="1" applyBorder="1" applyAlignment="1" applyProtection="1">
      <alignment wrapText="1"/>
    </xf>
    <xf numFmtId="165" fontId="11" fillId="0" borderId="98" xfId="16" applyNumberFormat="1" applyFont="1" applyFill="1" applyBorder="1" applyAlignment="1" applyProtection="1">
      <alignment horizontal="center"/>
    </xf>
    <xf numFmtId="11" fontId="11" fillId="0" borderId="98" xfId="16" applyNumberFormat="1" applyFont="1" applyFill="1" applyBorder="1" applyAlignment="1" applyProtection="1">
      <alignment horizontal="center"/>
    </xf>
    <xf numFmtId="165" fontId="11" fillId="0" borderId="108" xfId="16" applyNumberFormat="1" applyFont="1" applyFill="1" applyBorder="1" applyAlignment="1" applyProtection="1">
      <alignment horizontal="center"/>
    </xf>
    <xf numFmtId="0" fontId="17" fillId="0" borderId="24" xfId="0" applyFont="1" applyBorder="1"/>
    <xf numFmtId="0" fontId="0" fillId="0" borderId="66" xfId="0" applyBorder="1"/>
    <xf numFmtId="0" fontId="4" fillId="0" borderId="6" xfId="5" applyBorder="1" applyAlignment="1" applyProtection="1"/>
    <xf numFmtId="0" fontId="4" fillId="0" borderId="67" xfId="5" applyBorder="1" applyAlignment="1" applyProtection="1"/>
    <xf numFmtId="0" fontId="0" fillId="0" borderId="110" xfId="0" applyBorder="1"/>
    <xf numFmtId="0" fontId="11" fillId="6" borderId="133" xfId="0" applyFont="1" applyFill="1" applyBorder="1" applyAlignment="1" applyProtection="1">
      <alignment wrapText="1"/>
      <protection locked="0"/>
    </xf>
    <xf numFmtId="0" fontId="11" fillId="6" borderId="19" xfId="0" applyFont="1" applyFill="1" applyBorder="1" applyAlignment="1" applyProtection="1">
      <alignment wrapText="1"/>
      <protection locked="0"/>
    </xf>
    <xf numFmtId="0" fontId="11" fillId="6" borderId="134" xfId="0" applyFont="1" applyFill="1" applyBorder="1" applyAlignment="1" applyProtection="1">
      <alignment wrapText="1"/>
      <protection locked="0"/>
    </xf>
    <xf numFmtId="42" fontId="11" fillId="3" borderId="69" xfId="1" applyNumberFormat="1" applyFont="1" applyFill="1" applyBorder="1" applyAlignment="1" applyProtection="1">
      <alignment wrapText="1"/>
      <protection locked="0"/>
    </xf>
    <xf numFmtId="2" fontId="11" fillId="5" borderId="135" xfId="0" applyNumberFormat="1" applyFont="1" applyFill="1" applyBorder="1" applyAlignment="1" applyProtection="1">
      <alignment wrapText="1"/>
      <protection locked="0"/>
    </xf>
    <xf numFmtId="42" fontId="11" fillId="3" borderId="135" xfId="0" applyNumberFormat="1" applyFont="1" applyFill="1" applyBorder="1" applyAlignment="1" applyProtection="1">
      <alignment wrapText="1"/>
      <protection locked="0"/>
    </xf>
    <xf numFmtId="42" fontId="11" fillId="3" borderId="135" xfId="1" applyNumberFormat="1" applyFont="1" applyFill="1" applyBorder="1" applyAlignment="1" applyProtection="1">
      <alignment wrapText="1"/>
      <protection locked="0"/>
    </xf>
    <xf numFmtId="0" fontId="11" fillId="6" borderId="135" xfId="0" applyFont="1" applyFill="1" applyBorder="1" applyAlignment="1" applyProtection="1">
      <alignment wrapText="1"/>
      <protection locked="0"/>
    </xf>
    <xf numFmtId="2" fontId="11" fillId="5" borderId="8" xfId="1" applyNumberFormat="1" applyFont="1" applyFill="1" applyBorder="1" applyAlignment="1" applyProtection="1">
      <alignment wrapText="1"/>
      <protection locked="0"/>
    </xf>
    <xf numFmtId="42" fontId="11" fillId="3" borderId="8" xfId="0" applyNumberFormat="1" applyFont="1" applyFill="1" applyBorder="1" applyAlignment="1" applyProtection="1">
      <alignment wrapText="1"/>
      <protection locked="0"/>
    </xf>
    <xf numFmtId="42" fontId="11" fillId="3" borderId="8" xfId="1" applyNumberFormat="1" applyFont="1" applyFill="1" applyBorder="1" applyAlignment="1" applyProtection="1">
      <alignment wrapText="1"/>
      <protection locked="0"/>
    </xf>
    <xf numFmtId="0" fontId="11" fillId="6" borderId="8" xfId="0" applyFont="1" applyFill="1" applyBorder="1" applyAlignment="1" applyProtection="1">
      <alignment wrapText="1"/>
      <protection locked="0"/>
    </xf>
    <xf numFmtId="2" fontId="3" fillId="5" borderId="8" xfId="0" applyNumberFormat="1" applyFont="1" applyFill="1" applyBorder="1" applyAlignment="1" applyProtection="1">
      <alignment wrapText="1"/>
      <protection locked="0"/>
    </xf>
    <xf numFmtId="2" fontId="3" fillId="5" borderId="136" xfId="0" applyNumberFormat="1" applyFont="1" applyFill="1" applyBorder="1" applyAlignment="1" applyProtection="1">
      <alignment wrapText="1"/>
      <protection locked="0"/>
    </xf>
    <xf numFmtId="42" fontId="11" fillId="3" borderId="136" xfId="0" applyNumberFormat="1" applyFont="1" applyFill="1" applyBorder="1" applyAlignment="1" applyProtection="1">
      <alignment wrapText="1"/>
      <protection locked="0"/>
    </xf>
    <xf numFmtId="42" fontId="11" fillId="3" borderId="136" xfId="1" applyNumberFormat="1" applyFont="1" applyFill="1" applyBorder="1" applyAlignment="1" applyProtection="1">
      <alignment wrapText="1"/>
      <protection locked="0"/>
    </xf>
    <xf numFmtId="0" fontId="11" fillId="6" borderId="136" xfId="0" applyFont="1" applyFill="1" applyBorder="1" applyAlignment="1" applyProtection="1">
      <alignment wrapText="1"/>
      <protection locked="0"/>
    </xf>
    <xf numFmtId="0" fontId="11" fillId="3" borderId="137" xfId="0" applyFont="1" applyFill="1" applyBorder="1" applyAlignment="1" applyProtection="1">
      <alignment horizontal="left" wrapText="1"/>
      <protection locked="0"/>
    </xf>
    <xf numFmtId="0" fontId="11" fillId="3" borderId="138" xfId="0" applyFont="1" applyFill="1" applyBorder="1" applyAlignment="1" applyProtection="1">
      <alignment horizontal="left" wrapText="1"/>
      <protection locked="0"/>
    </xf>
    <xf numFmtId="2" fontId="11" fillId="3" borderId="135" xfId="0" applyNumberFormat="1" applyFont="1" applyFill="1" applyBorder="1" applyAlignment="1" applyProtection="1">
      <alignment wrapText="1"/>
      <protection locked="0"/>
    </xf>
    <xf numFmtId="2" fontId="11" fillId="3" borderId="8" xfId="0" applyNumberFormat="1" applyFont="1" applyFill="1" applyBorder="1" applyAlignment="1" applyProtection="1">
      <alignment wrapText="1"/>
      <protection locked="0"/>
    </xf>
    <xf numFmtId="41" fontId="3" fillId="3" borderId="69" xfId="0" applyNumberFormat="1" applyFont="1" applyFill="1" applyBorder="1" applyAlignment="1" applyProtection="1">
      <alignment wrapText="1"/>
      <protection locked="0"/>
    </xf>
    <xf numFmtId="0" fontId="38" fillId="2" borderId="24" xfId="0" applyFont="1" applyFill="1" applyBorder="1" applyProtection="1">
      <protection locked="0"/>
    </xf>
    <xf numFmtId="0" fontId="37" fillId="2" borderId="65" xfId="0" applyFont="1" applyFill="1" applyBorder="1" applyProtection="1">
      <protection locked="0"/>
    </xf>
    <xf numFmtId="0" fontId="30" fillId="0" borderId="0" xfId="0" applyFont="1" applyFill="1" applyBorder="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2" fillId="3" borderId="57" xfId="0" applyNumberFormat="1" applyFont="1" applyFill="1" applyBorder="1" applyAlignment="1" applyProtection="1">
      <alignment horizontal="left" vertical="top"/>
      <protection locked="0"/>
    </xf>
    <xf numFmtId="2" fontId="11" fillId="2" borderId="0" xfId="0" applyNumberFormat="1" applyFont="1" applyFill="1" applyBorder="1" applyAlignment="1" applyProtection="1">
      <alignment horizontal="left" vertical="top" wrapText="1"/>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7" fillId="2" borderId="110" xfId="0" applyFont="1" applyFill="1" applyBorder="1" applyProtection="1">
      <protection locked="0"/>
    </xf>
    <xf numFmtId="0" fontId="43" fillId="2" borderId="0" xfId="0" applyFont="1" applyFill="1" applyBorder="1" applyAlignment="1">
      <alignment horizontal="right" vertical="center" wrapText="1"/>
    </xf>
    <xf numFmtId="0" fontId="0" fillId="0" borderId="0" xfId="0" applyAlignment="1">
      <alignment horizontal="left" vertical="top" wrapText="1"/>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0" fontId="48" fillId="2" borderId="94" xfId="0" applyFont="1" applyFill="1" applyBorder="1" applyAlignment="1">
      <alignment horizontal="left" vertical="center" wrapText="1"/>
    </xf>
    <xf numFmtId="0" fontId="43" fillId="2" borderId="95" xfId="0" applyFont="1" applyFill="1" applyBorder="1" applyAlignment="1">
      <alignment horizontal="center" vertical="top" wrapText="1"/>
    </xf>
    <xf numFmtId="0" fontId="43"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73" fontId="48" fillId="0" borderId="0" xfId="16" applyFont="1" applyAlignment="1">
      <alignment horizontal="left"/>
    </xf>
    <xf numFmtId="0" fontId="3" fillId="0" borderId="0" xfId="0" applyFont="1" applyProtection="1">
      <protection locked="0"/>
    </xf>
    <xf numFmtId="0" fontId="0" fillId="0" borderId="0" xfId="0" applyAlignment="1" applyProtection="1">
      <protection locked="0"/>
    </xf>
    <xf numFmtId="0" fontId="3" fillId="0" borderId="0" xfId="0" applyFont="1" applyAlignment="1" applyProtection="1">
      <protection locked="0"/>
    </xf>
    <xf numFmtId="0" fontId="3" fillId="0" borderId="0" xfId="0" applyFont="1" applyFill="1" applyBorder="1" applyAlignment="1" applyProtection="1">
      <alignment horizontal="left" vertical="center" wrapText="1"/>
      <protection locked="0"/>
    </xf>
    <xf numFmtId="0" fontId="3" fillId="0" borderId="13" xfId="0" applyFont="1" applyBorder="1" applyAlignment="1" applyProtection="1">
      <alignment horizontal="right"/>
      <protection locked="0"/>
    </xf>
    <xf numFmtId="0" fontId="3" fillId="0" borderId="17" xfId="0" applyFont="1" applyBorder="1" applyAlignment="1" applyProtection="1">
      <alignment horizontal="right"/>
      <protection locked="0"/>
    </xf>
    <xf numFmtId="0" fontId="4" fillId="0" borderId="0" xfId="5" applyFont="1" applyFill="1" applyBorder="1" applyAlignment="1" applyProtection="1">
      <alignment wrapText="1"/>
      <protection locked="0"/>
    </xf>
    <xf numFmtId="0" fontId="3" fillId="0" borderId="20" xfId="0" applyFont="1" applyBorder="1" applyAlignment="1" applyProtection="1">
      <alignment horizontal="right"/>
      <protection locked="0"/>
    </xf>
    <xf numFmtId="0" fontId="3" fillId="0" borderId="0" xfId="0" applyFont="1" applyFill="1" applyBorder="1" applyAlignment="1" applyProtection="1">
      <alignment horizontal="right"/>
      <protection locked="0"/>
    </xf>
    <xf numFmtId="0" fontId="19" fillId="0" borderId="0" xfId="0" applyFont="1" applyAlignment="1" applyProtection="1">
      <protection locked="0"/>
    </xf>
    <xf numFmtId="0" fontId="19" fillId="0" borderId="0" xfId="0" applyFont="1" applyProtection="1">
      <protection locked="0"/>
    </xf>
    <xf numFmtId="0" fontId="3" fillId="0" borderId="17" xfId="0" applyFont="1" applyBorder="1" applyAlignment="1" applyProtection="1">
      <alignment horizontal="right" wrapText="1"/>
      <protection locked="0"/>
    </xf>
    <xf numFmtId="0" fontId="3" fillId="0" borderId="0" xfId="0" applyFont="1" applyAlignment="1" applyProtection="1">
      <alignment horizontal="right"/>
      <protection locked="0"/>
    </xf>
    <xf numFmtId="0" fontId="3" fillId="0" borderId="8" xfId="0" applyFont="1" applyBorder="1" applyProtection="1">
      <protection locked="0"/>
    </xf>
    <xf numFmtId="0" fontId="48" fillId="0" borderId="0" xfId="0" applyFont="1" applyProtection="1"/>
    <xf numFmtId="0" fontId="3" fillId="0" borderId="0" xfId="0" applyFont="1" applyFill="1" applyBorder="1" applyAlignment="1" applyProtection="1">
      <alignment horizontal="left" vertical="center"/>
    </xf>
    <xf numFmtId="0" fontId="40" fillId="0" borderId="0" xfId="0" applyFont="1" applyAlignment="1">
      <alignment horizontal="right"/>
    </xf>
    <xf numFmtId="0" fontId="49" fillId="0" borderId="0" xfId="0" applyFont="1"/>
    <xf numFmtId="0" fontId="49" fillId="0" borderId="0" xfId="0" applyFont="1" applyAlignment="1">
      <alignment vertical="top" wrapText="1"/>
    </xf>
    <xf numFmtId="0" fontId="49" fillId="0" borderId="0" xfId="0" applyFont="1" applyAlignment="1">
      <alignment horizontal="left" vertical="top" wrapText="1"/>
    </xf>
    <xf numFmtId="0" fontId="40" fillId="0" borderId="0" xfId="0" applyFont="1" applyAlignment="1">
      <alignment horizontal="right" vertical="top" wrapText="1"/>
    </xf>
    <xf numFmtId="0" fontId="12" fillId="0" borderId="0" xfId="0" applyFont="1" applyAlignment="1">
      <alignment vertical="top" wrapText="1"/>
    </xf>
    <xf numFmtId="0" fontId="50" fillId="0" borderId="0" xfId="5" applyFont="1" applyAlignment="1" applyProtection="1">
      <alignment horizontal="left" vertical="top" wrapText="1"/>
    </xf>
    <xf numFmtId="4" fontId="11" fillId="3" borderId="98" xfId="16" applyNumberFormat="1" applyFont="1" applyFill="1" applyBorder="1" applyAlignment="1" applyProtection="1">
      <alignment horizontal="center" vertical="center" wrapText="1"/>
    </xf>
    <xf numFmtId="4" fontId="11" fillId="3" borderId="108" xfId="16" applyNumberFormat="1" applyFont="1" applyFill="1" applyBorder="1" applyAlignment="1" applyProtection="1">
      <alignment horizontal="center" vertical="center" wrapText="1"/>
    </xf>
    <xf numFmtId="0" fontId="3" fillId="6" borderId="0" xfId="0" applyFont="1" applyFill="1" applyBorder="1" applyAlignment="1">
      <alignment horizontal="left" vertical="top" wrapText="1"/>
    </xf>
    <xf numFmtId="0" fontId="37" fillId="2" borderId="95" xfId="0" applyFont="1" applyFill="1" applyBorder="1" applyAlignment="1">
      <alignment vertical="top" wrapText="1"/>
    </xf>
    <xf numFmtId="0" fontId="37" fillId="2" borderId="96" xfId="0" applyFont="1" applyFill="1" applyBorder="1" applyAlignment="1">
      <alignment vertical="top" wrapText="1"/>
    </xf>
    <xf numFmtId="0" fontId="41" fillId="2" borderId="4" xfId="0" applyFont="1" applyFill="1" applyBorder="1" applyAlignment="1">
      <alignment horizontal="left" vertical="center" wrapText="1"/>
    </xf>
    <xf numFmtId="0" fontId="50" fillId="2" borderId="4" xfId="5" applyFont="1" applyFill="1" applyBorder="1" applyAlignment="1" applyProtection="1">
      <alignment horizontal="left" vertical="center" wrapText="1"/>
    </xf>
    <xf numFmtId="5" fontId="0" fillId="3" borderId="57" xfId="0" applyNumberFormat="1" applyFill="1" applyBorder="1"/>
    <xf numFmtId="0" fontId="10" fillId="2" borderId="0" xfId="0" applyFont="1" applyFill="1" applyBorder="1" applyAlignment="1">
      <alignment vertical="top" wrapText="1"/>
    </xf>
    <xf numFmtId="0" fontId="40" fillId="0" borderId="0" xfId="0" applyFont="1" applyFill="1" applyBorder="1" applyAlignment="1">
      <alignment vertical="top" wrapText="1"/>
    </xf>
    <xf numFmtId="44" fontId="11" fillId="0" borderId="0" xfId="0" applyNumberFormat="1" applyFont="1" applyAlignment="1">
      <alignment vertical="top" wrapText="1"/>
    </xf>
    <xf numFmtId="0" fontId="0" fillId="16" borderId="0" xfId="0" applyFill="1"/>
    <xf numFmtId="0" fontId="3" fillId="0" borderId="4" xfId="0" applyFont="1" applyFill="1" applyBorder="1" applyAlignment="1">
      <alignment vertical="center" wrapText="1"/>
    </xf>
    <xf numFmtId="169" fontId="11" fillId="3" borderId="142" xfId="16" applyNumberFormat="1" applyFont="1" applyFill="1" applyBorder="1" applyProtection="1"/>
    <xf numFmtId="169" fontId="3" fillId="3" borderId="22" xfId="16" applyNumberFormat="1" applyFont="1" applyFill="1" applyBorder="1" applyProtection="1"/>
    <xf numFmtId="0" fontId="0" fillId="0" borderId="47" xfId="0" quotePrefix="1" applyBorder="1" applyAlignment="1" applyProtection="1">
      <alignment wrapText="1"/>
    </xf>
    <xf numFmtId="173" fontId="11" fillId="0" borderId="0" xfId="16" quotePrefix="1" applyFont="1" applyProtection="1"/>
    <xf numFmtId="165" fontId="17" fillId="3" borderId="8" xfId="0" applyNumberFormat="1" applyFont="1" applyFill="1" applyBorder="1" applyAlignment="1" applyProtection="1">
      <alignment wrapText="1"/>
    </xf>
    <xf numFmtId="165" fontId="17"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164" fontId="0" fillId="5" borderId="62" xfId="0" applyNumberFormat="1" applyFill="1" applyBorder="1" applyAlignment="1">
      <alignment vertical="top" wrapText="1"/>
    </xf>
    <xf numFmtId="3" fontId="0" fillId="3" borderId="88" xfId="0" applyNumberFormat="1" applyFill="1" applyBorder="1" applyAlignment="1">
      <alignment vertical="top" wrapText="1"/>
    </xf>
    <xf numFmtId="0" fontId="0" fillId="5" borderId="62" xfId="0" applyFill="1" applyBorder="1" applyAlignment="1">
      <alignment vertical="top" wrapText="1"/>
    </xf>
    <xf numFmtId="9" fontId="1" fillId="5" borderId="62" xfId="17" applyFill="1" applyBorder="1" applyAlignment="1">
      <alignment vertical="top" wrapText="1"/>
    </xf>
    <xf numFmtId="9" fontId="0" fillId="5" borderId="62" xfId="0" applyNumberFormat="1" applyFill="1" applyBorder="1" applyAlignment="1">
      <alignment vertical="top" wrapText="1"/>
    </xf>
    <xf numFmtId="10" fontId="0" fillId="3" borderId="88" xfId="0" applyNumberFormat="1" applyFill="1" applyBorder="1" applyAlignment="1">
      <alignment vertical="top" wrapText="1"/>
    </xf>
    <xf numFmtId="170" fontId="0" fillId="3" borderId="89" xfId="0" applyNumberFormat="1" applyFill="1" applyBorder="1" applyAlignment="1">
      <alignment vertical="top" wrapText="1"/>
    </xf>
    <xf numFmtId="170" fontId="0" fillId="3" borderId="88" xfId="0" quotePrefix="1" applyNumberFormat="1" applyFill="1" applyBorder="1" applyAlignment="1">
      <alignment vertical="top" wrapText="1"/>
    </xf>
    <xf numFmtId="0" fontId="11" fillId="6" borderId="6" xfId="7" applyFill="1" applyBorder="1" applyAlignment="1">
      <alignment horizontal="center"/>
    </xf>
    <xf numFmtId="0" fontId="51" fillId="0" borderId="0" xfId="0" applyFont="1"/>
    <xf numFmtId="0" fontId="11" fillId="6" borderId="67" xfId="7" applyFill="1" applyBorder="1" applyAlignment="1">
      <alignment horizontal="center"/>
    </xf>
    <xf numFmtId="0" fontId="3" fillId="0" borderId="24" xfId="0" applyFont="1" applyFill="1" applyBorder="1"/>
    <xf numFmtId="0" fontId="3"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1" fillId="0" borderId="6" xfId="0" applyFont="1" applyFill="1" applyBorder="1"/>
    <xf numFmtId="167" fontId="0" fillId="0" borderId="4" xfId="0" applyNumberFormat="1" applyFill="1" applyBorder="1"/>
    <xf numFmtId="0" fontId="11" fillId="0" borderId="67" xfId="0" applyFont="1" applyFill="1" applyBorder="1"/>
    <xf numFmtId="0" fontId="0" fillId="0" borderId="90" xfId="0" applyFill="1" applyBorder="1"/>
    <xf numFmtId="167" fontId="0" fillId="0" borderId="90" xfId="0" applyNumberFormat="1" applyFill="1" applyBorder="1"/>
    <xf numFmtId="0" fontId="11" fillId="17" borderId="65" xfId="0" applyFont="1" applyFill="1" applyBorder="1"/>
    <xf numFmtId="0" fontId="0" fillId="17" borderId="65" xfId="0" applyFill="1" applyBorder="1"/>
    <xf numFmtId="0" fontId="0" fillId="17" borderId="66" xfId="0" applyFill="1" applyBorder="1"/>
    <xf numFmtId="0" fontId="0" fillId="0" borderId="4" xfId="0" applyBorder="1"/>
    <xf numFmtId="0" fontId="0" fillId="0" borderId="144" xfId="0" applyBorder="1"/>
    <xf numFmtId="0" fontId="3" fillId="0" borderId="6" xfId="0" applyFont="1" applyFill="1" applyBorder="1"/>
    <xf numFmtId="0" fontId="3" fillId="0" borderId="0" xfId="0" applyFont="1" applyFill="1" applyBorder="1" applyAlignment="1">
      <alignment wrapText="1"/>
    </xf>
    <xf numFmtId="0" fontId="3" fillId="0" borderId="0" xfId="0" applyFont="1" applyFill="1" applyBorder="1"/>
    <xf numFmtId="0" fontId="3" fillId="0" borderId="7" xfId="0" applyFont="1" applyFill="1" applyBorder="1"/>
    <xf numFmtId="7" fontId="0" fillId="0" borderId="0" xfId="0" applyNumberFormat="1"/>
    <xf numFmtId="7" fontId="0" fillId="0" borderId="143" xfId="0" applyNumberFormat="1" applyFill="1" applyBorder="1" applyAlignment="1">
      <alignment vertical="top" wrapText="1"/>
    </xf>
    <xf numFmtId="0" fontId="11" fillId="0" borderId="63" xfId="0" applyFont="1" applyFill="1" applyBorder="1" applyAlignment="1">
      <alignment horizontal="left" vertical="top" wrapText="1"/>
    </xf>
    <xf numFmtId="0" fontId="11" fillId="6" borderId="98" xfId="0" applyFont="1" applyFill="1" applyBorder="1" applyAlignment="1">
      <alignment horizontal="left" vertical="top" wrapText="1"/>
    </xf>
    <xf numFmtId="0" fontId="11" fillId="0" borderId="98" xfId="0" applyFont="1" applyFill="1" applyBorder="1" applyAlignment="1">
      <alignment horizontal="left" vertical="top" wrapText="1"/>
    </xf>
    <xf numFmtId="172" fontId="11" fillId="3" borderId="69" xfId="0" applyNumberFormat="1" applyFont="1" applyFill="1" applyBorder="1" applyAlignment="1" applyProtection="1">
      <alignment wrapText="1"/>
      <protection locked="0"/>
    </xf>
    <xf numFmtId="172" fontId="0" fillId="0" borderId="0" xfId="0" applyNumberFormat="1"/>
    <xf numFmtId="0" fontId="11" fillId="5" borderId="138" xfId="0" applyFont="1" applyFill="1" applyBorder="1" applyAlignment="1" applyProtection="1">
      <alignment horizontal="left" wrapText="1"/>
      <protection locked="0"/>
    </xf>
    <xf numFmtId="0" fontId="11" fillId="5" borderId="145" xfId="0" applyFont="1" applyFill="1" applyBorder="1" applyAlignment="1" applyProtection="1">
      <alignment horizontal="left" wrapText="1"/>
      <protection locked="0"/>
    </xf>
    <xf numFmtId="178" fontId="0" fillId="3" borderId="88" xfId="3" applyNumberFormat="1" applyFont="1" applyFill="1" applyBorder="1" applyAlignment="1">
      <alignment vertical="top" wrapText="1"/>
    </xf>
    <xf numFmtId="167" fontId="11" fillId="0" borderId="0" xfId="0" applyNumberFormat="1" applyFont="1" applyFill="1" applyBorder="1"/>
    <xf numFmtId="0" fontId="26" fillId="0" borderId="90" xfId="0" applyFont="1" applyFill="1" applyBorder="1" applyAlignment="1" applyProtection="1">
      <alignment horizontal="center" wrapText="1"/>
    </xf>
    <xf numFmtId="3" fontId="11" fillId="2" borderId="8" xfId="0" applyNumberFormat="1" applyFont="1" applyFill="1" applyBorder="1" applyAlignment="1" applyProtection="1">
      <alignment horizontal="left" vertical="center" wrapText="1"/>
      <protection locked="0"/>
    </xf>
    <xf numFmtId="3" fontId="11" fillId="2" borderId="19" xfId="0" applyNumberFormat="1" applyFont="1" applyFill="1" applyBorder="1" applyAlignment="1" applyProtection="1">
      <alignment horizontal="left" vertical="center" wrapText="1"/>
      <protection locked="0"/>
    </xf>
    <xf numFmtId="0" fontId="11" fillId="0" borderId="0" xfId="0" applyFont="1" applyFill="1" applyAlignment="1">
      <alignment vertical="top" wrapText="1"/>
    </xf>
    <xf numFmtId="0" fontId="34" fillId="0" borderId="0" xfId="0" applyFont="1" applyFill="1" applyBorder="1" applyAlignment="1">
      <alignment vertical="top" wrapText="1"/>
    </xf>
    <xf numFmtId="0" fontId="5" fillId="0" borderId="0" xfId="0" applyFont="1" applyFill="1" applyBorder="1" applyAlignment="1">
      <alignment horizontal="right" vertical="center" wrapText="1"/>
    </xf>
    <xf numFmtId="170" fontId="14" fillId="0" borderId="0" xfId="0" applyNumberFormat="1" applyFont="1" applyFill="1" applyBorder="1" applyAlignment="1">
      <alignment horizontal="center" vertical="center" wrapText="1"/>
    </xf>
    <xf numFmtId="0" fontId="59" fillId="0" borderId="58" xfId="0" applyFont="1" applyFill="1" applyBorder="1"/>
    <xf numFmtId="0" fontId="11" fillId="0" borderId="6" xfId="0" applyFont="1" applyFill="1" applyBorder="1" applyAlignment="1">
      <alignment horizontal="left"/>
    </xf>
    <xf numFmtId="0" fontId="14" fillId="5" borderId="89" xfId="0" applyFont="1" applyFill="1" applyBorder="1"/>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54" fillId="0" borderId="1" xfId="0" applyFont="1" applyFill="1" applyBorder="1" applyAlignment="1">
      <alignment wrapText="1"/>
    </xf>
    <xf numFmtId="0" fontId="54" fillId="0" borderId="2" xfId="0" applyFont="1" applyFill="1" applyBorder="1" applyAlignment="1">
      <alignment horizontal="center"/>
    </xf>
    <xf numFmtId="0" fontId="54" fillId="0" borderId="2" xfId="0" applyFont="1" applyFill="1" applyBorder="1" applyAlignment="1">
      <alignment horizontal="center" wrapText="1"/>
    </xf>
    <xf numFmtId="0" fontId="54" fillId="0" borderId="3" xfId="0" applyFont="1" applyFill="1" applyBorder="1" applyAlignment="1">
      <alignment horizontal="center" wrapText="1"/>
    </xf>
    <xf numFmtId="0" fontId="55" fillId="0" borderId="4" xfId="0" applyFont="1" applyFill="1" applyBorder="1" applyAlignment="1">
      <alignment wrapText="1"/>
    </xf>
    <xf numFmtId="2" fontId="55" fillId="0" borderId="0" xfId="0" applyNumberFormat="1" applyFont="1" applyFill="1" applyBorder="1" applyAlignment="1">
      <alignment horizontal="center"/>
    </xf>
    <xf numFmtId="2" fontId="56" fillId="0" borderId="0" xfId="0" applyNumberFormat="1" applyFont="1" applyFill="1" applyBorder="1" applyAlignment="1">
      <alignment wrapText="1"/>
    </xf>
    <xf numFmtId="2" fontId="56" fillId="0" borderId="0" xfId="0" applyNumberFormat="1" applyFont="1" applyFill="1" applyBorder="1" applyAlignment="1"/>
    <xf numFmtId="2" fontId="56" fillId="0" borderId="0" xfId="0" applyNumberFormat="1" applyFont="1" applyFill="1" applyBorder="1"/>
    <xf numFmtId="2" fontId="56" fillId="0" borderId="5" xfId="0" applyNumberFormat="1" applyFont="1" applyFill="1" applyBorder="1"/>
    <xf numFmtId="0" fontId="55" fillId="0" borderId="4" xfId="0" applyFont="1" applyFill="1" applyBorder="1"/>
    <xf numFmtId="0" fontId="54" fillId="0" borderId="4" xfId="0" applyFont="1" applyFill="1" applyBorder="1"/>
    <xf numFmtId="2" fontId="55" fillId="0" borderId="5" xfId="0" applyNumberFormat="1" applyFont="1" applyFill="1" applyBorder="1" applyAlignment="1">
      <alignment horizontal="center"/>
    </xf>
    <xf numFmtId="2" fontId="56" fillId="0" borderId="5" xfId="0" applyNumberFormat="1" applyFont="1" applyFill="1" applyBorder="1" applyAlignment="1">
      <alignment wrapText="1"/>
    </xf>
    <xf numFmtId="0" fontId="55" fillId="0" borderId="58" xfId="0" applyFont="1" applyFill="1" applyBorder="1" applyAlignment="1">
      <alignment wrapText="1"/>
    </xf>
    <xf numFmtId="2" fontId="55" fillId="0" borderId="59" xfId="0" applyNumberFormat="1" applyFont="1" applyFill="1" applyBorder="1" applyAlignment="1">
      <alignment horizontal="center"/>
    </xf>
    <xf numFmtId="2" fontId="55" fillId="0" borderId="59" xfId="0" applyNumberFormat="1" applyFont="1" applyFill="1" applyBorder="1" applyAlignment="1">
      <alignment horizontal="center" wrapText="1"/>
    </xf>
    <xf numFmtId="2" fontId="55" fillId="0" borderId="87" xfId="0" applyNumberFormat="1" applyFont="1" applyFill="1" applyBorder="1" applyAlignment="1">
      <alignment horizontal="center" wrapText="1"/>
    </xf>
    <xf numFmtId="0" fontId="57" fillId="0" borderId="0" xfId="0" applyFont="1" applyFill="1" applyBorder="1" applyAlignment="1"/>
    <xf numFmtId="0" fontId="56" fillId="0" borderId="0" xfId="0" applyFont="1" applyFill="1"/>
    <xf numFmtId="0" fontId="57" fillId="0" borderId="0" xfId="0" applyFont="1" applyFill="1"/>
    <xf numFmtId="0" fontId="3" fillId="0" borderId="1" xfId="0" applyFont="1" applyFill="1" applyBorder="1" applyAlignment="1">
      <alignment vertical="center"/>
    </xf>
    <xf numFmtId="0" fontId="3" fillId="0" borderId="2" xfId="0" applyFont="1" applyFill="1" applyBorder="1" applyAlignment="1">
      <alignment horizontal="center" vertical="center" wrapText="1"/>
    </xf>
    <xf numFmtId="0" fontId="56" fillId="3" borderId="4" xfId="0" applyFont="1" applyFill="1" applyBorder="1"/>
    <xf numFmtId="165" fontId="56" fillId="3" borderId="0" xfId="0" applyNumberFormat="1" applyFont="1" applyFill="1" applyBorder="1" applyAlignment="1">
      <alignment horizontal="center"/>
    </xf>
    <xf numFmtId="0" fontId="56" fillId="0" borderId="4" xfId="0" applyFont="1" applyFill="1" applyBorder="1"/>
    <xf numFmtId="165" fontId="56" fillId="0" borderId="0" xfId="0" applyNumberFormat="1" applyFont="1" applyFill="1" applyBorder="1" applyAlignment="1">
      <alignment horizontal="center"/>
    </xf>
    <xf numFmtId="0" fontId="56" fillId="3" borderId="0" xfId="0" applyFont="1" applyFill="1" applyBorder="1" applyAlignment="1">
      <alignment horizontal="center"/>
    </xf>
    <xf numFmtId="0" fontId="56" fillId="3" borderId="5" xfId="0" applyFont="1" applyFill="1" applyBorder="1" applyAlignment="1">
      <alignment horizontal="center"/>
    </xf>
    <xf numFmtId="0" fontId="56" fillId="0" borderId="0" xfId="0" applyFont="1" applyFill="1" applyBorder="1" applyAlignment="1">
      <alignment horizontal="center"/>
    </xf>
    <xf numFmtId="0" fontId="56" fillId="0" borderId="5" xfId="0" applyFont="1" applyFill="1" applyBorder="1" applyAlignment="1">
      <alignment horizontal="center"/>
    </xf>
    <xf numFmtId="0" fontId="3" fillId="3" borderId="0" xfId="0" applyFont="1" applyFill="1" applyBorder="1" applyAlignment="1">
      <alignment horizontal="center"/>
    </xf>
    <xf numFmtId="0" fontId="56" fillId="3" borderId="0" xfId="0" applyFont="1" applyFill="1" applyBorder="1"/>
    <xf numFmtId="0" fontId="56" fillId="0" borderId="0" xfId="0" applyFont="1" applyFill="1" applyBorder="1"/>
    <xf numFmtId="0" fontId="18" fillId="0" borderId="5" xfId="0" applyFont="1" applyFill="1" applyBorder="1" applyAlignment="1">
      <alignment horizontal="center"/>
    </xf>
    <xf numFmtId="0" fontId="18" fillId="3" borderId="5" xfId="0" applyFont="1" applyFill="1" applyBorder="1" applyAlignment="1">
      <alignment horizontal="center"/>
    </xf>
    <xf numFmtId="0" fontId="56" fillId="0" borderId="0" xfId="0" applyFont="1"/>
    <xf numFmtId="0" fontId="56" fillId="0" borderId="4" xfId="0" applyFont="1" applyFill="1" applyBorder="1" applyAlignment="1">
      <alignment wrapText="1"/>
    </xf>
    <xf numFmtId="0" fontId="56" fillId="0" borderId="0" xfId="0" applyFont="1" applyFill="1" applyBorder="1" applyAlignment="1">
      <alignment wrapText="1"/>
    </xf>
    <xf numFmtId="0" fontId="56"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56" fillId="3" borderId="2" xfId="0" applyNumberFormat="1" applyFont="1" applyFill="1" applyBorder="1" applyAlignment="1">
      <alignment horizontal="center"/>
    </xf>
    <xf numFmtId="165" fontId="56" fillId="3" borderId="82" xfId="0" applyNumberFormat="1" applyFont="1" applyFill="1" applyBorder="1" applyAlignment="1">
      <alignment horizontal="center"/>
    </xf>
    <xf numFmtId="165" fontId="56" fillId="3" borderId="7" xfId="0" applyNumberFormat="1" applyFont="1" applyFill="1" applyBorder="1" applyAlignment="1">
      <alignment horizontal="center"/>
    </xf>
    <xf numFmtId="0" fontId="11" fillId="0" borderId="4" xfId="0" applyFont="1" applyFill="1" applyBorder="1"/>
    <xf numFmtId="2" fontId="55" fillId="0" borderId="0" xfId="0" applyNumberFormat="1" applyFont="1" applyFill="1" applyBorder="1" applyAlignment="1">
      <alignment horizontal="center" wrapText="1"/>
    </xf>
    <xf numFmtId="2" fontId="55" fillId="0" borderId="7" xfId="0" applyNumberFormat="1" applyFont="1" applyFill="1" applyBorder="1" applyAlignment="1">
      <alignment horizontal="center" wrapText="1"/>
    </xf>
    <xf numFmtId="0" fontId="11" fillId="0" borderId="144" xfId="0" applyFont="1" applyFill="1" applyBorder="1"/>
    <xf numFmtId="165" fontId="56" fillId="3" borderId="90" xfId="0" applyNumberFormat="1" applyFont="1" applyFill="1" applyBorder="1" applyAlignment="1">
      <alignment horizontal="center"/>
    </xf>
    <xf numFmtId="165" fontId="56" fillId="3" borderId="110" xfId="0" applyNumberFormat="1" applyFont="1" applyFill="1" applyBorder="1" applyAlignment="1">
      <alignment horizontal="center"/>
    </xf>
    <xf numFmtId="0" fontId="11" fillId="2" borderId="4" xfId="0" applyFont="1" applyFill="1" applyBorder="1"/>
    <xf numFmtId="0" fontId="36" fillId="2" borderId="9" xfId="0" applyFont="1" applyFill="1" applyBorder="1" applyAlignment="1" applyProtection="1">
      <protection locked="0"/>
    </xf>
    <xf numFmtId="0" fontId="36" fillId="2" borderId="10" xfId="0" applyFont="1" applyFill="1" applyBorder="1" applyAlignment="1" applyProtection="1">
      <protection locked="0"/>
    </xf>
    <xf numFmtId="0" fontId="36" fillId="2" borderId="11" xfId="0" applyFont="1" applyFill="1" applyBorder="1" applyAlignment="1" applyProtection="1">
      <protection locked="0"/>
    </xf>
    <xf numFmtId="10" fontId="57" fillId="0" borderId="0" xfId="0" applyNumberFormat="1" applyFont="1" applyFill="1"/>
    <xf numFmtId="167" fontId="0" fillId="0" borderId="0" xfId="0" applyNumberFormat="1"/>
    <xf numFmtId="0" fontId="0" fillId="0" borderId="67" xfId="0" applyFill="1" applyBorder="1"/>
    <xf numFmtId="0" fontId="11" fillId="0" borderId="0" xfId="0" applyFont="1" applyFill="1" applyBorder="1"/>
    <xf numFmtId="0" fontId="11" fillId="0" borderId="1" xfId="0" applyFont="1" applyFill="1" applyBorder="1"/>
    <xf numFmtId="2" fontId="11" fillId="5" borderId="141" xfId="0" applyNumberFormat="1" applyFont="1" applyFill="1" applyBorder="1" applyAlignment="1" applyProtection="1">
      <alignment wrapText="1"/>
      <protection locked="0"/>
    </xf>
    <xf numFmtId="0" fontId="11" fillId="5" borderId="141" xfId="0" applyFont="1" applyFill="1" applyBorder="1" applyAlignment="1" applyProtection="1">
      <alignment wrapText="1"/>
      <protection locked="0"/>
    </xf>
    <xf numFmtId="2" fontId="11" fillId="5" borderId="147" xfId="0" applyNumberFormat="1" applyFont="1" applyFill="1" applyBorder="1" applyAlignment="1" applyProtection="1">
      <alignment wrapText="1"/>
      <protection locked="0"/>
    </xf>
    <xf numFmtId="3" fontId="11" fillId="5" borderId="100" xfId="0" applyNumberFormat="1" applyFont="1" applyFill="1" applyBorder="1" applyAlignment="1" applyProtection="1">
      <alignment wrapText="1"/>
      <protection locked="0"/>
    </xf>
    <xf numFmtId="172" fontId="11" fillId="5" borderId="100" xfId="0" applyNumberFormat="1" applyFont="1" applyFill="1" applyBorder="1" applyAlignment="1" applyProtection="1">
      <alignment wrapText="1"/>
      <protection locked="0"/>
    </xf>
    <xf numFmtId="172" fontId="11" fillId="5" borderId="101" xfId="0" applyNumberFormat="1" applyFont="1" applyFill="1" applyBorder="1" applyAlignment="1" applyProtection="1">
      <alignment wrapText="1"/>
      <protection locked="0"/>
    </xf>
    <xf numFmtId="7" fontId="34" fillId="0" borderId="57" xfId="0" applyNumberFormat="1" applyFont="1" applyFill="1" applyBorder="1" applyAlignment="1">
      <alignment vertical="top" wrapText="1"/>
    </xf>
    <xf numFmtId="0" fontId="11" fillId="5" borderId="105" xfId="0" applyNumberFormat="1" applyFont="1" applyFill="1" applyBorder="1" applyAlignment="1" applyProtection="1">
      <alignment wrapText="1"/>
      <protection locked="0"/>
    </xf>
    <xf numFmtId="9" fontId="0" fillId="4" borderId="0" xfId="0" applyNumberFormat="1" applyFill="1" applyBorder="1" applyAlignment="1">
      <alignment vertical="top" wrapText="1"/>
    </xf>
    <xf numFmtId="0" fontId="3" fillId="0" borderId="0" xfId="0" applyFont="1" applyAlignment="1">
      <alignment wrapText="1"/>
    </xf>
    <xf numFmtId="172" fontId="11" fillId="5" borderId="148" xfId="1" applyNumberFormat="1" applyFont="1" applyFill="1" applyBorder="1" applyAlignment="1" applyProtection="1">
      <alignment wrapText="1"/>
      <protection locked="0"/>
    </xf>
    <xf numFmtId="170" fontId="0" fillId="3" borderId="88" xfId="0" applyNumberFormat="1" applyFill="1" applyBorder="1" applyAlignment="1">
      <alignment vertical="top" wrapText="1"/>
    </xf>
    <xf numFmtId="7" fontId="11" fillId="3" borderId="62" xfId="0" applyNumberFormat="1" applyFont="1" applyFill="1" applyBorder="1" applyAlignment="1">
      <alignment vertical="top" wrapText="1"/>
    </xf>
    <xf numFmtId="0" fontId="4" fillId="6" borderId="100" xfId="5" applyFill="1" applyBorder="1" applyAlignment="1" applyProtection="1">
      <alignment wrapText="1"/>
      <protection locked="0"/>
    </xf>
    <xf numFmtId="0" fontId="4" fillId="6" borderId="101" xfId="5" applyFill="1" applyBorder="1" applyAlignment="1" applyProtection="1">
      <alignment wrapText="1"/>
      <protection locked="0"/>
    </xf>
    <xf numFmtId="0" fontId="46" fillId="6" borderId="8" xfId="0" applyFont="1" applyFill="1" applyBorder="1" applyAlignment="1" applyProtection="1">
      <alignment wrapText="1"/>
      <protection locked="0"/>
    </xf>
    <xf numFmtId="0" fontId="11" fillId="6" borderId="98" xfId="0" applyNumberFormat="1" applyFont="1" applyFill="1" applyBorder="1" applyAlignment="1">
      <alignment horizontal="left" vertical="top" wrapText="1"/>
    </xf>
    <xf numFmtId="0" fontId="0" fillId="3" borderId="57" xfId="0" applyFill="1" applyBorder="1" applyAlignment="1">
      <alignment vertical="top" wrapText="1"/>
    </xf>
    <xf numFmtId="7" fontId="11" fillId="3" borderId="57" xfId="0" applyNumberFormat="1" applyFont="1" applyFill="1" applyBorder="1" applyAlignment="1">
      <alignment vertical="top" wrapText="1"/>
    </xf>
    <xf numFmtId="9" fontId="1" fillId="5" borderId="89" xfId="17" applyFill="1" applyBorder="1" applyAlignment="1">
      <alignment vertical="top" wrapText="1"/>
    </xf>
    <xf numFmtId="7" fontId="0" fillId="3" borderId="62" xfId="0" applyNumberFormat="1" applyFill="1" applyBorder="1" applyAlignment="1">
      <alignment vertical="top" wrapText="1"/>
    </xf>
    <xf numFmtId="170" fontId="11" fillId="3" borderId="62" xfId="0" applyNumberFormat="1" applyFont="1" applyFill="1" applyBorder="1" applyAlignment="1">
      <alignment vertical="top" wrapText="1"/>
    </xf>
    <xf numFmtId="169" fontId="11" fillId="3" borderId="57" xfId="0" applyNumberFormat="1" applyFont="1" applyFill="1" applyBorder="1" applyAlignment="1">
      <alignment vertical="top" wrapText="1"/>
    </xf>
    <xf numFmtId="0" fontId="0" fillId="6" borderId="0" xfId="0" quotePrefix="1" applyFill="1" applyBorder="1" applyAlignment="1">
      <alignment horizontal="left" vertical="top" wrapText="1"/>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5" xfId="0" quotePrefix="1" applyFill="1" applyBorder="1" applyAlignment="1">
      <alignment horizontal="left" vertical="top" wrapText="1"/>
    </xf>
    <xf numFmtId="170" fontId="0" fillId="6" borderId="0" xfId="0" applyNumberFormat="1" applyFill="1" applyBorder="1" applyAlignment="1">
      <alignment horizontal="left" vertical="top" wrapText="1"/>
    </xf>
    <xf numFmtId="170" fontId="0" fillId="6" borderId="5" xfId="0" applyNumberFormat="1" applyFill="1" applyBorder="1" applyAlignment="1">
      <alignment horizontal="left" vertical="top" wrapText="1"/>
    </xf>
    <xf numFmtId="0" fontId="11" fillId="6" borderId="0" xfId="0" applyFont="1" applyFill="1" applyBorder="1" applyAlignment="1">
      <alignment vertical="top" wrapText="1"/>
    </xf>
    <xf numFmtId="165" fontId="11" fillId="3" borderId="138" xfId="0" applyNumberFormat="1" applyFont="1" applyFill="1" applyBorder="1" applyAlignment="1" applyProtection="1">
      <alignment wrapText="1"/>
      <protection locked="0"/>
    </xf>
    <xf numFmtId="165" fontId="11" fillId="3" borderId="145" xfId="0" applyNumberFormat="1" applyFont="1" applyFill="1" applyBorder="1" applyAlignment="1" applyProtection="1">
      <alignment wrapText="1"/>
      <protection locked="0"/>
    </xf>
    <xf numFmtId="0" fontId="11" fillId="3" borderId="138" xfId="0" applyNumberFormat="1" applyFont="1" applyFill="1" applyBorder="1" applyAlignment="1" applyProtection="1">
      <alignment wrapText="1"/>
      <protection locked="0"/>
    </xf>
    <xf numFmtId="0" fontId="3" fillId="6" borderId="0" xfId="0" applyFont="1" applyFill="1" applyBorder="1" applyAlignment="1">
      <alignment vertical="top" wrapText="1"/>
    </xf>
    <xf numFmtId="0" fontId="3" fillId="6" borderId="5" xfId="0" applyFont="1" applyFill="1" applyBorder="1" applyAlignment="1">
      <alignment vertical="top" wrapText="1"/>
    </xf>
    <xf numFmtId="170" fontId="0" fillId="5" borderId="137" xfId="0" applyNumberFormat="1" applyFill="1" applyBorder="1" applyAlignment="1">
      <alignment vertical="top" wrapText="1"/>
    </xf>
    <xf numFmtId="0" fontId="0" fillId="3" borderId="135" xfId="0" applyNumberFormat="1" applyFill="1" applyBorder="1" applyAlignment="1">
      <alignment vertical="top" wrapText="1"/>
    </xf>
    <xf numFmtId="170" fontId="0" fillId="3" borderId="99" xfId="0" applyNumberFormat="1" applyFill="1" applyBorder="1" applyAlignment="1">
      <alignment vertical="top" wrapText="1"/>
    </xf>
    <xf numFmtId="170" fontId="0" fillId="5" borderId="138" xfId="0" applyNumberFormat="1" applyFill="1" applyBorder="1" applyAlignment="1">
      <alignment vertical="top" wrapText="1"/>
    </xf>
    <xf numFmtId="0" fontId="0" fillId="3" borderId="8" xfId="0" applyNumberFormat="1" applyFill="1" applyBorder="1" applyAlignment="1">
      <alignment vertical="top" wrapText="1"/>
    </xf>
    <xf numFmtId="170" fontId="0" fillId="3" borderId="100" xfId="0" applyNumberFormat="1" applyFill="1" applyBorder="1" applyAlignment="1">
      <alignment vertical="top" wrapText="1"/>
    </xf>
    <xf numFmtId="170" fontId="0" fillId="5" borderId="145" xfId="0" applyNumberFormat="1" applyFill="1" applyBorder="1" applyAlignment="1">
      <alignment vertical="top" wrapText="1"/>
    </xf>
    <xf numFmtId="170" fontId="0" fillId="3" borderId="101" xfId="0" applyNumberFormat="1" applyFill="1" applyBorder="1" applyAlignment="1">
      <alignment vertical="top" wrapText="1"/>
    </xf>
    <xf numFmtId="0" fontId="0" fillId="6" borderId="0" xfId="0" quotePrefix="1" applyFill="1" applyBorder="1" applyAlignment="1">
      <alignment vertical="top" wrapText="1"/>
    </xf>
    <xf numFmtId="0" fontId="0" fillId="5" borderId="138" xfId="1" applyNumberFormat="1" applyFont="1" applyFill="1" applyBorder="1" applyAlignment="1">
      <alignment vertical="top" wrapText="1"/>
    </xf>
    <xf numFmtId="0" fontId="11" fillId="0" borderId="0" xfId="14"/>
    <xf numFmtId="0" fontId="11" fillId="6" borderId="0" xfId="0" quotePrefix="1" applyFont="1" applyFill="1" applyBorder="1" applyAlignment="1">
      <alignment vertical="top" wrapText="1"/>
    </xf>
    <xf numFmtId="0" fontId="11" fillId="6" borderId="5" xfId="0" applyFont="1" applyFill="1" applyBorder="1" applyAlignment="1">
      <alignment vertical="top" wrapText="1"/>
    </xf>
    <xf numFmtId="0" fontId="11" fillId="6" borderId="5" xfId="0" quotePrefix="1" applyFont="1" applyFill="1" applyBorder="1" applyAlignment="1">
      <alignment vertical="top" wrapText="1"/>
    </xf>
    <xf numFmtId="0" fontId="0" fillId="5" borderId="137" xfId="0" applyNumberFormat="1" applyFill="1" applyBorder="1" applyAlignment="1">
      <alignment vertical="top" wrapText="1"/>
    </xf>
    <xf numFmtId="0" fontId="11" fillId="3" borderId="62" xfId="0" applyNumberFormat="1" applyFont="1" applyFill="1" applyBorder="1" applyAlignment="1">
      <alignment vertical="top" wrapText="1"/>
    </xf>
    <xf numFmtId="0" fontId="11" fillId="6" borderId="59" xfId="0" applyFont="1" applyFill="1" applyBorder="1" applyAlignment="1">
      <alignment vertical="top" wrapText="1"/>
    </xf>
    <xf numFmtId="0" fontId="3" fillId="0" borderId="151" xfId="0" applyFont="1" applyBorder="1" applyAlignment="1">
      <alignment wrapText="1"/>
    </xf>
    <xf numFmtId="0" fontId="0" fillId="0" borderId="59" xfId="0" applyBorder="1"/>
    <xf numFmtId="0" fontId="0" fillId="0" borderId="87" xfId="0" applyBorder="1"/>
    <xf numFmtId="0" fontId="0" fillId="0" borderId="129" xfId="0" applyBorder="1"/>
    <xf numFmtId="0" fontId="0" fillId="0" borderId="152" xfId="0" applyBorder="1"/>
    <xf numFmtId="2" fontId="0" fillId="3" borderId="135" xfId="0" applyNumberFormat="1" applyFill="1" applyBorder="1" applyAlignment="1">
      <alignment vertical="top" wrapText="1"/>
    </xf>
    <xf numFmtId="2" fontId="0" fillId="3" borderId="8" xfId="0" applyNumberFormat="1" applyFill="1" applyBorder="1" applyAlignment="1">
      <alignment vertical="top" wrapText="1"/>
    </xf>
    <xf numFmtId="2" fontId="0" fillId="3" borderId="136" xfId="0" applyNumberFormat="1" applyFill="1" applyBorder="1" applyAlignment="1">
      <alignment vertical="top" wrapText="1"/>
    </xf>
    <xf numFmtId="2" fontId="11" fillId="0" borderId="0" xfId="14" applyNumberFormat="1"/>
    <xf numFmtId="2" fontId="0" fillId="0" borderId="0" xfId="0" applyNumberFormat="1"/>
    <xf numFmtId="0" fontId="28" fillId="0" borderId="148" xfId="0" applyFont="1" applyBorder="1"/>
    <xf numFmtId="43" fontId="11" fillId="3" borderId="153"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6" borderId="67" xfId="0" applyFill="1" applyBorder="1" applyAlignment="1">
      <alignment horizontal="center"/>
    </xf>
    <xf numFmtId="0" fontId="0" fillId="0" borderId="154" xfId="0" applyBorder="1" applyAlignment="1">
      <alignment horizontal="centerContinuous" vertical="top" wrapText="1"/>
    </xf>
    <xf numFmtId="39" fontId="62" fillId="6" borderId="7" xfId="9" applyNumberFormat="1" applyFill="1" applyBorder="1"/>
    <xf numFmtId="39" fontId="62" fillId="6" borderId="110" xfId="9" applyNumberFormat="1" applyFill="1" applyBorder="1"/>
    <xf numFmtId="0" fontId="3" fillId="0" borderId="1" xfId="7" applyFont="1" applyFill="1" applyBorder="1"/>
    <xf numFmtId="0" fontId="11" fillId="0" borderId="2" xfId="7" applyFill="1" applyBorder="1"/>
    <xf numFmtId="167" fontId="11" fillId="0" borderId="2" xfId="7" applyNumberFormat="1" applyFill="1" applyBorder="1"/>
    <xf numFmtId="0" fontId="11" fillId="0" borderId="3" xfId="7" applyFill="1" applyBorder="1"/>
    <xf numFmtId="0" fontId="11" fillId="0" borderId="0" xfId="7"/>
    <xf numFmtId="0" fontId="18" fillId="0" borderId="4" xfId="7" applyFont="1" applyFill="1" applyBorder="1"/>
    <xf numFmtId="0" fontId="11" fillId="0" borderId="0" xfId="7" applyFill="1" applyBorder="1"/>
    <xf numFmtId="167" fontId="11" fillId="0" borderId="0" xfId="7" applyNumberFormat="1" applyFill="1" applyBorder="1"/>
    <xf numFmtId="0" fontId="11" fillId="0" borderId="5" xfId="7" applyFill="1" applyBorder="1"/>
    <xf numFmtId="0" fontId="11" fillId="0" borderId="4" xfId="7" applyFont="1" applyFill="1" applyBorder="1"/>
    <xf numFmtId="0" fontId="63" fillId="0" borderId="0" xfId="7" applyFont="1" applyFill="1" applyBorder="1"/>
    <xf numFmtId="0" fontId="11" fillId="0" borderId="4" xfId="7" applyFill="1" applyBorder="1"/>
    <xf numFmtId="0" fontId="64" fillId="0" borderId="5" xfId="7" applyFont="1" applyFill="1" applyBorder="1"/>
    <xf numFmtId="0" fontId="11" fillId="0" borderId="58" xfId="7" applyFont="1" applyFill="1" applyBorder="1"/>
    <xf numFmtId="0" fontId="11" fillId="0" borderId="59" xfId="7" applyFill="1" applyBorder="1"/>
    <xf numFmtId="167" fontId="11" fillId="0" borderId="59" xfId="7" applyNumberFormat="1" applyFill="1" applyBorder="1"/>
    <xf numFmtId="0" fontId="63" fillId="0" borderId="59" xfId="7" applyFont="1" applyFill="1" applyBorder="1"/>
    <xf numFmtId="0" fontId="11" fillId="0" borderId="87" xfId="7" applyFill="1" applyBorder="1"/>
    <xf numFmtId="0" fontId="3" fillId="0" borderId="0" xfId="7" applyFont="1" applyFill="1" applyBorder="1"/>
    <xf numFmtId="0" fontId="18" fillId="0" borderId="2" xfId="0" applyFont="1" applyFill="1" applyBorder="1"/>
    <xf numFmtId="0" fontId="18" fillId="0" borderId="0" xfId="0" applyFont="1" applyFill="1" applyBorder="1"/>
    <xf numFmtId="2" fontId="60" fillId="0" borderId="0" xfId="0" applyNumberFormat="1" applyFont="1" applyFill="1" applyBorder="1" applyAlignment="1">
      <alignment horizontal="center" wrapText="1"/>
    </xf>
    <xf numFmtId="0" fontId="18" fillId="0" borderId="90" xfId="0" applyFont="1" applyFill="1" applyBorder="1"/>
    <xf numFmtId="0" fontId="18" fillId="0" borderId="0" xfId="0" applyFont="1" applyBorder="1"/>
    <xf numFmtId="0" fontId="18" fillId="0" borderId="90" xfId="0" applyFont="1" applyBorder="1"/>
    <xf numFmtId="167" fontId="65" fillId="0" borderId="0" xfId="7" applyNumberFormat="1" applyFont="1" applyFill="1" applyBorder="1"/>
    <xf numFmtId="0" fontId="11" fillId="0" borderId="6" xfId="7" applyFont="1" applyFill="1" applyBorder="1" applyAlignment="1">
      <alignment horizontal="left"/>
    </xf>
    <xf numFmtId="165" fontId="11" fillId="3" borderId="0" xfId="0" applyNumberFormat="1" applyFont="1" applyFill="1" applyBorder="1" applyAlignment="1">
      <alignment horizontal="center"/>
    </xf>
    <xf numFmtId="165" fontId="11" fillId="3" borderId="2" xfId="0" applyNumberFormat="1" applyFont="1" applyFill="1" applyBorder="1" applyAlignment="1">
      <alignment horizontal="center"/>
    </xf>
    <xf numFmtId="165" fontId="11" fillId="3" borderId="82" xfId="0" applyNumberFormat="1" applyFont="1" applyFill="1" applyBorder="1" applyAlignment="1">
      <alignment horizontal="center"/>
    </xf>
    <xf numFmtId="165" fontId="11" fillId="3" borderId="7" xfId="0" applyNumberFormat="1" applyFont="1" applyFill="1" applyBorder="1" applyAlignment="1">
      <alignment horizontal="center"/>
    </xf>
    <xf numFmtId="165" fontId="11" fillId="3" borderId="90" xfId="0" applyNumberFormat="1" applyFont="1" applyFill="1" applyBorder="1" applyAlignment="1">
      <alignment horizontal="center"/>
    </xf>
    <xf numFmtId="165" fontId="11" fillId="3" borderId="110" xfId="0" applyNumberFormat="1" applyFont="1" applyFill="1" applyBorder="1" applyAlignment="1">
      <alignment horizontal="center"/>
    </xf>
    <xf numFmtId="173" fontId="1" fillId="0" borderId="0" xfId="16" applyFont="1" applyProtection="1"/>
    <xf numFmtId="10" fontId="0" fillId="0" borderId="0" xfId="0" applyNumberFormat="1" applyBorder="1" applyProtection="1"/>
    <xf numFmtId="182" fontId="11" fillId="3" borderId="23" xfId="16" applyNumberFormat="1" applyFont="1" applyFill="1" applyBorder="1" applyAlignment="1" applyProtection="1">
      <alignment horizontal="center"/>
    </xf>
    <xf numFmtId="181" fontId="11" fillId="3" borderId="19" xfId="16" applyNumberFormat="1" applyFont="1" applyFill="1" applyBorder="1" applyAlignment="1" applyProtection="1">
      <alignment horizontal="center"/>
      <protection locked="0"/>
    </xf>
    <xf numFmtId="173" fontId="3" fillId="0" borderId="0" xfId="16" applyFont="1" applyFill="1" applyBorder="1" applyProtection="1"/>
    <xf numFmtId="170" fontId="0" fillId="18" borderId="34" xfId="0" applyNumberFormat="1" applyFill="1" applyBorder="1" applyProtection="1"/>
    <xf numFmtId="170" fontId="0" fillId="18" borderId="32" xfId="0" applyNumberFormat="1" applyFill="1" applyBorder="1" applyProtection="1"/>
    <xf numFmtId="173" fontId="3" fillId="0" borderId="60" xfId="16" applyFont="1" applyBorder="1" applyAlignment="1" applyProtection="1">
      <alignment horizontal="center"/>
    </xf>
    <xf numFmtId="173" fontId="1" fillId="3" borderId="17" xfId="16" applyFont="1" applyFill="1" applyBorder="1" applyProtection="1"/>
    <xf numFmtId="173" fontId="1" fillId="3" borderId="8" xfId="16" applyFont="1" applyFill="1" applyBorder="1" applyProtection="1"/>
    <xf numFmtId="165" fontId="1" fillId="3" borderId="8" xfId="16" applyNumberFormat="1" applyFont="1" applyFill="1" applyBorder="1" applyProtection="1"/>
    <xf numFmtId="170" fontId="1" fillId="3" borderId="8" xfId="16" applyNumberFormat="1" applyFont="1" applyFill="1" applyBorder="1" applyProtection="1"/>
    <xf numFmtId="6" fontId="1" fillId="3" borderId="8" xfId="16" applyNumberFormat="1" applyFont="1" applyFill="1" applyBorder="1" applyProtection="1"/>
    <xf numFmtId="164" fontId="1" fillId="3" borderId="8" xfId="17" applyNumberFormat="1" applyFont="1" applyFill="1" applyBorder="1" applyProtection="1"/>
    <xf numFmtId="0" fontId="0" fillId="21" borderId="0" xfId="0" applyFill="1"/>
    <xf numFmtId="0" fontId="1" fillId="21" borderId="0" xfId="0" applyFont="1" applyFill="1"/>
    <xf numFmtId="0" fontId="3" fillId="21" borderId="0" xfId="0" applyFont="1" applyFill="1"/>
    <xf numFmtId="0" fontId="1" fillId="20" borderId="8" xfId="0" applyFont="1" applyFill="1" applyBorder="1"/>
    <xf numFmtId="0" fontId="0" fillId="20" borderId="8" xfId="0" applyFill="1" applyBorder="1"/>
    <xf numFmtId="9" fontId="0" fillId="20" borderId="8" xfId="17" applyFont="1" applyFill="1" applyBorder="1"/>
    <xf numFmtId="9" fontId="0" fillId="5" borderId="8" xfId="17" applyFont="1" applyFill="1" applyBorder="1" applyAlignment="1">
      <alignment vertical="top" wrapText="1"/>
    </xf>
    <xf numFmtId="9" fontId="0" fillId="20" borderId="55" xfId="17" applyFont="1" applyFill="1" applyBorder="1"/>
    <xf numFmtId="172" fontId="0" fillId="20" borderId="55" xfId="1" applyNumberFormat="1" applyFont="1" applyFill="1" applyBorder="1"/>
    <xf numFmtId="0" fontId="0" fillId="20" borderId="55" xfId="0" applyFill="1" applyBorder="1"/>
    <xf numFmtId="172" fontId="0" fillId="20" borderId="8" xfId="1" applyNumberFormat="1" applyFont="1" applyFill="1" applyBorder="1"/>
    <xf numFmtId="0" fontId="3" fillId="21" borderId="0" xfId="0" applyFont="1" applyFill="1" applyAlignment="1">
      <alignment wrapText="1"/>
    </xf>
    <xf numFmtId="0" fontId="0" fillId="20" borderId="8" xfId="0" applyFill="1" applyBorder="1" applyAlignment="1">
      <alignment horizontal="center"/>
    </xf>
    <xf numFmtId="9" fontId="0" fillId="20" borderId="8" xfId="0" applyNumberFormat="1" applyFill="1" applyBorder="1"/>
    <xf numFmtId="183" fontId="0" fillId="20" borderId="8" xfId="1" applyNumberFormat="1" applyFont="1" applyFill="1" applyBorder="1"/>
    <xf numFmtId="0" fontId="1" fillId="21" borderId="0" xfId="0" applyFont="1" applyFill="1" applyBorder="1"/>
    <xf numFmtId="9" fontId="1" fillId="20" borderId="8" xfId="0" applyNumberFormat="1" applyFont="1" applyFill="1" applyBorder="1"/>
    <xf numFmtId="44" fontId="0" fillId="20" borderId="8" xfId="0" applyNumberFormat="1" applyFill="1" applyBorder="1"/>
    <xf numFmtId="44" fontId="1" fillId="20" borderId="8" xfId="3" applyFont="1" applyFill="1" applyBorder="1"/>
    <xf numFmtId="44" fontId="0" fillId="20" borderId="8" xfId="3" applyFont="1" applyFill="1" applyBorder="1"/>
    <xf numFmtId="0" fontId="0" fillId="19" borderId="8" xfId="0" applyFill="1" applyBorder="1" applyAlignment="1">
      <alignment horizontal="center"/>
    </xf>
    <xf numFmtId="9" fontId="0" fillId="19" borderId="8" xfId="17" applyFont="1" applyFill="1" applyBorder="1"/>
    <xf numFmtId="172" fontId="0" fillId="20" borderId="8" xfId="0" applyNumberFormat="1" applyFill="1" applyBorder="1"/>
    <xf numFmtId="0" fontId="3" fillId="21" borderId="0" xfId="0" applyFont="1" applyFill="1" applyAlignment="1">
      <alignment horizontal="center" wrapText="1"/>
    </xf>
    <xf numFmtId="0" fontId="0" fillId="20" borderId="8" xfId="0" applyFill="1" applyBorder="1" applyAlignment="1">
      <alignment horizontal="center" vertical="top"/>
    </xf>
    <xf numFmtId="44" fontId="1" fillId="20" borderId="8" xfId="0" applyNumberFormat="1" applyFont="1" applyFill="1" applyBorder="1"/>
    <xf numFmtId="0" fontId="3" fillId="0" borderId="126" xfId="0" applyFont="1" applyFill="1" applyBorder="1"/>
    <xf numFmtId="0" fontId="3" fillId="0" borderId="59" xfId="0" applyFont="1" applyFill="1" applyBorder="1" applyAlignment="1">
      <alignment wrapText="1"/>
    </xf>
    <xf numFmtId="0" fontId="3" fillId="0" borderId="59" xfId="0" applyFont="1" applyFill="1" applyBorder="1"/>
    <xf numFmtId="0" fontId="3" fillId="0" borderId="154" xfId="0" applyFont="1" applyFill="1" applyBorder="1"/>
    <xf numFmtId="44" fontId="3" fillId="21" borderId="0" xfId="3" applyFont="1" applyFill="1"/>
    <xf numFmtId="0" fontId="43" fillId="2" borderId="0" xfId="0" applyFont="1" applyFill="1" applyBorder="1" applyAlignment="1">
      <alignment horizontal="right" vertical="center" wrapText="1"/>
    </xf>
    <xf numFmtId="173" fontId="3" fillId="21" borderId="8" xfId="16" applyFont="1" applyFill="1" applyBorder="1" applyAlignment="1" applyProtection="1">
      <alignment horizontal="center" wrapText="1"/>
    </xf>
    <xf numFmtId="173" fontId="3" fillId="21" borderId="8" xfId="16" applyFont="1" applyFill="1" applyBorder="1" applyProtection="1"/>
    <xf numFmtId="3" fontId="11" fillId="3" borderId="8" xfId="16" applyNumberFormat="1" applyFont="1" applyFill="1" applyBorder="1" applyProtection="1"/>
    <xf numFmtId="2" fontId="11" fillId="3" borderId="8" xfId="16" applyNumberFormat="1" applyFont="1" applyFill="1" applyBorder="1" applyAlignment="1" applyProtection="1">
      <alignment horizontal="center"/>
    </xf>
    <xf numFmtId="178" fontId="11" fillId="3" borderId="8" xfId="3" applyNumberFormat="1" applyFont="1" applyFill="1" applyBorder="1" applyAlignment="1" applyProtection="1">
      <alignment horizontal="center"/>
      <protection locked="0"/>
    </xf>
    <xf numFmtId="173" fontId="1" fillId="21" borderId="2" xfId="16" applyFont="1" applyFill="1" applyBorder="1" applyProtection="1"/>
    <xf numFmtId="173" fontId="1" fillId="21" borderId="3" xfId="16" applyFont="1" applyFill="1" applyBorder="1" applyProtection="1"/>
    <xf numFmtId="173" fontId="1" fillId="21" borderId="4" xfId="16" applyFont="1" applyFill="1" applyBorder="1" applyProtection="1"/>
    <xf numFmtId="173" fontId="3" fillId="21" borderId="100" xfId="16" applyFont="1" applyFill="1" applyBorder="1" applyProtection="1"/>
    <xf numFmtId="173" fontId="1" fillId="21" borderId="138" xfId="16" applyFont="1" applyFill="1" applyBorder="1" applyProtection="1"/>
    <xf numFmtId="3" fontId="11" fillId="3" borderId="100" xfId="16" applyNumberFormat="1" applyFont="1" applyFill="1" applyBorder="1" applyProtection="1"/>
    <xf numFmtId="2" fontId="11" fillId="3" borderId="100" xfId="16" applyNumberFormat="1" applyFont="1" applyFill="1" applyBorder="1" applyAlignment="1" applyProtection="1">
      <alignment horizontal="center"/>
    </xf>
    <xf numFmtId="178" fontId="11" fillId="3" borderId="100" xfId="3" applyNumberFormat="1" applyFont="1" applyFill="1" applyBorder="1" applyAlignment="1" applyProtection="1">
      <alignment horizontal="center"/>
      <protection locked="0"/>
    </xf>
    <xf numFmtId="9" fontId="1" fillId="21" borderId="4" xfId="16" applyNumberFormat="1" applyFont="1" applyFill="1" applyBorder="1" applyProtection="1"/>
    <xf numFmtId="173" fontId="1" fillId="21" borderId="0" xfId="16" applyFont="1" applyFill="1" applyBorder="1" applyProtection="1"/>
    <xf numFmtId="173" fontId="1" fillId="21" borderId="5" xfId="16" applyFont="1" applyFill="1" applyBorder="1" applyProtection="1"/>
    <xf numFmtId="0" fontId="1" fillId="21" borderId="138" xfId="0" applyFont="1" applyFill="1" applyBorder="1" applyProtection="1"/>
    <xf numFmtId="173" fontId="1" fillId="21" borderId="145" xfId="16" applyFont="1" applyFill="1" applyBorder="1" applyProtection="1"/>
    <xf numFmtId="181" fontId="11" fillId="3" borderId="134" xfId="16" applyNumberFormat="1" applyFont="1" applyFill="1" applyBorder="1" applyAlignment="1" applyProtection="1">
      <alignment horizontal="center"/>
      <protection locked="0"/>
    </xf>
    <xf numFmtId="173" fontId="1" fillId="21" borderId="59" xfId="16" applyFont="1" applyFill="1" applyBorder="1" applyProtection="1"/>
    <xf numFmtId="173" fontId="1" fillId="21" borderId="87" xfId="16" applyFont="1" applyFill="1" applyBorder="1" applyProtection="1"/>
    <xf numFmtId="173" fontId="3" fillId="21" borderId="41" xfId="16" applyFont="1" applyFill="1" applyBorder="1" applyAlignment="1" applyProtection="1">
      <alignment horizontal="center" wrapText="1"/>
    </xf>
    <xf numFmtId="173" fontId="3" fillId="21" borderId="42" xfId="16" applyFont="1" applyFill="1" applyBorder="1" applyAlignment="1" applyProtection="1">
      <alignment horizontal="center"/>
    </xf>
    <xf numFmtId="173" fontId="3" fillId="21" borderId="42" xfId="16" applyFont="1" applyFill="1" applyBorder="1" applyAlignment="1" applyProtection="1">
      <alignment horizontal="center" wrapText="1"/>
    </xf>
    <xf numFmtId="173" fontId="3" fillId="21" borderId="43" xfId="16" applyFont="1" applyFill="1" applyBorder="1" applyAlignment="1" applyProtection="1">
      <alignment horizontal="center" wrapText="1"/>
    </xf>
    <xf numFmtId="173" fontId="3" fillId="21" borderId="85" xfId="16" applyFont="1" applyFill="1" applyBorder="1" applyAlignment="1" applyProtection="1">
      <alignment horizontal="center" wrapText="1"/>
    </xf>
    <xf numFmtId="173" fontId="3" fillId="21" borderId="150" xfId="16" applyFont="1" applyFill="1" applyBorder="1" applyAlignment="1" applyProtection="1">
      <alignment horizontal="center" wrapText="1"/>
    </xf>
    <xf numFmtId="6" fontId="11" fillId="3" borderId="159" xfId="16" applyNumberFormat="1" applyFont="1" applyFill="1" applyBorder="1" applyProtection="1"/>
    <xf numFmtId="6" fontId="11" fillId="3" borderId="100" xfId="16" applyNumberFormat="1" applyFont="1" applyFill="1" applyBorder="1" applyProtection="1"/>
    <xf numFmtId="6" fontId="1" fillId="3" borderId="100" xfId="16" applyNumberFormat="1" applyFont="1" applyFill="1" applyBorder="1" applyProtection="1"/>
    <xf numFmtId="6" fontId="11" fillId="3" borderId="101" xfId="16" applyNumberFormat="1" applyFont="1" applyFill="1" applyBorder="1" applyProtection="1"/>
    <xf numFmtId="172" fontId="11" fillId="3" borderId="48" xfId="1" applyNumberFormat="1" applyFont="1" applyFill="1" applyBorder="1" applyProtection="1"/>
    <xf numFmtId="172" fontId="11" fillId="3" borderId="49" xfId="1" applyNumberFormat="1" applyFont="1" applyFill="1" applyBorder="1" applyProtection="1"/>
    <xf numFmtId="172" fontId="1" fillId="3" borderId="49" xfId="1" applyNumberFormat="1" applyFont="1" applyFill="1" applyBorder="1" applyProtection="1"/>
    <xf numFmtId="172" fontId="11" fillId="3" borderId="50" xfId="1" applyNumberFormat="1" applyFont="1" applyFill="1" applyBorder="1" applyProtection="1"/>
    <xf numFmtId="165" fontId="11" fillId="3" borderId="37" xfId="16" applyNumberFormat="1" applyFont="1" applyFill="1" applyBorder="1" applyProtection="1"/>
    <xf numFmtId="170" fontId="11" fillId="3" borderId="37" xfId="16" applyNumberFormat="1" applyFont="1" applyFill="1" applyBorder="1" applyProtection="1"/>
    <xf numFmtId="6" fontId="11" fillId="3" borderId="37" xfId="16" applyNumberFormat="1" applyFont="1" applyFill="1" applyBorder="1" applyProtection="1"/>
    <xf numFmtId="164" fontId="1" fillId="3" borderId="37" xfId="17" applyNumberFormat="1" applyFill="1" applyBorder="1" applyProtection="1"/>
    <xf numFmtId="6" fontId="11" fillId="3" borderId="160" xfId="16" applyNumberFormat="1" applyFont="1" applyFill="1" applyBorder="1" applyProtection="1"/>
    <xf numFmtId="6" fontId="11" fillId="3" borderId="60" xfId="16" applyNumberFormat="1" applyFont="1" applyFill="1" applyBorder="1" applyProtection="1"/>
    <xf numFmtId="6" fontId="11" fillId="3" borderId="55" xfId="16" applyNumberFormat="1" applyFont="1" applyFill="1" applyBorder="1" applyProtection="1"/>
    <xf numFmtId="6" fontId="1" fillId="3" borderId="55" xfId="16" applyNumberFormat="1" applyFont="1" applyFill="1" applyBorder="1" applyProtection="1"/>
    <xf numFmtId="6" fontId="11" fillId="3" borderId="161"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3" fillId="21" borderId="162" xfId="16" applyFont="1" applyFill="1" applyBorder="1" applyAlignment="1" applyProtection="1">
      <alignment horizontal="center" wrapText="1"/>
    </xf>
    <xf numFmtId="173" fontId="3" fillId="21" borderId="163" xfId="16" applyFont="1" applyFill="1" applyBorder="1" applyAlignment="1" applyProtection="1">
      <alignment horizontal="center" wrapText="1"/>
    </xf>
    <xf numFmtId="173" fontId="3" fillId="21" borderId="158" xfId="16" applyFont="1" applyFill="1" applyBorder="1" applyAlignment="1" applyProtection="1">
      <alignment horizontal="center" wrapText="1"/>
    </xf>
    <xf numFmtId="6" fontId="11" fillId="3" borderId="164" xfId="16" applyNumberFormat="1" applyFont="1" applyFill="1" applyBorder="1" applyProtection="1"/>
    <xf numFmtId="6" fontId="11" fillId="3" borderId="138" xfId="16" applyNumberFormat="1" applyFont="1" applyFill="1" applyBorder="1" applyProtection="1"/>
    <xf numFmtId="6" fontId="1" fillId="3" borderId="138" xfId="16" applyNumberFormat="1" applyFont="1" applyFill="1" applyBorder="1" applyProtection="1"/>
    <xf numFmtId="6" fontId="11" fillId="3" borderId="165" xfId="16" applyNumberFormat="1" applyFont="1" applyFill="1" applyBorder="1" applyProtection="1"/>
    <xf numFmtId="165" fontId="11" fillId="0" borderId="137" xfId="16" applyNumberFormat="1" applyFont="1" applyFill="1" applyBorder="1" applyProtection="1"/>
    <xf numFmtId="170" fontId="11" fillId="3" borderId="135" xfId="16" applyNumberFormat="1" applyFont="1" applyFill="1" applyBorder="1" applyProtection="1"/>
    <xf numFmtId="170" fontId="11" fillId="3" borderId="99" xfId="16" applyNumberFormat="1" applyFont="1" applyFill="1" applyBorder="1" applyProtection="1"/>
    <xf numFmtId="173" fontId="11" fillId="0" borderId="165" xfId="16" applyFont="1" applyFill="1" applyBorder="1" applyProtection="1"/>
    <xf numFmtId="173" fontId="11" fillId="0" borderId="148" xfId="16" applyFont="1" applyFill="1" applyBorder="1" applyProtection="1"/>
    <xf numFmtId="6" fontId="11" fillId="3" borderId="149" xfId="16" applyNumberFormat="1" applyFont="1" applyFill="1" applyBorder="1" applyProtection="1"/>
    <xf numFmtId="6" fontId="11" fillId="3" borderId="153" xfId="16" applyNumberFormat="1" applyFont="1" applyFill="1" applyBorder="1" applyProtection="1"/>
    <xf numFmtId="173" fontId="11" fillId="0" borderId="123" xfId="16" applyFont="1" applyBorder="1" applyProtection="1"/>
    <xf numFmtId="43" fontId="11" fillId="3" borderId="149" xfId="1" applyFont="1" applyFill="1" applyBorder="1" applyProtection="1"/>
    <xf numFmtId="184" fontId="11" fillId="3" borderId="149" xfId="16" applyNumberFormat="1" applyFont="1" applyFill="1" applyBorder="1" applyProtection="1"/>
    <xf numFmtId="173" fontId="11" fillId="0" borderId="64" xfId="16" applyFont="1" applyBorder="1" applyProtection="1"/>
    <xf numFmtId="173" fontId="1" fillId="0" borderId="166" xfId="16" applyFont="1" applyFill="1" applyBorder="1" applyProtection="1"/>
    <xf numFmtId="173" fontId="1" fillId="0" borderId="145" xfId="16" applyFont="1" applyFill="1" applyBorder="1" applyProtection="1"/>
    <xf numFmtId="0" fontId="3" fillId="21" borderId="169" xfId="0" applyFont="1" applyFill="1" applyBorder="1"/>
    <xf numFmtId="165" fontId="0" fillId="20" borderId="8" xfId="0" applyNumberFormat="1" applyFill="1" applyBorder="1"/>
    <xf numFmtId="0" fontId="69" fillId="21" borderId="8" xfId="0" applyFont="1" applyFill="1" applyBorder="1" applyAlignment="1">
      <alignment vertical="center" wrapText="1"/>
    </xf>
    <xf numFmtId="44" fontId="69" fillId="21" borderId="8" xfId="3" applyFont="1" applyFill="1" applyBorder="1" applyAlignment="1">
      <alignment vertical="center" wrapText="1"/>
    </xf>
    <xf numFmtId="7" fontId="1" fillId="5" borderId="57" xfId="0" applyNumberFormat="1" applyFont="1" applyFill="1" applyBorder="1" applyAlignment="1">
      <alignment vertical="top" wrapText="1"/>
    </xf>
    <xf numFmtId="9" fontId="0" fillId="20" borderId="55" xfId="0" applyNumberFormat="1" applyFill="1" applyBorder="1"/>
    <xf numFmtId="0" fontId="40" fillId="2" borderId="0" xfId="0" applyFont="1" applyFill="1" applyBorder="1" applyAlignment="1">
      <alignment vertical="center" wrapText="1"/>
    </xf>
    <xf numFmtId="0" fontId="3" fillId="20" borderId="8" xfId="0" applyFont="1" applyFill="1" applyBorder="1" applyAlignment="1">
      <alignment horizontal="center" wrapText="1"/>
    </xf>
    <xf numFmtId="0" fontId="1" fillId="20" borderId="8" xfId="0" applyFont="1" applyFill="1" applyBorder="1" applyAlignment="1">
      <alignment wrapText="1"/>
    </xf>
    <xf numFmtId="0" fontId="3" fillId="20" borderId="8" xfId="0" applyFont="1" applyFill="1" applyBorder="1" applyAlignment="1">
      <alignment wrapText="1"/>
    </xf>
    <xf numFmtId="14" fontId="1" fillId="6" borderId="8" xfId="0" applyNumberFormat="1" applyFont="1" applyFill="1" applyBorder="1" applyAlignment="1" applyProtection="1">
      <alignment wrapText="1"/>
      <protection locked="0"/>
    </xf>
    <xf numFmtId="0" fontId="1" fillId="6" borderId="19" xfId="0" applyFont="1" applyFill="1" applyBorder="1" applyAlignment="1" applyProtection="1">
      <alignment wrapText="1"/>
      <protection locked="0"/>
    </xf>
    <xf numFmtId="185" fontId="11" fillId="3" borderId="30" xfId="16" applyNumberFormat="1" applyFont="1" applyFill="1" applyBorder="1" applyProtection="1"/>
    <xf numFmtId="185" fontId="11" fillId="3" borderId="167" xfId="16" applyNumberFormat="1" applyFont="1" applyFill="1" applyBorder="1" applyProtection="1"/>
    <xf numFmtId="185" fontId="11" fillId="0" borderId="29" xfId="16" applyNumberFormat="1" applyFont="1" applyBorder="1" applyProtection="1"/>
    <xf numFmtId="185" fontId="11" fillId="0" borderId="30" xfId="16" applyNumberFormat="1" applyFont="1" applyBorder="1" applyProtection="1"/>
    <xf numFmtId="185" fontId="11" fillId="3" borderId="136" xfId="16" applyNumberFormat="1" applyFont="1" applyFill="1" applyBorder="1" applyProtection="1"/>
    <xf numFmtId="185" fontId="11" fillId="3" borderId="101" xfId="16" applyNumberFormat="1" applyFont="1" applyFill="1" applyBorder="1" applyProtection="1"/>
    <xf numFmtId="185" fontId="11" fillId="0" borderId="103" xfId="16" applyNumberFormat="1" applyFont="1" applyBorder="1" applyProtection="1"/>
    <xf numFmtId="185" fontId="11" fillId="0" borderId="136" xfId="16" applyNumberFormat="1" applyFont="1" applyBorder="1" applyProtection="1"/>
    <xf numFmtId="174" fontId="3" fillId="3" borderId="19" xfId="16" applyNumberFormat="1" applyFont="1" applyFill="1" applyBorder="1" applyAlignment="1" applyProtection="1">
      <alignment horizontal="center"/>
    </xf>
    <xf numFmtId="0" fontId="0" fillId="20" borderId="30" xfId="0" applyFill="1" applyBorder="1" applyAlignment="1">
      <alignment horizontal="center"/>
    </xf>
    <xf numFmtId="9" fontId="0" fillId="20" borderId="30" xfId="17" applyFont="1" applyFill="1" applyBorder="1"/>
    <xf numFmtId="44" fontId="1" fillId="20" borderId="30" xfId="3" applyFont="1" applyFill="1" applyBorder="1"/>
    <xf numFmtId="44" fontId="0" fillId="20" borderId="30" xfId="3" applyFont="1" applyFill="1" applyBorder="1"/>
    <xf numFmtId="0" fontId="0" fillId="19" borderId="170" xfId="0" applyFill="1" applyBorder="1" applyAlignment="1">
      <alignment horizontal="center"/>
    </xf>
    <xf numFmtId="9" fontId="0" fillId="20" borderId="170" xfId="17" applyFont="1" applyFill="1" applyBorder="1"/>
    <xf numFmtId="0" fontId="0" fillId="21" borderId="169" xfId="0" applyFill="1" applyBorder="1"/>
    <xf numFmtId="44" fontId="1" fillId="20" borderId="170" xfId="3" applyFont="1" applyFill="1" applyBorder="1"/>
    <xf numFmtId="44" fontId="0" fillId="20" borderId="170" xfId="3" applyFont="1" applyFill="1" applyBorder="1"/>
    <xf numFmtId="0" fontId="1" fillId="21" borderId="8" xfId="0" applyFont="1" applyFill="1" applyBorder="1"/>
    <xf numFmtId="0" fontId="0" fillId="21" borderId="8" xfId="0" applyFill="1" applyBorder="1"/>
    <xf numFmtId="44" fontId="11" fillId="3" borderId="128" xfId="3" applyFont="1" applyFill="1" applyBorder="1" applyAlignment="1" applyProtection="1">
      <alignment horizontal="center"/>
    </xf>
    <xf numFmtId="44" fontId="11" fillId="3" borderId="108" xfId="3" applyFont="1" applyFill="1" applyBorder="1" applyAlignment="1" applyProtection="1">
      <alignment horizontal="center"/>
    </xf>
    <xf numFmtId="44" fontId="11" fillId="3" borderId="132" xfId="3" applyFont="1" applyFill="1" applyBorder="1" applyAlignment="1" applyProtection="1">
      <alignment horizontal="center"/>
    </xf>
    <xf numFmtId="44" fontId="11" fillId="0" borderId="82" xfId="3" applyFont="1" applyFill="1" applyBorder="1" applyAlignment="1" applyProtection="1">
      <alignment horizontal="center"/>
    </xf>
    <xf numFmtId="44" fontId="0" fillId="21" borderId="0" xfId="0" applyNumberFormat="1" applyFill="1"/>
    <xf numFmtId="0" fontId="70" fillId="21" borderId="0" xfId="0" applyFont="1" applyFill="1"/>
    <xf numFmtId="0" fontId="1" fillId="0" borderId="126" xfId="0" applyFont="1" applyBorder="1" applyAlignment="1">
      <alignment horizontal="centerContinuous" vertical="top" wrapText="1"/>
    </xf>
    <xf numFmtId="180" fontId="1" fillId="6" borderId="7" xfId="0" applyNumberFormat="1" applyFont="1" applyFill="1" applyBorder="1" applyAlignment="1">
      <alignment horizontal="center"/>
    </xf>
    <xf numFmtId="180" fontId="1" fillId="6" borderId="110" xfId="0" applyNumberFormat="1" applyFont="1" applyFill="1" applyBorder="1" applyAlignment="1">
      <alignment horizontal="center"/>
    </xf>
    <xf numFmtId="0" fontId="1" fillId="6" borderId="6" xfId="7" applyFont="1" applyFill="1" applyBorder="1" applyAlignment="1">
      <alignment horizontal="center"/>
    </xf>
    <xf numFmtId="4" fontId="1" fillId="6" borderId="7" xfId="14" applyNumberFormat="1" applyFont="1" applyFill="1" applyBorder="1"/>
    <xf numFmtId="4" fontId="1" fillId="6" borderId="110" xfId="14" applyNumberFormat="1" applyFont="1" applyFill="1" applyBorder="1"/>
    <xf numFmtId="39" fontId="1" fillId="6" borderId="7" xfId="0" applyNumberFormat="1" applyFont="1" applyFill="1" applyBorder="1"/>
    <xf numFmtId="166" fontId="1" fillId="6" borderId="7" xfId="12" applyNumberFormat="1" applyFont="1" applyFill="1" applyBorder="1"/>
    <xf numFmtId="166" fontId="1" fillId="6" borderId="7" xfId="0" applyNumberFormat="1" applyFont="1" applyFill="1" applyBorder="1" applyAlignment="1">
      <alignment horizontal="right"/>
    </xf>
    <xf numFmtId="166" fontId="7" fillId="6" borderId="7" xfId="9" applyNumberFormat="1" applyFont="1" applyFill="1" applyBorder="1"/>
    <xf numFmtId="0" fontId="1" fillId="6" borderId="67" xfId="7" applyFont="1" applyFill="1" applyBorder="1" applyAlignment="1">
      <alignment horizontal="center"/>
    </xf>
    <xf numFmtId="166" fontId="7" fillId="6" borderId="110" xfId="9" applyNumberFormat="1" applyFont="1" applyFill="1" applyBorder="1"/>
    <xf numFmtId="0" fontId="40" fillId="2" borderId="4" xfId="0" applyFont="1" applyFill="1" applyBorder="1" applyAlignment="1">
      <alignment horizontal="left" vertical="center" wrapText="1"/>
    </xf>
    <xf numFmtId="0" fontId="43" fillId="2" borderId="4" xfId="0" applyFont="1" applyFill="1" applyBorder="1" applyAlignment="1">
      <alignment horizontal="left" vertical="center" wrapText="1"/>
    </xf>
    <xf numFmtId="0" fontId="11" fillId="21" borderId="1" xfId="0" applyFont="1" applyFill="1" applyBorder="1"/>
    <xf numFmtId="0" fontId="0" fillId="21" borderId="4" xfId="0" applyFill="1" applyBorder="1"/>
    <xf numFmtId="0" fontId="11" fillId="21" borderId="4" xfId="0" applyFont="1" applyFill="1" applyBorder="1"/>
    <xf numFmtId="0" fontId="11" fillId="21" borderId="144" xfId="0" applyFont="1" applyFill="1" applyBorder="1"/>
    <xf numFmtId="167" fontId="11" fillId="21" borderId="0" xfId="0" applyNumberFormat="1" applyFont="1" applyFill="1" applyBorder="1"/>
    <xf numFmtId="167" fontId="0" fillId="21" borderId="0" xfId="0" applyNumberFormat="1" applyFill="1" applyBorder="1"/>
    <xf numFmtId="167" fontId="11" fillId="21" borderId="2" xfId="7" applyNumberFormat="1" applyFill="1" applyBorder="1"/>
    <xf numFmtId="167" fontId="11" fillId="21" borderId="0" xfId="7" applyNumberFormat="1" applyFill="1" applyBorder="1"/>
    <xf numFmtId="167" fontId="11" fillId="21" borderId="59" xfId="7" applyNumberFormat="1" applyFill="1" applyBorder="1"/>
    <xf numFmtId="0" fontId="3" fillId="21" borderId="65" xfId="0" applyFont="1" applyFill="1" applyBorder="1"/>
    <xf numFmtId="0" fontId="3" fillId="21" borderId="59" xfId="0" applyFont="1" applyFill="1" applyBorder="1" applyAlignment="1">
      <alignment wrapText="1"/>
    </xf>
    <xf numFmtId="0" fontId="0" fillId="21" borderId="79" xfId="0" applyFill="1" applyBorder="1"/>
    <xf numFmtId="0" fontId="0" fillId="21" borderId="6" xfId="0" applyFill="1" applyBorder="1"/>
    <xf numFmtId="0" fontId="11" fillId="21" borderId="6" xfId="0" applyFont="1" applyFill="1" applyBorder="1" applyAlignment="1">
      <alignment horizontal="left"/>
    </xf>
    <xf numFmtId="0" fontId="1" fillId="21" borderId="4" xfId="0" applyFont="1" applyFill="1" applyBorder="1"/>
    <xf numFmtId="0" fontId="1" fillId="21" borderId="6" xfId="0" applyFont="1" applyFill="1" applyBorder="1"/>
    <xf numFmtId="0" fontId="1" fillId="6" borderId="99" xfId="0" applyFont="1" applyFill="1" applyBorder="1" applyAlignment="1" applyProtection="1">
      <alignment horizontal="left" wrapText="1"/>
      <protection locked="0"/>
    </xf>
    <xf numFmtId="0" fontId="1" fillId="6" borderId="100" xfId="0" applyFont="1" applyFill="1" applyBorder="1" applyAlignment="1" applyProtection="1">
      <alignment wrapText="1"/>
      <protection locked="0"/>
    </xf>
    <xf numFmtId="15" fontId="1" fillId="6" borderId="100" xfId="0" applyNumberFormat="1" applyFont="1" applyFill="1" applyBorder="1" applyAlignment="1" applyProtection="1">
      <alignment horizontal="left" wrapText="1"/>
      <protection locked="0"/>
    </xf>
    <xf numFmtId="0" fontId="1" fillId="0" borderId="0" xfId="0" applyFont="1" applyFill="1" applyBorder="1" applyAlignment="1" applyProtection="1">
      <alignment wrapText="1"/>
      <protection locked="0"/>
    </xf>
    <xf numFmtId="0" fontId="1" fillId="6" borderId="19" xfId="0" applyFont="1" applyFill="1" applyBorder="1" applyAlignment="1" applyProtection="1">
      <alignment horizontal="left" wrapText="1"/>
      <protection locked="0"/>
    </xf>
    <xf numFmtId="0" fontId="1" fillId="6" borderId="23" xfId="0" applyFont="1" applyFill="1" applyBorder="1" applyAlignment="1" applyProtection="1">
      <alignment wrapText="1"/>
      <protection locked="0"/>
    </xf>
    <xf numFmtId="0" fontId="1" fillId="6" borderId="8" xfId="0" applyFont="1" applyFill="1" applyBorder="1" applyAlignment="1" applyProtection="1">
      <alignment wrapText="1"/>
      <protection locked="0"/>
    </xf>
    <xf numFmtId="0" fontId="1" fillId="5" borderId="62" xfId="0" applyFont="1" applyFill="1" applyBorder="1" applyAlignment="1">
      <alignment vertical="top" wrapText="1"/>
    </xf>
    <xf numFmtId="169" fontId="14" fillId="3" borderId="57" xfId="0" applyNumberFormat="1" applyFont="1" applyFill="1" applyBorder="1" applyAlignment="1">
      <alignment vertical="center" wrapText="1"/>
    </xf>
    <xf numFmtId="164" fontId="0" fillId="5" borderId="137" xfId="17" applyNumberFormat="1" applyFont="1" applyFill="1" applyBorder="1" applyAlignment="1">
      <alignment vertical="top" wrapText="1"/>
    </xf>
    <xf numFmtId="0" fontId="1" fillId="5" borderId="137" xfId="0" applyFont="1" applyFill="1" applyBorder="1" applyAlignment="1" applyProtection="1">
      <alignment horizontal="left" wrapText="1"/>
      <protection locked="0"/>
    </xf>
    <xf numFmtId="0" fontId="1" fillId="5" borderId="138" xfId="0" applyFont="1" applyFill="1" applyBorder="1" applyAlignment="1" applyProtection="1">
      <alignment horizontal="left" wrapText="1"/>
      <protection locked="0"/>
    </xf>
    <xf numFmtId="2" fontId="1" fillId="5" borderId="146" xfId="0" applyNumberFormat="1" applyFont="1" applyFill="1" applyBorder="1" applyAlignment="1" applyProtection="1">
      <alignment wrapText="1"/>
      <protection locked="0"/>
    </xf>
    <xf numFmtId="2" fontId="1" fillId="5" borderId="141" xfId="0" applyNumberFormat="1" applyFont="1" applyFill="1" applyBorder="1" applyAlignment="1" applyProtection="1">
      <alignment wrapText="1"/>
      <protection locked="0"/>
    </xf>
    <xf numFmtId="170" fontId="11" fillId="3" borderId="57" xfId="0" applyNumberFormat="1" applyFont="1" applyFill="1" applyBorder="1" applyAlignment="1">
      <alignment vertical="top" wrapText="1"/>
    </xf>
    <xf numFmtId="173" fontId="5" fillId="2" borderId="63" xfId="16" applyFont="1" applyFill="1" applyBorder="1" applyAlignment="1" applyProtection="1">
      <alignment vertical="top" wrapText="1"/>
    </xf>
    <xf numFmtId="0" fontId="5" fillId="2" borderId="98" xfId="0" applyFont="1" applyFill="1" applyBorder="1" applyAlignment="1">
      <alignment vertical="top" wrapText="1"/>
    </xf>
    <xf numFmtId="0" fontId="5" fillId="2" borderId="108" xfId="0" applyFont="1" applyFill="1" applyBorder="1" applyAlignment="1">
      <alignment vertical="top" wrapText="1"/>
    </xf>
    <xf numFmtId="173" fontId="47" fillId="2" borderId="63" xfId="16" applyFont="1" applyFill="1" applyBorder="1" applyAlignment="1" applyProtection="1">
      <alignment horizontal="right"/>
    </xf>
    <xf numFmtId="169" fontId="47" fillId="2" borderId="98" xfId="0" applyNumberFormat="1" applyFont="1" applyFill="1" applyBorder="1" applyAlignment="1">
      <alignment vertical="top" wrapText="1"/>
    </xf>
    <xf numFmtId="169" fontId="47" fillId="2" borderId="108" xfId="0" applyNumberFormat="1" applyFont="1" applyFill="1" applyBorder="1" applyAlignment="1">
      <alignment vertical="top" wrapText="1"/>
    </xf>
    <xf numFmtId="173" fontId="5" fillId="2" borderId="109" xfId="16" applyFont="1" applyFill="1" applyBorder="1" applyProtection="1"/>
    <xf numFmtId="169" fontId="47" fillId="2" borderId="120" xfId="0" applyNumberFormat="1" applyFont="1" applyFill="1" applyBorder="1" applyAlignment="1">
      <alignment vertical="top" wrapText="1"/>
    </xf>
    <xf numFmtId="169" fontId="47" fillId="2" borderId="111" xfId="0" applyNumberFormat="1" applyFont="1" applyFill="1" applyBorder="1" applyAlignment="1">
      <alignment vertical="top" wrapText="1"/>
    </xf>
    <xf numFmtId="0" fontId="0" fillId="0" borderId="0" xfId="0" applyBorder="1" applyAlignment="1">
      <alignment vertical="top" wrapText="1"/>
    </xf>
    <xf numFmtId="0" fontId="0" fillId="0" borderId="0" xfId="0" applyBorder="1" applyAlignment="1">
      <alignment vertical="top" wrapText="1"/>
    </xf>
    <xf numFmtId="0" fontId="38" fillId="0" borderId="6" xfId="0" applyFont="1" applyFill="1" applyBorder="1" applyAlignment="1">
      <alignment vertical="top" wrapText="1"/>
    </xf>
    <xf numFmtId="0" fontId="1" fillId="0" borderId="6" xfId="0" applyFont="1" applyBorder="1" applyAlignment="1">
      <alignment horizontal="left" vertical="top" wrapText="1" indent="1"/>
    </xf>
    <xf numFmtId="0" fontId="3" fillId="0" borderId="6" xfId="0" applyFont="1" applyBorder="1" applyAlignment="1">
      <alignment horizontal="left" vertical="top" wrapText="1" indent="1"/>
    </xf>
    <xf numFmtId="0" fontId="1" fillId="0" borderId="0" xfId="0" applyFont="1" applyBorder="1" applyAlignment="1">
      <alignment horizontal="left" vertical="top" wrapText="1" indent="1"/>
    </xf>
    <xf numFmtId="0" fontId="1" fillId="0" borderId="0" xfId="0" applyFont="1" applyBorder="1" applyAlignment="1">
      <alignment vertical="top" wrapText="1"/>
    </xf>
    <xf numFmtId="0" fontId="1" fillId="0" borderId="0" xfId="0" applyFont="1" applyBorder="1" applyAlignment="1">
      <alignment vertical="top"/>
    </xf>
    <xf numFmtId="0" fontId="1" fillId="0" borderId="0" xfId="0" applyFont="1" applyAlignment="1">
      <alignment vertical="top" wrapText="1"/>
    </xf>
    <xf numFmtId="1" fontId="71" fillId="0" borderId="0" xfId="0" applyNumberFormat="1" applyFont="1" applyBorder="1" applyAlignment="1">
      <alignment vertical="top" wrapText="1"/>
    </xf>
    <xf numFmtId="0" fontId="0" fillId="0" borderId="0" xfId="0" applyBorder="1" applyAlignment="1">
      <alignment vertical="top" wrapText="1"/>
    </xf>
    <xf numFmtId="0" fontId="0" fillId="0" borderId="130" xfId="0" applyBorder="1" applyAlignment="1">
      <alignment vertical="top" wrapText="1"/>
    </xf>
    <xf numFmtId="0" fontId="1" fillId="0" borderId="0" xfId="0" applyFont="1" applyAlignment="1">
      <alignment vertical="top"/>
    </xf>
    <xf numFmtId="0" fontId="1" fillId="0" borderId="67" xfId="0" applyFont="1" applyBorder="1" applyAlignment="1">
      <alignment horizontal="left" vertical="top" wrapText="1" indent="1"/>
    </xf>
    <xf numFmtId="172" fontId="0" fillId="0" borderId="0" xfId="1" applyNumberFormat="1" applyFont="1" applyAlignment="1">
      <alignment vertical="top" wrapText="1"/>
    </xf>
    <xf numFmtId="0" fontId="1" fillId="0" borderId="0" xfId="0" applyFont="1" applyAlignment="1">
      <alignment wrapText="1"/>
    </xf>
    <xf numFmtId="172" fontId="71" fillId="0" borderId="0" xfId="1" applyNumberFormat="1" applyFont="1" applyBorder="1" applyAlignment="1">
      <alignment vertical="top" wrapText="1"/>
    </xf>
    <xf numFmtId="186" fontId="7" fillId="0" borderId="0" xfId="20" applyNumberFormat="1" applyFont="1" applyFill="1" applyAlignment="1">
      <alignment horizontal="right"/>
    </xf>
    <xf numFmtId="10" fontId="0" fillId="0" borderId="0" xfId="17" applyNumberFormat="1" applyFont="1"/>
    <xf numFmtId="2" fontId="14" fillId="3" borderId="37" xfId="0" applyNumberFormat="1" applyFont="1" applyFill="1" applyBorder="1" applyAlignment="1">
      <alignment vertical="top" wrapText="1"/>
    </xf>
    <xf numFmtId="186" fontId="7" fillId="0" borderId="0" xfId="20" applyNumberFormat="1" applyFont="1" applyFill="1" applyAlignment="1">
      <alignment horizontal="right"/>
    </xf>
    <xf numFmtId="0" fontId="0" fillId="0" borderId="129" xfId="0" applyBorder="1" applyAlignment="1">
      <alignment vertical="top" wrapText="1"/>
    </xf>
    <xf numFmtId="172" fontId="1" fillId="0" borderId="0" xfId="1" applyNumberFormat="1" applyFont="1" applyBorder="1" applyAlignment="1">
      <alignment vertical="top" wrapText="1"/>
    </xf>
    <xf numFmtId="43" fontId="0" fillId="0" borderId="0" xfId="0" applyNumberFormat="1" applyBorder="1" applyAlignment="1">
      <alignment vertical="top" wrapText="1"/>
    </xf>
    <xf numFmtId="0" fontId="0" fillId="0" borderId="0" xfId="0" applyBorder="1" applyAlignment="1">
      <alignment vertical="top" wrapText="1"/>
    </xf>
    <xf numFmtId="1" fontId="14" fillId="3" borderId="8" xfId="0" applyNumberFormat="1" applyFont="1" applyFill="1" applyBorder="1" applyAlignment="1">
      <alignment vertical="top" wrapText="1"/>
    </xf>
    <xf numFmtId="0" fontId="0" fillId="4" borderId="8" xfId="0" applyFill="1" applyBorder="1" applyAlignment="1">
      <alignment vertical="top" wrapText="1"/>
    </xf>
    <xf numFmtId="3" fontId="14" fillId="5" borderId="8" xfId="0" applyNumberFormat="1" applyFont="1" applyFill="1" applyBorder="1" applyAlignment="1">
      <alignment vertical="top" wrapText="1"/>
    </xf>
    <xf numFmtId="9" fontId="14" fillId="5" borderId="8" xfId="0" applyNumberFormat="1" applyFont="1" applyFill="1" applyBorder="1" applyAlignment="1">
      <alignment vertical="top" wrapText="1"/>
    </xf>
    <xf numFmtId="3" fontId="14" fillId="5" borderId="8" xfId="0" applyNumberFormat="1" applyFont="1" applyFill="1" applyBorder="1" applyAlignment="1">
      <alignment horizontal="right" vertical="top" wrapText="1"/>
    </xf>
    <xf numFmtId="169" fontId="14" fillId="5" borderId="8" xfId="0" applyNumberFormat="1" applyFont="1" applyFill="1" applyBorder="1" applyAlignment="1">
      <alignment vertical="top" wrapText="1"/>
    </xf>
    <xf numFmtId="165" fontId="14" fillId="3" borderId="8" xfId="0" applyNumberFormat="1" applyFont="1" applyFill="1" applyBorder="1" applyAlignment="1">
      <alignment vertical="top" wrapText="1"/>
    </xf>
    <xf numFmtId="0" fontId="0" fillId="6" borderId="55" xfId="0" applyFill="1" applyBorder="1" applyAlignment="1">
      <alignment horizontal="left" vertical="top"/>
    </xf>
    <xf numFmtId="1" fontId="14"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4" fillId="3" borderId="136" xfId="0" applyNumberFormat="1" applyFont="1" applyFill="1" applyBorder="1" applyAlignment="1">
      <alignment vertical="top" wrapText="1"/>
    </xf>
    <xf numFmtId="165" fontId="14" fillId="5" borderId="136" xfId="0" applyNumberFormat="1" applyFont="1" applyFill="1" applyBorder="1" applyAlignment="1">
      <alignment vertical="top" wrapText="1"/>
    </xf>
    <xf numFmtId="0" fontId="37" fillId="22" borderId="2" xfId="0" applyFont="1" applyFill="1" applyBorder="1" applyAlignment="1">
      <alignment vertical="top" wrapText="1"/>
    </xf>
    <xf numFmtId="0" fontId="0" fillId="22" borderId="2" xfId="0" applyFill="1" applyBorder="1" applyAlignment="1">
      <alignment vertical="top" wrapText="1"/>
    </xf>
    <xf numFmtId="0" fontId="5" fillId="22" borderId="81" xfId="0" applyFont="1" applyFill="1" applyBorder="1" applyAlignment="1">
      <alignment vertical="top" wrapText="1"/>
    </xf>
    <xf numFmtId="0" fontId="0" fillId="22" borderId="82" xfId="0" applyFill="1" applyBorder="1" applyAlignment="1">
      <alignment vertical="top" wrapText="1"/>
    </xf>
    <xf numFmtId="0" fontId="14" fillId="0" borderId="17" xfId="0" applyFont="1" applyBorder="1" applyAlignment="1">
      <alignment horizontal="left" vertical="top" wrapText="1" indent="1"/>
    </xf>
    <xf numFmtId="0" fontId="14" fillId="0" borderId="173" xfId="0" applyFont="1" applyBorder="1" applyAlignment="1">
      <alignment horizontal="left" vertical="top" wrapText="1" indent="1"/>
    </xf>
    <xf numFmtId="0" fontId="0" fillId="6" borderId="108" xfId="0" applyFill="1" applyBorder="1" applyAlignment="1">
      <alignment horizontal="left" vertical="top"/>
    </xf>
    <xf numFmtId="0" fontId="14" fillId="0" borderId="20" xfId="0" applyFont="1" applyBorder="1" applyAlignment="1">
      <alignment horizontal="left" vertical="top" wrapText="1" indent="1"/>
    </xf>
    <xf numFmtId="0" fontId="0" fillId="4" borderId="22" xfId="0" applyFill="1" applyBorder="1" applyAlignment="1">
      <alignment vertical="top" wrapText="1"/>
    </xf>
    <xf numFmtId="0" fontId="3" fillId="0" borderId="0" xfId="0" applyFont="1" applyBorder="1" applyAlignment="1">
      <alignment vertical="top"/>
    </xf>
    <xf numFmtId="0" fontId="65" fillId="0" borderId="0" xfId="0" applyFont="1"/>
    <xf numFmtId="170" fontId="75" fillId="0" borderId="0" xfId="0" applyNumberFormat="1" applyFont="1" applyFill="1" applyBorder="1" applyAlignment="1">
      <alignment vertical="top" wrapText="1"/>
    </xf>
    <xf numFmtId="187" fontId="7" fillId="0" borderId="0" xfId="20" applyNumberFormat="1" applyFont="1" applyFill="1" applyAlignment="1">
      <alignment horizontal="right"/>
    </xf>
    <xf numFmtId="0" fontId="3" fillId="0" borderId="0" xfId="0" applyFont="1" applyBorder="1" applyAlignment="1">
      <alignment vertical="top" wrapText="1"/>
    </xf>
    <xf numFmtId="0" fontId="1" fillId="0" borderId="0" xfId="0" applyFont="1" applyAlignment="1">
      <alignment horizontal="right"/>
    </xf>
    <xf numFmtId="0" fontId="76" fillId="0" borderId="0" xfId="0" applyFont="1" applyAlignment="1"/>
    <xf numFmtId="0" fontId="76" fillId="0" borderId="0" xfId="0" applyFont="1" applyBorder="1"/>
    <xf numFmtId="0" fontId="14" fillId="5" borderId="8" xfId="0" applyFont="1" applyFill="1" applyBorder="1" applyAlignment="1">
      <alignment vertical="top" wrapText="1"/>
    </xf>
    <xf numFmtId="165" fontId="14" fillId="3" borderId="22" xfId="0" applyNumberFormat="1" applyFont="1" applyFill="1" applyBorder="1" applyAlignment="1">
      <alignment vertical="top" wrapText="1"/>
    </xf>
    <xf numFmtId="0" fontId="38" fillId="21" borderId="24" xfId="0" applyFont="1" applyFill="1" applyBorder="1" applyAlignment="1">
      <alignment horizontal="left" vertical="center" wrapText="1"/>
    </xf>
    <xf numFmtId="0" fontId="37" fillId="21" borderId="76" xfId="0" applyFont="1" applyFill="1" applyBorder="1" applyAlignment="1">
      <alignment vertical="center" wrapText="1"/>
    </xf>
    <xf numFmtId="0" fontId="0" fillId="21" borderId="65" xfId="0" applyFill="1" applyBorder="1" applyAlignment="1">
      <alignment vertical="center" wrapText="1"/>
    </xf>
    <xf numFmtId="0" fontId="0" fillId="21" borderId="66" xfId="0" applyFill="1" applyBorder="1" applyAlignment="1">
      <alignment vertical="center" wrapText="1"/>
    </xf>
    <xf numFmtId="0" fontId="38" fillId="21" borderId="40" xfId="0" applyFont="1" applyFill="1" applyBorder="1" applyAlignment="1">
      <alignment vertical="center" wrapText="1"/>
    </xf>
    <xf numFmtId="0" fontId="37" fillId="21" borderId="106" xfId="0" applyFont="1" applyFill="1" applyBorder="1" applyAlignment="1">
      <alignment vertical="center" wrapText="1"/>
    </xf>
    <xf numFmtId="0" fontId="0" fillId="21" borderId="106" xfId="0" applyFill="1" applyBorder="1" applyAlignment="1">
      <alignment vertical="center" wrapText="1"/>
    </xf>
    <xf numFmtId="0" fontId="0" fillId="21" borderId="107" xfId="0" applyFill="1" applyBorder="1" applyAlignment="1">
      <alignment vertical="center" wrapText="1"/>
    </xf>
    <xf numFmtId="0" fontId="14" fillId="21" borderId="98" xfId="0" applyFont="1" applyFill="1" applyBorder="1" applyAlignment="1">
      <alignment vertical="top" wrapText="1"/>
    </xf>
    <xf numFmtId="0" fontId="14" fillId="21" borderId="108" xfId="0" applyFont="1" applyFill="1" applyBorder="1" applyAlignment="1">
      <alignment vertical="top" wrapText="1"/>
    </xf>
    <xf numFmtId="178" fontId="14" fillId="21" borderId="98" xfId="0" applyNumberFormat="1" applyFont="1" applyFill="1" applyBorder="1" applyAlignment="1">
      <alignment vertical="top" wrapText="1"/>
    </xf>
    <xf numFmtId="0" fontId="5" fillId="21" borderId="108" xfId="0" applyFont="1" applyFill="1" applyBorder="1" applyAlignment="1">
      <alignmen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21" borderId="139" xfId="0" applyFont="1" applyFill="1" applyBorder="1" applyAlignment="1">
      <alignment horizontal="left" vertical="top" wrapText="1"/>
    </xf>
    <xf numFmtId="0" fontId="14" fillId="21" borderId="140" xfId="0" applyFont="1" applyFill="1" applyBorder="1" applyAlignment="1">
      <alignment horizontal="left" vertical="top" wrapText="1"/>
    </xf>
    <xf numFmtId="178" fontId="14" fillId="21" borderId="140" xfId="0" applyNumberFormat="1" applyFont="1" applyFill="1" applyBorder="1" applyAlignment="1">
      <alignment vertical="top" wrapText="1"/>
    </xf>
    <xf numFmtId="0" fontId="14" fillId="21" borderId="125" xfId="0" applyFont="1" applyFill="1" applyBorder="1" applyAlignment="1">
      <alignment vertical="top" wrapText="1"/>
    </xf>
    <xf numFmtId="0" fontId="1" fillId="23" borderId="6" xfId="0" applyFont="1" applyFill="1" applyBorder="1" applyAlignment="1">
      <alignment horizontal="left" vertical="top" wrapText="1" indent="1"/>
    </xf>
    <xf numFmtId="2" fontId="0" fillId="23" borderId="0" xfId="0" applyNumberFormat="1" applyFill="1" applyBorder="1" applyAlignment="1">
      <alignment vertical="top" wrapText="1"/>
    </xf>
    <xf numFmtId="0" fontId="0" fillId="23" borderId="0" xfId="0" applyFill="1" applyBorder="1" applyAlignment="1">
      <alignment vertical="top" wrapText="1"/>
    </xf>
    <xf numFmtId="172" fontId="1" fillId="23" borderId="0" xfId="1" applyNumberFormat="1" applyFont="1" applyFill="1" applyBorder="1" applyAlignment="1">
      <alignment vertical="top" wrapText="1"/>
    </xf>
    <xf numFmtId="0" fontId="1" fillId="23" borderId="0" xfId="0" applyFont="1" applyFill="1" applyBorder="1" applyAlignment="1">
      <alignment vertical="top" wrapText="1"/>
    </xf>
    <xf numFmtId="1" fontId="0" fillId="23" borderId="0" xfId="0" applyNumberFormat="1" applyFill="1" applyBorder="1" applyAlignment="1">
      <alignment vertical="top" wrapText="1"/>
    </xf>
    <xf numFmtId="0" fontId="1" fillId="23" borderId="0" xfId="0" applyFont="1" applyFill="1" applyAlignment="1">
      <alignment vertical="top" wrapText="1"/>
    </xf>
    <xf numFmtId="0" fontId="0" fillId="23" borderId="0" xfId="0" applyFill="1" applyAlignment="1">
      <alignment vertical="top" wrapText="1"/>
    </xf>
    <xf numFmtId="183" fontId="1" fillId="23" borderId="0" xfId="1" applyNumberFormat="1" applyFont="1" applyFill="1" applyBorder="1" applyAlignment="1">
      <alignment vertical="top" wrapText="1"/>
    </xf>
    <xf numFmtId="0" fontId="1" fillId="23" borderId="0" xfId="0" applyFont="1" applyFill="1" applyAlignment="1">
      <alignment vertical="top"/>
    </xf>
    <xf numFmtId="43" fontId="1" fillId="23" borderId="0" xfId="1" applyNumberFormat="1" applyFont="1" applyFill="1" applyBorder="1" applyAlignment="1">
      <alignment vertical="top" wrapText="1"/>
    </xf>
    <xf numFmtId="178" fontId="14" fillId="23" borderId="98" xfId="0" applyNumberFormat="1" applyFont="1" applyFill="1" applyBorder="1" applyAlignment="1">
      <alignmen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178" fontId="5" fillId="23" borderId="98" xfId="0" applyNumberFormat="1" applyFont="1" applyFill="1" applyBorder="1" applyAlignment="1">
      <alignment vertical="top" wrapText="1"/>
    </xf>
    <xf numFmtId="172" fontId="14" fillId="23" borderId="0" xfId="0" applyNumberFormat="1" applyFont="1" applyFill="1" applyAlignment="1">
      <alignment vertical="top" wrapText="1"/>
    </xf>
    <xf numFmtId="169" fontId="14" fillId="23" borderId="128" xfId="0" applyNumberFormat="1" applyFont="1" applyFill="1" applyBorder="1" applyAlignment="1">
      <alignment vertical="top" wrapText="1"/>
    </xf>
    <xf numFmtId="169" fontId="14" fillId="23" borderId="108" xfId="0" applyNumberFormat="1" applyFont="1" applyFill="1" applyBorder="1" applyAlignment="1">
      <alignment vertical="top" wrapText="1"/>
    </xf>
    <xf numFmtId="10" fontId="5" fillId="5" borderId="8" xfId="0" applyNumberFormat="1" applyFont="1" applyFill="1" applyBorder="1" applyAlignment="1">
      <alignment vertical="top" wrapText="1"/>
    </xf>
    <xf numFmtId="0" fontId="0" fillId="0" borderId="0" xfId="0" applyBorder="1"/>
    <xf numFmtId="169" fontId="14" fillId="23" borderId="110" xfId="0" applyNumberFormat="1" applyFont="1" applyFill="1" applyBorder="1" applyAlignment="1">
      <alignment vertical="top" wrapText="1"/>
    </xf>
    <xf numFmtId="169" fontId="14" fillId="23" borderId="176" xfId="0" applyNumberFormat="1" applyFont="1" applyFill="1" applyBorder="1" applyAlignment="1">
      <alignment vertical="top" wrapText="1"/>
    </xf>
    <xf numFmtId="172" fontId="3" fillId="23" borderId="0" xfId="1" applyNumberFormat="1" applyFont="1" applyFill="1" applyBorder="1" applyAlignment="1">
      <alignment vertical="top" wrapText="1"/>
    </xf>
    <xf numFmtId="0" fontId="3" fillId="0" borderId="1" xfId="0" applyFont="1" applyFill="1" applyBorder="1"/>
    <xf numFmtId="0" fontId="3" fillId="0" borderId="2" xfId="0" applyFont="1" applyFill="1" applyBorder="1"/>
    <xf numFmtId="0" fontId="3" fillId="21" borderId="2" xfId="0" applyFont="1" applyFill="1" applyBorder="1"/>
    <xf numFmtId="0" fontId="0" fillId="0" borderId="2" xfId="0" applyBorder="1"/>
    <xf numFmtId="0" fontId="1" fillId="17" borderId="2" xfId="0" applyFont="1" applyFill="1" applyBorder="1"/>
    <xf numFmtId="0" fontId="0" fillId="17" borderId="2" xfId="0" applyFill="1" applyBorder="1"/>
    <xf numFmtId="0" fontId="0" fillId="17" borderId="3" xfId="0" applyFill="1" applyBorder="1"/>
    <xf numFmtId="0" fontId="3" fillId="0" borderId="58" xfId="0" applyFont="1" applyFill="1" applyBorder="1"/>
    <xf numFmtId="0" fontId="3" fillId="0" borderId="5" xfId="0" applyFont="1" applyFill="1" applyBorder="1"/>
    <xf numFmtId="0" fontId="0" fillId="0" borderId="143" xfId="0" applyFill="1" applyBorder="1"/>
    <xf numFmtId="0" fontId="0" fillId="0" borderId="3" xfId="0" applyFill="1" applyBorder="1"/>
    <xf numFmtId="0" fontId="3" fillId="0" borderId="4" xfId="0" applyFont="1" applyFill="1" applyBorder="1"/>
    <xf numFmtId="0" fontId="11" fillId="0" borderId="4" xfId="0" applyFont="1" applyFill="1" applyBorder="1" applyAlignment="1">
      <alignment horizontal="left"/>
    </xf>
    <xf numFmtId="0" fontId="11" fillId="0" borderId="58" xfId="0" applyFont="1" applyFill="1" applyBorder="1"/>
    <xf numFmtId="167" fontId="0" fillId="0" borderId="59" xfId="0" applyNumberFormat="1" applyFill="1" applyBorder="1"/>
    <xf numFmtId="0" fontId="11" fillId="21" borderId="58" xfId="0" applyFont="1" applyFill="1" applyBorder="1"/>
    <xf numFmtId="0" fontId="0" fillId="0" borderId="58" xfId="0" applyBorder="1"/>
    <xf numFmtId="0" fontId="18" fillId="0" borderId="59" xfId="0" applyFont="1" applyFill="1" applyBorder="1"/>
    <xf numFmtId="39" fontId="3" fillId="6" borderId="7" xfId="0" applyNumberFormat="1" applyFont="1" applyFill="1" applyBorder="1"/>
    <xf numFmtId="0" fontId="1" fillId="0" borderId="0" xfId="0" applyFont="1" applyFill="1" applyBorder="1"/>
    <xf numFmtId="0" fontId="0" fillId="24" borderId="0" xfId="0" applyFill="1" applyBorder="1"/>
    <xf numFmtId="0" fontId="3" fillId="24"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3" fillId="0" borderId="4" xfId="0" applyFont="1" applyBorder="1"/>
    <xf numFmtId="0" fontId="3" fillId="0" borderId="0" xfId="0" applyFont="1" applyBorder="1"/>
    <xf numFmtId="0" fontId="3" fillId="0" borderId="5" xfId="0" applyFont="1" applyBorder="1"/>
    <xf numFmtId="0" fontId="0" fillId="25" borderId="137" xfId="0" applyFill="1" applyBorder="1"/>
    <xf numFmtId="0" fontId="0" fillId="25" borderId="171" xfId="0" applyFill="1" applyBorder="1"/>
    <xf numFmtId="0" fontId="0" fillId="25" borderId="135" xfId="0" applyFill="1" applyBorder="1"/>
    <xf numFmtId="0" fontId="0" fillId="25" borderId="99" xfId="0" applyFill="1" applyBorder="1"/>
    <xf numFmtId="0" fontId="0" fillId="25" borderId="138" xfId="0" applyFill="1" applyBorder="1"/>
    <xf numFmtId="0" fontId="0" fillId="25" borderId="55" xfId="0" applyFill="1" applyBorder="1"/>
    <xf numFmtId="0" fontId="0" fillId="25" borderId="8" xfId="0" applyFill="1" applyBorder="1"/>
    <xf numFmtId="0" fontId="0" fillId="25" borderId="100" xfId="0" applyFill="1" applyBorder="1"/>
    <xf numFmtId="0" fontId="0" fillId="25" borderId="145" xfId="0" applyFill="1" applyBorder="1"/>
    <xf numFmtId="0" fontId="0" fillId="25" borderId="172" xfId="0" applyFill="1" applyBorder="1"/>
    <xf numFmtId="0" fontId="0" fillId="25" borderId="136" xfId="0" applyFill="1" applyBorder="1"/>
    <xf numFmtId="0" fontId="0" fillId="25" borderId="101" xfId="0" applyFill="1" applyBorder="1"/>
    <xf numFmtId="0" fontId="1" fillId="0" borderId="98" xfId="0" applyFont="1" applyBorder="1"/>
    <xf numFmtId="3" fontId="1" fillId="0" borderId="115" xfId="0" applyNumberFormat="1" applyFont="1" applyBorder="1"/>
    <xf numFmtId="3" fontId="1" fillId="0" borderId="98" xfId="0" applyNumberFormat="1" applyFont="1" applyBorder="1"/>
    <xf numFmtId="3" fontId="1" fillId="0" borderId="116" xfId="0" applyNumberFormat="1" applyFont="1" applyBorder="1"/>
    <xf numFmtId="165" fontId="1" fillId="0" borderId="98" xfId="0" applyNumberFormat="1" applyFont="1" applyBorder="1"/>
    <xf numFmtId="0" fontId="3" fillId="0" borderId="1" xfId="0" applyFont="1" applyBorder="1" applyAlignment="1">
      <alignment wrapText="1"/>
    </xf>
    <xf numFmtId="0" fontId="3" fillId="0" borderId="62" xfId="0" applyFont="1" applyBorder="1" applyAlignment="1">
      <alignment horizontal="center" vertical="center" wrapText="1"/>
    </xf>
    <xf numFmtId="0" fontId="3" fillId="0" borderId="89" xfId="0" applyFont="1" applyFill="1" applyBorder="1" applyProtection="1"/>
    <xf numFmtId="0" fontId="0" fillId="3" borderId="112" xfId="0" applyFill="1" applyBorder="1"/>
    <xf numFmtId="165" fontId="0" fillId="3" borderId="146" xfId="0" applyNumberFormat="1" applyFill="1" applyBorder="1"/>
    <xf numFmtId="0" fontId="0" fillId="3" borderId="115" xfId="0" applyFill="1" applyBorder="1"/>
    <xf numFmtId="165" fontId="0" fillId="3" borderId="141" xfId="0" applyNumberFormat="1" applyFill="1" applyBorder="1"/>
    <xf numFmtId="0" fontId="1" fillId="3" borderId="115" xfId="0" applyFont="1" applyFill="1" applyBorder="1"/>
    <xf numFmtId="165" fontId="1"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7" xfId="0" applyNumberFormat="1" applyFill="1" applyBorder="1"/>
    <xf numFmtId="0" fontId="5" fillId="0" borderId="143" xfId="0" applyFont="1" applyBorder="1" applyAlignment="1">
      <alignment horizontal="centerContinuous" wrapText="1"/>
    </xf>
    <xf numFmtId="0" fontId="5" fillId="0" borderId="79" xfId="0" applyFont="1" applyBorder="1" applyAlignment="1">
      <alignment horizontal="centerContinuous" wrapText="1"/>
    </xf>
    <xf numFmtId="0" fontId="5" fillId="0" borderId="64" xfId="0" applyFont="1" applyBorder="1" applyAlignment="1">
      <alignment horizontal="centerContinuous" wrapText="1"/>
    </xf>
    <xf numFmtId="10" fontId="1" fillId="5" borderId="62" xfId="0" applyNumberFormat="1" applyFont="1" applyFill="1" applyBorder="1" applyAlignment="1">
      <alignment vertical="top" wrapText="1"/>
    </xf>
    <xf numFmtId="15" fontId="1" fillId="0" borderId="0" xfId="0" applyNumberFormat="1" applyFont="1" applyFill="1" applyBorder="1" applyAlignment="1" applyProtection="1">
      <alignment horizontal="left" wrapText="1"/>
      <protection locked="0"/>
    </xf>
    <xf numFmtId="0" fontId="1" fillId="0" borderId="0" xfId="0" applyFont="1" applyFill="1" applyBorder="1" applyProtection="1">
      <protection locked="0"/>
    </xf>
    <xf numFmtId="3" fontId="1" fillId="6" borderId="16" xfId="0" applyNumberFormat="1" applyFont="1" applyFill="1" applyBorder="1" applyAlignment="1" applyProtection="1">
      <alignment horizontal="left" wrapText="1"/>
      <protection locked="0"/>
    </xf>
    <xf numFmtId="0" fontId="1" fillId="0" borderId="0" xfId="0" applyFont="1" applyProtection="1">
      <protection locked="0"/>
    </xf>
    <xf numFmtId="0" fontId="1" fillId="6" borderId="8" xfId="0" applyFont="1" applyFill="1" applyBorder="1" applyProtection="1">
      <protection locked="0"/>
    </xf>
    <xf numFmtId="0" fontId="3" fillId="0" borderId="138" xfId="0" applyFont="1" applyBorder="1" applyProtection="1">
      <protection locked="0"/>
    </xf>
    <xf numFmtId="0" fontId="3" fillId="0" borderId="100" xfId="0" applyFont="1" applyBorder="1" applyAlignment="1" applyProtection="1">
      <alignment wrapText="1"/>
      <protection locked="0"/>
    </xf>
    <xf numFmtId="15" fontId="1" fillId="6" borderId="138" xfId="0" applyNumberFormat="1" applyFont="1" applyFill="1" applyBorder="1" applyAlignment="1" applyProtection="1">
      <alignment horizontal="right" wrapText="1"/>
      <protection locked="0"/>
    </xf>
    <xf numFmtId="15" fontId="1" fillId="6" borderId="138" xfId="0" applyNumberFormat="1" applyFont="1" applyFill="1" applyBorder="1" applyAlignment="1" applyProtection="1">
      <alignment wrapText="1"/>
      <protection locked="0"/>
    </xf>
    <xf numFmtId="9" fontId="0" fillId="21" borderId="0" xfId="0" applyNumberFormat="1" applyFill="1"/>
    <xf numFmtId="9" fontId="0" fillId="21" borderId="0" xfId="0" quotePrefix="1" applyNumberFormat="1" applyFill="1"/>
    <xf numFmtId="0" fontId="1" fillId="22" borderId="8" xfId="0" applyFont="1" applyFill="1" applyBorder="1"/>
    <xf numFmtId="9" fontId="0" fillId="22" borderId="8" xfId="0" applyNumberFormat="1" applyFill="1" applyBorder="1"/>
    <xf numFmtId="0" fontId="0" fillId="22" borderId="8" xfId="0" applyFill="1" applyBorder="1"/>
    <xf numFmtId="9" fontId="1" fillId="20" borderId="8" xfId="17" applyFont="1" applyFill="1" applyBorder="1"/>
    <xf numFmtId="0" fontId="0" fillId="19" borderId="55" xfId="0" applyFill="1" applyBorder="1" applyAlignment="1">
      <alignment horizontal="center"/>
    </xf>
    <xf numFmtId="172" fontId="0" fillId="21" borderId="0" xfId="0" applyNumberFormat="1" applyFill="1"/>
    <xf numFmtId="172" fontId="0" fillId="21" borderId="0" xfId="1" applyNumberFormat="1" applyFont="1" applyFill="1"/>
    <xf numFmtId="10" fontId="0" fillId="21" borderId="0" xfId="0" applyNumberFormat="1" applyFill="1"/>
    <xf numFmtId="9" fontId="0" fillId="20" borderId="8" xfId="17" applyNumberFormat="1" applyFont="1" applyFill="1" applyBorder="1"/>
    <xf numFmtId="9" fontId="1" fillId="26" borderId="8" xfId="17" applyNumberFormat="1" applyFont="1" applyFill="1" applyBorder="1"/>
    <xf numFmtId="183" fontId="1" fillId="26" borderId="8" xfId="1" applyNumberFormat="1" applyFont="1" applyFill="1" applyBorder="1"/>
    <xf numFmtId="0" fontId="80" fillId="21" borderId="0" xfId="0" applyFont="1" applyFill="1"/>
    <xf numFmtId="0" fontId="3" fillId="6" borderId="138" xfId="0" applyFont="1" applyFill="1" applyBorder="1" applyProtection="1">
      <protection locked="0"/>
    </xf>
    <xf numFmtId="6" fontId="1" fillId="5" borderId="99" xfId="0" applyNumberFormat="1" applyFont="1" applyFill="1" applyBorder="1" applyAlignment="1" applyProtection="1">
      <alignment wrapText="1"/>
      <protection locked="0"/>
    </xf>
    <xf numFmtId="6" fontId="1" fillId="5" borderId="100" xfId="0" applyNumberFormat="1" applyFont="1" applyFill="1" applyBorder="1" applyAlignment="1" applyProtection="1">
      <alignment wrapText="1"/>
      <protection locked="0"/>
    </xf>
    <xf numFmtId="42" fontId="1" fillId="5" borderId="100" xfId="0" applyNumberFormat="1" applyFont="1" applyFill="1" applyBorder="1" applyAlignment="1" applyProtection="1">
      <alignment wrapText="1"/>
      <protection locked="0"/>
    </xf>
    <xf numFmtId="0" fontId="0" fillId="6" borderId="8" xfId="0" applyFill="1" applyBorder="1"/>
    <xf numFmtId="14" fontId="1" fillId="6" borderId="138" xfId="0" applyNumberFormat="1" applyFont="1" applyFill="1" applyBorder="1" applyProtection="1">
      <protection locked="0"/>
    </xf>
    <xf numFmtId="14" fontId="0" fillId="6" borderId="138" xfId="0" applyNumberFormat="1" applyFill="1" applyBorder="1"/>
    <xf numFmtId="15" fontId="1" fillId="6" borderId="138" xfId="0" applyNumberFormat="1" applyFont="1" applyFill="1" applyBorder="1" applyProtection="1">
      <protection locked="0"/>
    </xf>
    <xf numFmtId="0" fontId="3" fillId="6" borderId="138" xfId="0" applyFont="1" applyFill="1" applyBorder="1" applyAlignment="1" applyProtection="1">
      <alignment wrapText="1"/>
      <protection locked="0"/>
    </xf>
    <xf numFmtId="0" fontId="1" fillId="6" borderId="138" xfId="0" applyFont="1" applyFill="1" applyBorder="1" applyProtection="1">
      <protection locked="0"/>
    </xf>
    <xf numFmtId="0" fontId="3" fillId="6" borderId="138" xfId="0" applyFont="1" applyFill="1" applyBorder="1"/>
    <xf numFmtId="15" fontId="1" fillId="6" borderId="145" xfId="0" applyNumberFormat="1" applyFont="1" applyFill="1" applyBorder="1" applyAlignment="1" applyProtection="1">
      <alignment horizontal="right" wrapText="1"/>
      <protection locked="0"/>
    </xf>
    <xf numFmtId="14" fontId="1" fillId="6" borderId="136" xfId="0" applyNumberFormat="1" applyFont="1" applyFill="1" applyBorder="1" applyAlignment="1" applyProtection="1">
      <alignment wrapText="1"/>
      <protection locked="0"/>
    </xf>
    <xf numFmtId="0" fontId="1" fillId="6" borderId="101" xfId="0" applyFont="1" applyFill="1" applyBorder="1" applyAlignment="1" applyProtection="1">
      <alignment wrapText="1"/>
      <protection locked="0"/>
    </xf>
    <xf numFmtId="0" fontId="1" fillId="6" borderId="37" xfId="0" applyFont="1" applyFill="1" applyBorder="1" applyAlignment="1" applyProtection="1">
      <alignment vertical="top" wrapText="1"/>
      <protection locked="0"/>
    </xf>
    <xf numFmtId="0" fontId="0" fillId="6" borderId="84" xfId="0" applyFill="1" applyBorder="1" applyAlignment="1" applyProtection="1">
      <alignment vertical="top" wrapText="1"/>
      <protection locked="0"/>
    </xf>
    <xf numFmtId="0" fontId="0" fillId="6" borderId="30" xfId="0" applyFill="1" applyBorder="1" applyAlignment="1" applyProtection="1">
      <alignment vertical="top" wrapText="1"/>
      <protection locked="0"/>
    </xf>
    <xf numFmtId="173" fontId="17" fillId="0" borderId="12" xfId="16" applyFont="1" applyBorder="1" applyAlignment="1" applyProtection="1"/>
    <xf numFmtId="188" fontId="1" fillId="5" borderId="62" xfId="0" applyNumberFormat="1" applyFont="1" applyFill="1" applyBorder="1" applyAlignment="1">
      <alignment vertical="top" wrapText="1"/>
    </xf>
    <xf numFmtId="173" fontId="1" fillId="3" borderId="18" xfId="16" applyFont="1" applyFill="1" applyBorder="1" applyProtection="1"/>
    <xf numFmtId="170" fontId="1" fillId="3" borderId="19" xfId="16" applyNumberFormat="1" applyFont="1" applyFill="1" applyBorder="1" applyProtection="1"/>
    <xf numFmtId="173" fontId="1" fillId="3" borderId="20" xfId="16" applyFont="1" applyFill="1" applyBorder="1" applyProtection="1"/>
    <xf numFmtId="173" fontId="1" fillId="3" borderId="21" xfId="16" applyFont="1" applyFill="1" applyBorder="1" applyProtection="1"/>
    <xf numFmtId="170" fontId="1" fillId="3" borderId="22" xfId="16" applyNumberFormat="1" applyFont="1" applyFill="1" applyBorder="1" applyProtection="1"/>
    <xf numFmtId="170" fontId="1" fillId="3" borderId="23" xfId="16" applyNumberFormat="1" applyFont="1" applyFill="1" applyBorder="1" applyProtection="1"/>
    <xf numFmtId="0" fontId="0" fillId="18" borderId="0" xfId="0" applyFill="1"/>
    <xf numFmtId="0" fontId="18" fillId="4" borderId="0" xfId="0" applyFont="1" applyFill="1" applyBorder="1" applyAlignment="1">
      <alignment horizontal="center" vertical="top" wrapText="1"/>
    </xf>
    <xf numFmtId="0" fontId="0" fillId="5" borderId="62" xfId="0" applyFill="1" applyBorder="1" applyAlignment="1">
      <alignment horizontal="right" vertical="top" wrapText="1"/>
    </xf>
    <xf numFmtId="170" fontId="82" fillId="3" borderId="62" xfId="0" applyNumberFormat="1" applyFont="1" applyFill="1" applyBorder="1" applyAlignment="1">
      <alignment vertical="top" wrapText="1"/>
    </xf>
    <xf numFmtId="5" fontId="82" fillId="3" borderId="57" xfId="0" applyNumberFormat="1" applyFont="1" applyFill="1" applyBorder="1" applyAlignment="1">
      <alignment vertical="top" wrapText="1"/>
    </xf>
    <xf numFmtId="170" fontId="82" fillId="5" borderId="137" xfId="0" applyNumberFormat="1" applyFont="1" applyFill="1" applyBorder="1" applyAlignment="1">
      <alignment vertical="top" wrapText="1"/>
    </xf>
    <xf numFmtId="2" fontId="82" fillId="3" borderId="135" xfId="0" applyNumberFormat="1" applyFont="1" applyFill="1" applyBorder="1" applyAlignment="1">
      <alignment vertical="top" wrapText="1"/>
    </xf>
    <xf numFmtId="0" fontId="82" fillId="2" borderId="4" xfId="0" applyFont="1" applyFill="1" applyBorder="1" applyAlignment="1">
      <alignment vertical="top" wrapText="1"/>
    </xf>
    <xf numFmtId="0" fontId="13" fillId="0" borderId="137" xfId="0" applyFont="1" applyBorder="1" applyAlignment="1" applyProtection="1">
      <alignment horizontal="left"/>
      <protection locked="0"/>
    </xf>
    <xf numFmtId="0" fontId="0" fillId="0" borderId="135" xfId="0" applyBorder="1" applyAlignment="1" applyProtection="1">
      <protection locked="0"/>
    </xf>
    <xf numFmtId="0" fontId="0" fillId="0" borderId="99" xfId="0" applyBorder="1" applyAlignment="1" applyProtection="1">
      <protection locked="0"/>
    </xf>
    <xf numFmtId="0" fontId="1" fillId="6" borderId="5" xfId="0" applyFont="1" applyFill="1" applyBorder="1" applyAlignment="1">
      <alignment horizontal="left" vertical="top" wrapText="1"/>
    </xf>
    <xf numFmtId="0" fontId="1" fillId="6" borderId="87" xfId="0" applyFont="1" applyFill="1" applyBorder="1" applyAlignment="1">
      <alignment horizontal="left" vertical="top" wrapText="1"/>
    </xf>
    <xf numFmtId="7" fontId="27" fillId="3" borderId="62" xfId="0" applyNumberFormat="1" applyFont="1" applyFill="1" applyBorder="1" applyAlignment="1">
      <alignment horizontal="left" vertical="top" wrapText="1"/>
    </xf>
    <xf numFmtId="0" fontId="27" fillId="3" borderId="57" xfId="0" applyFont="1" applyFill="1" applyBorder="1" applyAlignment="1">
      <alignment horizontal="left" vertical="top" wrapText="1"/>
    </xf>
    <xf numFmtId="0" fontId="0" fillId="6" borderId="0" xfId="0" quotePrefix="1" applyFill="1" applyAlignment="1">
      <alignment horizontal="left"/>
    </xf>
    <xf numFmtId="0" fontId="0" fillId="6" borderId="5" xfId="0" quotePrefix="1" applyFill="1" applyBorder="1" applyAlignment="1">
      <alignment horizontal="left"/>
    </xf>
    <xf numFmtId="0" fontId="3" fillId="0" borderId="0" xfId="0" applyFont="1" applyAlignment="1">
      <alignment horizontal="center" wrapText="1"/>
    </xf>
    <xf numFmtId="0" fontId="3" fillId="0" borderId="59" xfId="0" applyFont="1" applyBorder="1" applyAlignment="1">
      <alignment horizontal="center" wrapText="1"/>
    </xf>
    <xf numFmtId="0" fontId="3" fillId="6" borderId="0" xfId="0" applyFont="1" applyFill="1" applyBorder="1" applyAlignment="1">
      <alignment horizontal="left" vertical="top" wrapText="1"/>
    </xf>
    <xf numFmtId="0" fontId="3" fillId="6" borderId="5" xfId="0" applyFont="1" applyFill="1" applyBorder="1" applyAlignment="1">
      <alignment horizontal="left" vertical="top" wrapText="1"/>
    </xf>
    <xf numFmtId="0" fontId="1" fillId="6" borderId="0" xfId="0" applyFont="1" applyFill="1" applyAlignment="1">
      <alignment horizontal="left" vertical="top" wrapText="1"/>
    </xf>
    <xf numFmtId="0" fontId="3" fillId="6" borderId="0" xfId="0" applyFont="1" applyFill="1" applyBorder="1" applyAlignment="1">
      <alignment horizontal="right" vertical="top" wrapText="1"/>
    </xf>
    <xf numFmtId="0" fontId="3" fillId="6" borderId="5" xfId="0" applyFont="1" applyFill="1" applyBorder="1" applyAlignment="1">
      <alignment horizontal="right" vertical="top" wrapText="1"/>
    </xf>
    <xf numFmtId="0" fontId="11" fillId="6" borderId="4"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0" xfId="0" quotePrefix="1" applyFill="1" applyAlignment="1">
      <alignment horizontal="left" vertical="top" wrapText="1"/>
    </xf>
    <xf numFmtId="0" fontId="0" fillId="6" borderId="5" xfId="0" quotePrefix="1" applyFill="1" applyBorder="1" applyAlignment="1">
      <alignment horizontal="left" vertical="top" wrapText="1"/>
    </xf>
    <xf numFmtId="0" fontId="44" fillId="2" borderId="1" xfId="0" applyFont="1" applyFill="1" applyBorder="1" applyAlignment="1">
      <alignment horizontal="center" vertical="top" wrapText="1"/>
    </xf>
    <xf numFmtId="0" fontId="43" fillId="2" borderId="2" xfId="0" applyFont="1" applyFill="1" applyBorder="1" applyAlignment="1">
      <alignment horizontal="center" vertical="top" wrapText="1"/>
    </xf>
    <xf numFmtId="0" fontId="43" fillId="2" borderId="79" xfId="0" applyFont="1" applyFill="1" applyBorder="1" applyAlignment="1">
      <alignment horizontal="center" vertical="top" wrapText="1"/>
    </xf>
    <xf numFmtId="0" fontId="43" fillId="2" borderId="64" xfId="0" applyFont="1" applyFill="1" applyBorder="1" applyAlignment="1">
      <alignment horizontal="center" vertical="top" wrapText="1"/>
    </xf>
    <xf numFmtId="0" fontId="12" fillId="5" borderId="143"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43" fillId="2" borderId="0" xfId="0" applyFont="1" applyFill="1" applyBorder="1" applyAlignment="1">
      <alignment horizontal="right" vertical="center" wrapText="1"/>
    </xf>
    <xf numFmtId="0" fontId="11" fillId="6" borderId="0" xfId="0" applyFont="1" applyFill="1" applyBorder="1" applyAlignment="1">
      <alignment horizontal="left" vertical="top" wrapText="1"/>
    </xf>
    <xf numFmtId="0" fontId="11" fillId="4" borderId="4" xfId="0" applyFont="1" applyFill="1" applyBorder="1" applyAlignment="1">
      <alignment horizontal="left" vertical="top" wrapText="1"/>
    </xf>
    <xf numFmtId="0" fontId="1" fillId="6" borderId="0" xfId="0" applyFont="1" applyFill="1" applyBorder="1" applyAlignment="1">
      <alignment horizontal="left" vertical="top" wrapText="1"/>
    </xf>
    <xf numFmtId="0" fontId="40" fillId="2" borderId="95" xfId="0" applyFont="1" applyFill="1" applyBorder="1" applyAlignment="1">
      <alignment horizontal="left" vertical="top" wrapText="1"/>
    </xf>
    <xf numFmtId="0" fontId="40" fillId="2" borderId="96" xfId="0" applyFont="1" applyFill="1" applyBorder="1" applyAlignment="1">
      <alignment horizontal="left" vertical="top" wrapText="1"/>
    </xf>
    <xf numFmtId="0" fontId="0" fillId="6" borderId="0" xfId="0" applyFill="1" applyBorder="1" applyAlignment="1">
      <alignment horizontal="left" vertical="top" wrapText="1"/>
    </xf>
    <xf numFmtId="0" fontId="0" fillId="6" borderId="5" xfId="0" applyFill="1" applyBorder="1" applyAlignment="1">
      <alignment horizontal="left" vertical="top" wrapText="1"/>
    </xf>
    <xf numFmtId="0" fontId="0" fillId="6" borderId="0" xfId="0" quotePrefix="1" applyFill="1" applyBorder="1" applyAlignment="1">
      <alignment horizontal="left" vertical="top" wrapText="1"/>
    </xf>
    <xf numFmtId="0" fontId="35" fillId="6" borderId="0" xfId="0" applyFont="1" applyFill="1" applyBorder="1" applyAlignment="1">
      <alignment horizontal="left" vertical="top" wrapText="1"/>
    </xf>
    <xf numFmtId="0" fontId="35" fillId="6" borderId="5" xfId="0" applyFont="1" applyFill="1" applyBorder="1" applyAlignment="1">
      <alignment horizontal="left" vertical="top" wrapText="1"/>
    </xf>
    <xf numFmtId="0" fontId="11" fillId="0" borderId="0" xfId="0" applyFont="1" applyFill="1" applyBorder="1" applyAlignment="1">
      <alignment horizontal="left" vertical="center" wrapText="1"/>
    </xf>
    <xf numFmtId="0" fontId="11" fillId="6" borderId="0" xfId="0" quotePrefix="1" applyFont="1" applyFill="1" applyBorder="1" applyAlignment="1">
      <alignment horizontal="left" vertical="top" wrapText="1"/>
    </xf>
    <xf numFmtId="0" fontId="0" fillId="6" borderId="155" xfId="0" applyFill="1" applyBorder="1" applyAlignment="1">
      <alignment horizontal="left" vertical="top" wrapText="1"/>
    </xf>
    <xf numFmtId="0" fontId="0" fillId="6" borderId="156" xfId="0" applyFill="1" applyBorder="1" applyAlignment="1">
      <alignment horizontal="left" vertical="top" wrapText="1"/>
    </xf>
    <xf numFmtId="0" fontId="11" fillId="6" borderId="44" xfId="0" applyFont="1" applyFill="1" applyBorder="1" applyAlignment="1" applyProtection="1">
      <alignment wrapText="1"/>
      <protection locked="0"/>
    </xf>
    <xf numFmtId="0" fontId="0" fillId="0" borderId="0" xfId="0" applyBorder="1" applyAlignment="1"/>
    <xf numFmtId="0" fontId="0" fillId="0" borderId="5" xfId="0" applyBorder="1" applyAlignment="1"/>
    <xf numFmtId="0" fontId="11" fillId="6" borderId="157" xfId="0" applyFont="1" applyFill="1" applyBorder="1" applyAlignment="1" applyProtection="1">
      <alignment wrapText="1"/>
      <protection locked="0"/>
    </xf>
    <xf numFmtId="0" fontId="0" fillId="0" borderId="59" xfId="0" applyBorder="1" applyAlignment="1"/>
    <xf numFmtId="0" fontId="0" fillId="0" borderId="87" xfId="0" applyBorder="1" applyAlignment="1"/>
    <xf numFmtId="0" fontId="10" fillId="2" borderId="59" xfId="0" applyFont="1" applyFill="1" applyBorder="1" applyAlignment="1" applyProtection="1">
      <alignment horizontal="center" wrapText="1"/>
      <protection locked="0"/>
    </xf>
    <xf numFmtId="0" fontId="0" fillId="0" borderId="0" xfId="0" applyAlignment="1">
      <alignment horizontal="left" wrapText="1"/>
    </xf>
    <xf numFmtId="0" fontId="11" fillId="6" borderId="149" xfId="0" applyFont="1" applyFill="1" applyBorder="1" applyAlignment="1" applyProtection="1">
      <alignment wrapText="1"/>
      <protection locked="0"/>
    </xf>
    <xf numFmtId="0" fontId="0" fillId="0" borderId="149" xfId="0" applyBorder="1" applyAlignment="1"/>
    <xf numFmtId="0" fontId="0" fillId="0" borderId="153" xfId="0" applyBorder="1" applyAlignment="1"/>
    <xf numFmtId="0" fontId="11" fillId="6" borderId="158" xfId="0" applyFont="1" applyFill="1" applyBorder="1" applyAlignment="1" applyProtection="1">
      <alignment wrapText="1"/>
      <protection locked="0"/>
    </xf>
    <xf numFmtId="0" fontId="0" fillId="0" borderId="2" xfId="0" applyBorder="1" applyAlignment="1"/>
    <xf numFmtId="0" fontId="0" fillId="0" borderId="3" xfId="0" applyBorder="1" applyAlignment="1"/>
    <xf numFmtId="2" fontId="4" fillId="2" borderId="4" xfId="5" applyNumberFormat="1" applyFill="1" applyBorder="1" applyAlignment="1" applyProtection="1">
      <alignment horizontal="left" vertical="top" wrapText="1"/>
      <protection locked="0"/>
    </xf>
    <xf numFmtId="2" fontId="4" fillId="2" borderId="0" xfId="5" applyNumberFormat="1" applyFill="1" applyBorder="1" applyAlignment="1" applyProtection="1">
      <alignment horizontal="left" vertical="top" wrapText="1"/>
      <protection locked="0"/>
    </xf>
    <xf numFmtId="0" fontId="11" fillId="2" borderId="0" xfId="0" applyFont="1" applyFill="1" applyBorder="1" applyAlignment="1" applyProtection="1">
      <alignment horizontal="left" vertical="top" wrapText="1"/>
      <protection locked="0"/>
    </xf>
    <xf numFmtId="2" fontId="11" fillId="2" borderId="0" xfId="0" applyNumberFormat="1" applyFont="1" applyFill="1" applyBorder="1" applyAlignment="1" applyProtection="1">
      <alignment horizontal="left" vertical="top" wrapText="1"/>
      <protection locked="0"/>
    </xf>
    <xf numFmtId="2" fontId="4" fillId="0" borderId="4" xfId="5" applyNumberFormat="1" applyFill="1" applyBorder="1" applyAlignment="1" applyProtection="1">
      <alignment horizontal="left" vertical="top" wrapText="1"/>
      <protection locked="0"/>
    </xf>
    <xf numFmtId="2" fontId="11" fillId="0" borderId="0" xfId="0" applyNumberFormat="1" applyFont="1" applyFill="1" applyBorder="1" applyAlignment="1" applyProtection="1">
      <alignment horizontal="left" vertical="top" wrapText="1"/>
      <protection locked="0"/>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0" fontId="1" fillId="6" borderId="55" xfId="0" applyFont="1" applyFill="1" applyBorder="1" applyAlignment="1">
      <alignment horizontal="left" vertical="top" wrapText="1"/>
    </xf>
    <xf numFmtId="0" fontId="0" fillId="6" borderId="108" xfId="0" applyFill="1" applyBorder="1" applyAlignment="1">
      <alignment horizontal="left" vertical="top" wrapText="1"/>
    </xf>
    <xf numFmtId="0" fontId="1" fillId="6" borderId="108" xfId="0" applyFont="1" applyFill="1" applyBorder="1" applyAlignment="1">
      <alignment horizontal="left" vertical="top" wrapText="1"/>
    </xf>
    <xf numFmtId="0" fontId="5" fillId="22" borderId="127" xfId="0" applyFont="1" applyFill="1" applyBorder="1" applyAlignment="1">
      <alignment horizontal="left" vertical="top" wrapText="1"/>
    </xf>
    <xf numFmtId="0" fontId="5" fillId="22" borderId="113" xfId="0" applyFont="1" applyFill="1" applyBorder="1" applyAlignment="1">
      <alignment horizontal="left" vertical="top" wrapText="1"/>
    </xf>
    <xf numFmtId="0" fontId="5" fillId="22" borderId="128" xfId="0" applyFont="1" applyFill="1" applyBorder="1" applyAlignment="1">
      <alignment horizontal="left" vertical="top" wrapText="1"/>
    </xf>
    <xf numFmtId="0" fontId="1" fillId="6" borderId="172" xfId="0" applyFont="1" applyFill="1" applyBorder="1" applyAlignment="1">
      <alignment horizontal="left" vertical="top" wrapText="1"/>
    </xf>
    <xf numFmtId="0" fontId="1" fillId="6" borderId="132" xfId="0" applyFont="1" applyFill="1" applyBorder="1" applyAlignment="1">
      <alignment horizontal="left" vertical="top" wrapText="1"/>
    </xf>
    <xf numFmtId="0" fontId="1" fillId="6" borderId="8" xfId="0" applyFont="1" applyFill="1" applyBorder="1" applyAlignment="1">
      <alignment horizontal="left" vertical="top" wrapText="1"/>
    </xf>
    <xf numFmtId="0" fontId="0" fillId="6" borderId="19" xfId="0" applyFill="1" applyBorder="1" applyAlignment="1">
      <alignment horizontal="left" vertical="top" wrapText="1"/>
    </xf>
    <xf numFmtId="0" fontId="14" fillId="23" borderId="63" xfId="0" applyFont="1" applyFill="1" applyBorder="1" applyAlignment="1">
      <alignment horizontal="left" vertical="top"/>
    </xf>
    <xf numFmtId="0" fontId="14" fillId="23" borderId="98" xfId="0" applyFont="1" applyFill="1" applyBorder="1" applyAlignment="1">
      <alignment horizontal="left" vertical="top"/>
    </xf>
    <xf numFmtId="0" fontId="5" fillId="21" borderId="63" xfId="0" applyFont="1" applyFill="1" applyBorder="1" applyAlignment="1">
      <alignment horizontal="left" vertical="top" wrapText="1"/>
    </xf>
    <xf numFmtId="0" fontId="5" fillId="21" borderId="98" xfId="0" applyFont="1" applyFill="1" applyBorder="1" applyAlignment="1">
      <alignment horizontal="lef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38" fillId="21" borderId="40" xfId="0" applyFont="1" applyFill="1" applyBorder="1" applyAlignment="1">
      <alignment horizontal="left" vertical="top" wrapText="1"/>
    </xf>
    <xf numFmtId="0" fontId="38" fillId="21" borderId="106" xfId="0" applyFont="1" applyFill="1" applyBorder="1" applyAlignment="1">
      <alignment horizontal="left" vertical="top" wrapText="1"/>
    </xf>
    <xf numFmtId="0" fontId="0" fillId="21"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5" fillId="23" borderId="63" xfId="0" applyFont="1" applyFill="1" applyBorder="1" applyAlignment="1">
      <alignment horizontal="left" vertical="top" wrapText="1"/>
    </xf>
    <xf numFmtId="0" fontId="5" fillId="23" borderId="98" xfId="0" applyFont="1" applyFill="1" applyBorder="1" applyAlignment="1">
      <alignment horizontal="left" vertical="top" wrapText="1"/>
    </xf>
    <xf numFmtId="0" fontId="5" fillId="21" borderId="67" xfId="0" applyFont="1" applyFill="1" applyBorder="1" applyAlignment="1">
      <alignment horizontal="left" vertical="top" wrapText="1"/>
    </xf>
    <xf numFmtId="0" fontId="5" fillId="21" borderId="90" xfId="0" applyFont="1" applyFill="1" applyBorder="1" applyAlignment="1">
      <alignment horizontal="left" vertical="top" wrapText="1"/>
    </xf>
    <xf numFmtId="0" fontId="14" fillId="23" borderId="127" xfId="0" applyFont="1" applyFill="1" applyBorder="1" applyAlignment="1">
      <alignment horizontal="left" vertical="top" wrapText="1"/>
    </xf>
    <xf numFmtId="0" fontId="14" fillId="23" borderId="113" xfId="0" applyFont="1" applyFill="1" applyBorder="1" applyAlignment="1">
      <alignment horizontal="left" vertical="top" wrapText="1"/>
    </xf>
    <xf numFmtId="0" fontId="1" fillId="6" borderId="61" xfId="0" applyFont="1" applyFill="1" applyBorder="1" applyAlignment="1">
      <alignment horizontal="left" vertical="top" wrapText="1"/>
    </xf>
    <xf numFmtId="0" fontId="1" fillId="6" borderId="111" xfId="0" applyFont="1" applyFill="1" applyBorder="1" applyAlignment="1">
      <alignment horizontal="left" vertical="top" wrapText="1"/>
    </xf>
    <xf numFmtId="0" fontId="14" fillId="23" borderId="174" xfId="0" applyFont="1" applyFill="1" applyBorder="1" applyAlignment="1">
      <alignment horizontal="left" vertical="top" wrapText="1"/>
    </xf>
    <xf numFmtId="0" fontId="14" fillId="23" borderId="175" xfId="0" applyFont="1" applyFill="1" applyBorder="1" applyAlignment="1">
      <alignment horizontal="left" vertical="top" wrapText="1"/>
    </xf>
    <xf numFmtId="0" fontId="1"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173" fontId="17" fillId="2" borderId="40" xfId="16" applyFont="1" applyFill="1" applyBorder="1" applyAlignment="1" applyProtection="1">
      <alignment horizontal="left"/>
    </xf>
    <xf numFmtId="173" fontId="17" fillId="2" borderId="106" xfId="16" applyFont="1" applyFill="1" applyBorder="1" applyAlignment="1" applyProtection="1">
      <alignment horizontal="left"/>
    </xf>
    <xf numFmtId="173" fontId="17" fillId="2" borderId="107" xfId="16" applyFont="1" applyFill="1" applyBorder="1" applyAlignment="1" applyProtection="1">
      <alignment horizontal="left"/>
    </xf>
    <xf numFmtId="0" fontId="0" fillId="0" borderId="65" xfId="0" applyBorder="1" applyAlignment="1">
      <alignment horizontal="left" wrapText="1"/>
    </xf>
    <xf numFmtId="173" fontId="17" fillId="0" borderId="75" xfId="16" applyFont="1" applyBorder="1" applyAlignment="1" applyProtection="1">
      <alignment horizontal="left"/>
    </xf>
    <xf numFmtId="173" fontId="17" fillId="0" borderId="76" xfId="16" applyFont="1" applyBorder="1" applyAlignment="1" applyProtection="1">
      <alignment horizontal="left"/>
    </xf>
    <xf numFmtId="173" fontId="17" fillId="0" borderId="143" xfId="16" applyFont="1" applyBorder="1" applyAlignment="1" applyProtection="1">
      <alignment horizontal="left"/>
    </xf>
    <xf numFmtId="173" fontId="17" fillId="0" borderId="79" xfId="16" applyFont="1" applyBorder="1" applyAlignment="1" applyProtection="1">
      <alignment horizontal="left"/>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173" fontId="11" fillId="0" borderId="127" xfId="16" applyFont="1" applyBorder="1" applyAlignment="1" applyProtection="1">
      <alignment horizontal="left" vertical="center" wrapText="1"/>
    </xf>
    <xf numFmtId="173" fontId="11" fillId="0" borderId="113" xfId="16" applyFont="1" applyBorder="1" applyAlignment="1" applyProtection="1">
      <alignment horizontal="left" vertical="center" wrapText="1"/>
    </xf>
    <xf numFmtId="173" fontId="11" fillId="0" borderId="109" xfId="16" applyFont="1" applyBorder="1" applyAlignment="1" applyProtection="1">
      <alignment horizontal="left" vertical="center" wrapText="1"/>
    </xf>
    <xf numFmtId="173" fontId="11" fillId="0" borderId="120" xfId="16" applyFont="1" applyBorder="1" applyAlignment="1" applyProtection="1">
      <alignment horizontal="left" vertical="center" wrapText="1"/>
    </xf>
    <xf numFmtId="0" fontId="1" fillId="20" borderId="8" xfId="0" applyFont="1" applyFill="1" applyBorder="1" applyAlignment="1">
      <alignment horizontal="left"/>
    </xf>
    <xf numFmtId="9" fontId="0" fillId="5" borderId="8" xfId="17" applyFont="1" applyFill="1" applyBorder="1" applyAlignment="1">
      <alignment horizontal="center" vertical="top" wrapText="1"/>
    </xf>
    <xf numFmtId="173" fontId="17" fillId="0" borderId="9" xfId="16" applyFont="1" applyBorder="1" applyAlignment="1" applyProtection="1">
      <alignment wrapText="1"/>
    </xf>
    <xf numFmtId="173" fontId="17" fillId="0" borderId="168" xfId="16" applyFont="1" applyBorder="1" applyAlignment="1" applyProtection="1">
      <alignment wrapText="1"/>
    </xf>
    <xf numFmtId="173" fontId="17" fillId="21" borderId="46" xfId="16" applyFont="1" applyFill="1" applyBorder="1" applyAlignment="1" applyProtection="1">
      <alignment wrapText="1"/>
    </xf>
    <xf numFmtId="0" fontId="0" fillId="21" borderId="47" xfId="0" applyFill="1" applyBorder="1" applyAlignment="1" applyProtection="1">
      <alignment wrapText="1"/>
    </xf>
    <xf numFmtId="0" fontId="3" fillId="0" borderId="2" xfId="0" applyFont="1" applyFill="1" applyBorder="1" applyAlignment="1">
      <alignment horizontal="left" vertical="center" wrapText="1"/>
    </xf>
    <xf numFmtId="0" fontId="3" fillId="0" borderId="3" xfId="0" applyFont="1" applyFill="1" applyBorder="1" applyAlignment="1">
      <alignment horizontal="left" vertical="center" wrapText="1"/>
    </xf>
    <xf numFmtId="0" fontId="3" fillId="0" borderId="0" xfId="0" applyFont="1" applyFill="1" applyBorder="1" applyAlignment="1">
      <alignment horizontal="center"/>
    </xf>
    <xf numFmtId="0" fontId="3" fillId="0" borderId="5" xfId="0" applyFont="1" applyFill="1" applyBorder="1" applyAlignment="1">
      <alignment horizontal="center"/>
    </xf>
    <xf numFmtId="0" fontId="56" fillId="0" borderId="4" xfId="0" applyFont="1" applyFill="1" applyBorder="1" applyAlignment="1">
      <alignment horizontal="center"/>
    </xf>
    <xf numFmtId="0" fontId="56" fillId="0" borderId="0" xfId="0" applyFont="1" applyFill="1" applyBorder="1" applyAlignment="1">
      <alignment horizontal="center"/>
    </xf>
    <xf numFmtId="0" fontId="4" fillId="0" borderId="58" xfId="5" applyBorder="1" applyAlignment="1" applyProtection="1">
      <alignment horizontal="left"/>
    </xf>
    <xf numFmtId="0" fontId="4" fillId="0" borderId="59" xfId="5" applyBorder="1" applyAlignment="1" applyProtection="1">
      <alignment horizontal="left"/>
    </xf>
    <xf numFmtId="0" fontId="4" fillId="0" borderId="87" xfId="5" applyBorder="1" applyAlignment="1" applyProtection="1">
      <alignment horizontal="left"/>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0" borderId="0"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56" fillId="0" borderId="4" xfId="0" applyFont="1" applyFill="1" applyBorder="1" applyAlignment="1">
      <alignment horizontal="left" wrapText="1"/>
    </xf>
    <xf numFmtId="0" fontId="56" fillId="0" borderId="0" xfId="0" applyFont="1" applyFill="1" applyBorder="1" applyAlignment="1">
      <alignment horizontal="left" wrapText="1"/>
    </xf>
    <xf numFmtId="0" fontId="56" fillId="0" borderId="5" xfId="0" applyFont="1" applyFill="1" applyBorder="1" applyAlignment="1">
      <alignment horizontal="left" wrapText="1"/>
    </xf>
    <xf numFmtId="0" fontId="56" fillId="0" borderId="4" xfId="0" applyFont="1" applyFill="1" applyBorder="1" applyAlignment="1">
      <alignment horizontal="left"/>
    </xf>
    <xf numFmtId="0" fontId="56" fillId="0" borderId="0" xfId="0" applyFont="1" applyFill="1" applyBorder="1" applyAlignment="1">
      <alignment horizontal="left"/>
    </xf>
    <xf numFmtId="0" fontId="56" fillId="0" borderId="5" xfId="0" applyFont="1" applyFill="1" applyBorder="1" applyAlignment="1">
      <alignment horizontal="left"/>
    </xf>
    <xf numFmtId="0" fontId="53" fillId="13" borderId="0" xfId="0" applyFont="1" applyFill="1" applyAlignment="1">
      <alignment horizontal="left"/>
    </xf>
    <xf numFmtId="0" fontId="54" fillId="0" borderId="0" xfId="0" applyFont="1" applyFill="1" applyBorder="1" applyAlignment="1" applyProtection="1">
      <alignment horizontal="left"/>
    </xf>
    <xf numFmtId="0" fontId="54" fillId="0" borderId="59" xfId="0" applyFont="1" applyFill="1" applyBorder="1" applyAlignment="1" applyProtection="1">
      <alignment horizontal="left"/>
    </xf>
    <xf numFmtId="0" fontId="54" fillId="3" borderId="4" xfId="0" applyFont="1" applyFill="1" applyBorder="1" applyAlignment="1">
      <alignment horizontal="left"/>
    </xf>
    <xf numFmtId="0" fontId="54" fillId="3" borderId="0" xfId="0" applyFont="1" applyFill="1" applyBorder="1" applyAlignment="1">
      <alignment horizontal="left"/>
    </xf>
    <xf numFmtId="0" fontId="54"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1" fillId="0" borderId="2" xfId="0" applyFont="1" applyFill="1" applyBorder="1" applyAlignment="1">
      <alignment horizontal="left" wrapText="1"/>
    </xf>
    <xf numFmtId="0" fontId="56" fillId="0" borderId="2" xfId="0" applyFont="1" applyFill="1" applyBorder="1" applyAlignment="1">
      <alignment horizontal="left" wrapText="1"/>
    </xf>
    <xf numFmtId="0" fontId="53" fillId="13" borderId="0" xfId="0" applyFont="1" applyFill="1" applyBorder="1" applyAlignment="1">
      <alignment horizontal="left" wrapText="1"/>
    </xf>
    <xf numFmtId="0" fontId="0" fillId="0" borderId="59" xfId="0" applyBorder="1" applyAlignment="1">
      <alignment horizontal="left"/>
    </xf>
    <xf numFmtId="0" fontId="3" fillId="0" borderId="2" xfId="0" applyFont="1" applyFill="1" applyBorder="1" applyAlignment="1">
      <alignment horizontal="center"/>
    </xf>
    <xf numFmtId="0" fontId="7" fillId="0" borderId="4" xfId="0" applyFont="1" applyFill="1" applyBorder="1" applyAlignment="1">
      <alignment wrapText="1"/>
    </xf>
    <xf numFmtId="0" fontId="7" fillId="0" borderId="0" xfId="0" applyFont="1" applyFill="1" applyBorder="1" applyAlignment="1">
      <alignment wrapText="1"/>
    </xf>
    <xf numFmtId="0" fontId="7" fillId="0" borderId="5" xfId="0" applyFont="1" applyFill="1" applyBorder="1" applyAlignment="1">
      <alignment wrapText="1"/>
    </xf>
    <xf numFmtId="0" fontId="8" fillId="3" borderId="4"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5" xfId="0" applyFont="1" applyFill="1" applyBorder="1" applyAlignment="1">
      <alignment horizontal="left" vertical="center" wrapText="1"/>
    </xf>
    <xf numFmtId="0" fontId="5" fillId="0" borderId="24" xfId="0" applyFont="1" applyBorder="1" applyAlignment="1">
      <alignment horizontal="left"/>
    </xf>
    <xf numFmtId="0" fontId="5" fillId="0" borderId="66" xfId="0" applyFont="1" applyBorder="1" applyAlignment="1">
      <alignment horizontal="left"/>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0" fontId="6" fillId="13" borderId="0" xfId="0" applyFont="1" applyFill="1" applyBorder="1" applyAlignment="1">
      <alignment wrapText="1"/>
    </xf>
    <xf numFmtId="0" fontId="0" fillId="0" borderId="0" xfId="0" applyBorder="1"/>
    <xf numFmtId="0" fontId="7" fillId="0" borderId="59" xfId="0" applyFont="1" applyFill="1" applyBorder="1" applyAlignment="1">
      <alignment horizontal="left" wrapText="1"/>
    </xf>
    <xf numFmtId="0" fontId="8" fillId="2" borderId="2" xfId="0" applyFont="1" applyFill="1" applyBorder="1" applyAlignment="1">
      <alignment horizontal="center" vertical="center" wrapText="1"/>
    </xf>
    <xf numFmtId="0" fontId="7" fillId="2" borderId="4" xfId="0" applyFont="1" applyFill="1" applyBorder="1" applyAlignment="1">
      <alignment wrapText="1"/>
    </xf>
    <xf numFmtId="0" fontId="7" fillId="2" borderId="0" xfId="0" applyFont="1" applyFill="1" applyBorder="1" applyAlignment="1">
      <alignment wrapText="1"/>
    </xf>
    <xf numFmtId="0" fontId="7" fillId="2" borderId="5" xfId="0" applyFont="1" applyFill="1" applyBorder="1" applyAlignment="1">
      <alignment wrapText="1"/>
    </xf>
    <xf numFmtId="0" fontId="1" fillId="0" borderId="126" xfId="0" applyFont="1" applyBorder="1" applyAlignment="1">
      <alignment horizontal="left" vertical="top" wrapText="1"/>
    </xf>
    <xf numFmtId="0" fontId="0" fillId="0" borderId="154" xfId="0" applyBorder="1" applyAlignment="1">
      <alignment horizontal="left" vertical="top"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46" fillId="2" borderId="58" xfId="5" applyFont="1" applyFill="1" applyBorder="1" applyAlignment="1" applyProtection="1">
      <alignment horizontal="left" wrapText="1"/>
    </xf>
    <xf numFmtId="0" fontId="46" fillId="2" borderId="59" xfId="5" applyFont="1" applyFill="1" applyBorder="1" applyAlignment="1" applyProtection="1">
      <alignment horizontal="left" wrapText="1"/>
    </xf>
    <xf numFmtId="0" fontId="46" fillId="2" borderId="87" xfId="5" applyFont="1" applyFill="1" applyBorder="1" applyAlignment="1" applyProtection="1">
      <alignment horizontal="left" wrapText="1"/>
    </xf>
    <xf numFmtId="0" fontId="5" fillId="0" borderId="24" xfId="0" applyFont="1" applyBorder="1" applyAlignment="1">
      <alignment horizontal="left" wrapText="1"/>
    </xf>
    <xf numFmtId="0" fontId="5" fillId="0" borderId="66" xfId="0" applyFont="1" applyBorder="1" applyAlignment="1">
      <alignment horizontal="left" wrapText="1"/>
    </xf>
    <xf numFmtId="173" fontId="17"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7" fillId="3" borderId="13" xfId="0" applyFont="1" applyFill="1" applyBorder="1" applyAlignment="1" applyProtection="1">
      <alignment wrapText="1"/>
    </xf>
    <xf numFmtId="0" fontId="18" fillId="3" borderId="16" xfId="0" applyFont="1" applyFill="1" applyBorder="1" applyAlignment="1" applyProtection="1">
      <alignment wrapText="1"/>
    </xf>
  </cellXfs>
  <cellStyles count="21">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4">
    <dxf>
      <font>
        <strike val="0"/>
        <condense val="0"/>
        <extend val="0"/>
        <color indexed="22"/>
      </font>
    </dxf>
    <dxf>
      <font>
        <b/>
        <i val="0"/>
        <strike val="0"/>
        <condense val="0"/>
        <extend val="0"/>
        <color auto="1"/>
      </font>
    </dxf>
    <dxf>
      <font>
        <b val="0"/>
        <i val="0"/>
        <color auto="1"/>
      </font>
      <numFmt numFmtId="0" formatCode="General"/>
    </dxf>
    <dxf>
      <font>
        <b/>
        <i val="0"/>
        <color rgb="FFFFFF00"/>
      </font>
      <fill>
        <patternFill>
          <bgColor rgb="FFFF0000"/>
        </patternFill>
      </fill>
    </dxf>
  </dxfs>
  <tableStyles count="0" defaultTableStyle="TableStyleMedium9" defaultPivotStyle="PivotStyleLight16"/>
  <colors>
    <mruColors>
      <color rgb="FFFFCC99"/>
      <color rgb="FF97B757"/>
      <color rgb="FFB54E4B"/>
      <color rgb="FFF5FFE6"/>
      <color rgb="FFE4FDC2"/>
      <color rgb="FFDAFDA7"/>
      <color rgb="FFFFA2A1"/>
      <color rgb="FFFFBEBD"/>
      <color rgb="FFFFE5E5"/>
      <color rgb="FFA2BF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Fixed Operating Cost</c:v>
                </c:pt>
                <c:pt idx="6">
                  <c:v>Other Variable Operating Costs</c:v>
                </c:pt>
                <c:pt idx="7">
                  <c:v>Other Raw Material Cost</c:v>
                </c:pt>
                <c:pt idx="8">
                  <c:v>Initial Equity Depreciable Capital</c:v>
                </c:pt>
                <c:pt idx="9">
                  <c:v>Debt Interest</c:v>
                </c:pt>
                <c:pt idx="10">
                  <c:v>Cash for Working Capital Reserve</c:v>
                </c:pt>
                <c:pt idx="11">
                  <c:v>Yearly Replacement Costs</c:v>
                </c:pt>
                <c:pt idx="12">
                  <c:v>Taxes</c:v>
                </c:pt>
                <c:pt idx="13">
                  <c:v>Other Non-Depreciable Capital Costs</c:v>
                </c:pt>
                <c:pt idx="14">
                  <c:v>Principal Payment</c:v>
                </c:pt>
                <c:pt idx="15">
                  <c:v>Decommissioning Costs</c:v>
                </c:pt>
              </c:strCache>
            </c:strRef>
          </c:cat>
          <c:val>
            <c:numRef>
              <c:f>'Tornado Charts &amp; Risk Analysis'!$I$155:$I$170</c:f>
              <c:numCache>
                <c:formatCode>_("$"* #,##0.00_);_("$"* \(#,##0.00\);_("$"* "-"??_);_(@_)</c:formatCode>
                <c:ptCount val="16"/>
                <c:pt idx="0">
                  <c:v>2.4111382454761561</c:v>
                </c:pt>
                <c:pt idx="1">
                  <c:v>1.6418275002923967E-3</c:v>
                </c:pt>
                <c:pt idx="2">
                  <c:v>0</c:v>
                </c:pt>
                <c:pt idx="4">
                  <c:v>1.3716385995415594</c:v>
                </c:pt>
                <c:pt idx="5">
                  <c:v>0.25862031433665061</c:v>
                </c:pt>
                <c:pt idx="6">
                  <c:v>0.24553111712834094</c:v>
                </c:pt>
                <c:pt idx="7">
                  <c:v>0.21197338494250778</c:v>
                </c:pt>
                <c:pt idx="8">
                  <c:v>0.14942045524399045</c:v>
                </c:pt>
                <c:pt idx="9">
                  <c:v>9.8159081625125419E-2</c:v>
                </c:pt>
                <c:pt idx="10">
                  <c:v>2.8489350007646817E-2</c:v>
                </c:pt>
                <c:pt idx="11">
                  <c:v>2.0985595575770056E-2</c:v>
                </c:pt>
                <c:pt idx="12">
                  <c:v>1.6440982758693726E-2</c:v>
                </c:pt>
                <c:pt idx="13">
                  <c:v>5.4915061535724839E-3</c:v>
                </c:pt>
                <c:pt idx="14">
                  <c:v>4.4095299004201019E-3</c:v>
                </c:pt>
                <c:pt idx="15">
                  <c:v>1.6201557621688327E-3</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2.4111382454761561</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1.6418275002923967E-3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1.3716385995415594</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Fixed Operating Cost</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0.25862031433665061</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Other Variable Operating Costs</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0.24553111712834094</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Other Raw Material Cost</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0.21197338494250778</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Initial Equity Depreciable Capital</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0.14942045524399045</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Debt Interest</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9.8159081625125419E-2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Cash for Working Capital Reserve</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2.8489350007646817E-2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Yearly Replacement Costs</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2.0985595575770056E-2</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Taxes</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1.6440982758693726E-2</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Other Non-Depreciable Capital Costs</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5.4915061535724839E-3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Principal Payment</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4.4095299004201019E-3</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Decommissioning Costs</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1.6201557621688327E-3</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2.4127800729764486</c:v>
                </c:pt>
                <c:pt idx="1">
                  <c:v>2.4127800729764468</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Feedstock Consumption (% of baseline)
(95%, 100%, 105%)</c:v>
                </c:pt>
                <c:pt idx="1">
                  <c:v>Operating Capacity Factor
(95%, 90%, 86%)</c:v>
                </c:pt>
                <c:pt idx="2">
                  <c:v>Total Capital Investment
($198,051K, $208,474K, $218,898K) </c:v>
                </c:pt>
                <c:pt idx="3">
                  <c:v>Total Fixed Operating Cost
($12,043K, $12,676K, $13,310K) </c:v>
                </c:pt>
                <c:pt idx="4">
                  <c:v>After-tax Real IRR
(8%, 8%, 8%)</c:v>
                </c:pt>
                <c:pt idx="5">
                  <c:v>Plant Design Capacity (kg of H2/day)
(162,998, 155,236, 147,474) </c:v>
                </c:pt>
                <c:pt idx="6">
                  <c:v>Utilities Consumption (% of baseline)
(95%, 100%, 105%)</c:v>
                </c:pt>
              </c:strCache>
            </c:strRef>
          </c:cat>
          <c:val>
            <c:numRef>
              <c:f>'Tornado Charts &amp; Risk Analysis'!$H$101:$H$107</c:f>
              <c:numCache>
                <c:formatCode>General</c:formatCode>
                <c:ptCount val="7"/>
                <c:pt idx="0">
                  <c:v>2.3412960583840761</c:v>
                </c:pt>
                <c:pt idx="1">
                  <c:v>2.3717195249913128</c:v>
                </c:pt>
                <c:pt idx="2">
                  <c:v>2.3939870404855514</c:v>
                </c:pt>
                <c:pt idx="3">
                  <c:v>2.3979695764844378</c:v>
                </c:pt>
                <c:pt idx="4">
                  <c:v>2.3981518107823239</c:v>
                </c:pt>
                <c:pt idx="5">
                  <c:v>2.4017774627996471</c:v>
                </c:pt>
                <c:pt idx="6">
                  <c:v>2.4024428512494405</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(95%, 90%, 86%)</c:v>
                </c:pt>
                <c:pt idx="2">
                  <c:v>Total Capital Investment
($198,051K, $208,474K, $218,898K) </c:v>
                </c:pt>
                <c:pt idx="3">
                  <c:v>Total Fixed Operating Cost
($12,043K, $12,676K, $13,310K) </c:v>
                </c:pt>
                <c:pt idx="4">
                  <c:v>After-tax Real IRR
(8%, 8%, 8%)</c:v>
                </c:pt>
                <c:pt idx="5">
                  <c:v>Plant Design Capacity (kg of H2/day)
(162,998, 155,236, 147,474) </c:v>
                </c:pt>
                <c:pt idx="6">
                  <c:v>Utilities Consumption (% of baseline)
(95%, 100%, 105%)</c:v>
                </c:pt>
              </c:strCache>
            </c:strRef>
          </c:cat>
          <c:val>
            <c:numRef>
              <c:f>'Tornado Charts &amp; Risk Analysis'!$I$101:$I$107</c:f>
              <c:numCache>
                <c:formatCode>General</c:formatCode>
                <c:ptCount val="7"/>
                <c:pt idx="0">
                  <c:v>6.984218709208001E-2</c:v>
                </c:pt>
                <c:pt idx="1">
                  <c:v>3.9418720484843295E-2</c:v>
                </c:pt>
                <c:pt idx="2">
                  <c:v>1.7151204990604629E-2</c:v>
                </c:pt>
                <c:pt idx="3">
                  <c:v>1.3168668991718313E-2</c:v>
                </c:pt>
                <c:pt idx="4">
                  <c:v>1.2986434693832205E-2</c:v>
                </c:pt>
                <c:pt idx="5">
                  <c:v>9.3607826765089719E-3</c:v>
                </c:pt>
                <c:pt idx="6">
                  <c:v>8.6953942267156137E-3</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(95%, 90%, 86%)</c:v>
                </c:pt>
                <c:pt idx="2">
                  <c:v>Total Capital Investment
($198,051K, $208,474K, $218,898K) </c:v>
                </c:pt>
                <c:pt idx="3">
                  <c:v>Total Fixed Operating Cost
($12,043K, $12,676K, $13,310K) </c:v>
                </c:pt>
                <c:pt idx="4">
                  <c:v>After-tax Real IRR
(8%, 8%, 8%)</c:v>
                </c:pt>
                <c:pt idx="5">
                  <c:v>Plant Design Capacity (kg of H2/day)
(162,998, 155,236, 147,474) </c:v>
                </c:pt>
                <c:pt idx="6">
                  <c:v>Utilities Consumption (% of baseline)
(95%, 100%, 105%)</c:v>
                </c:pt>
              </c:strCache>
            </c:strRef>
          </c:cat>
          <c:val>
            <c:numRef>
              <c:f>'Tornado Charts &amp; Risk Analysis'!$J$101:$J$107</c:f>
              <c:numCache>
                <c:formatCode>General</c:formatCode>
                <c:ptCount val="7"/>
                <c:pt idx="0">
                  <c:v>6.9842187092077346E-2</c:v>
                </c:pt>
                <c:pt idx="1">
                  <c:v>4.3568059483244159E-2</c:v>
                </c:pt>
                <c:pt idx="2">
                  <c:v>1.7151204990604629E-2</c:v>
                </c:pt>
                <c:pt idx="3">
                  <c:v>1.3168668991716537E-2</c:v>
                </c:pt>
                <c:pt idx="4">
                  <c:v>1.3286633993849328E-2</c:v>
                </c:pt>
                <c:pt idx="5">
                  <c:v>1.0132949626183052E-2</c:v>
                </c:pt>
                <c:pt idx="6">
                  <c:v>8.6953942267151696E-3</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2.3412960583840761</c:v>
                </c:pt>
                <c:pt idx="1">
                  <c:v>2.3717195249913128</c:v>
                </c:pt>
                <c:pt idx="2">
                  <c:v>2.3939870404855514</c:v>
                </c:pt>
                <c:pt idx="3">
                  <c:v>2.3979695764844378</c:v>
                </c:pt>
                <c:pt idx="4">
                  <c:v>2.3981518107823239</c:v>
                </c:pt>
                <c:pt idx="5">
                  <c:v>2.4017774627996471</c:v>
                </c:pt>
                <c:pt idx="6">
                  <c:v>2.4024428512494405</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2.4809804325682334</c:v>
                </c:pt>
                <c:pt idx="1">
                  <c:v>2.4547063049594002</c:v>
                </c:pt>
                <c:pt idx="2">
                  <c:v>2.4282894504667607</c:v>
                </c:pt>
                <c:pt idx="3">
                  <c:v>2.4243069144678726</c:v>
                </c:pt>
                <c:pt idx="4">
                  <c:v>2.4244248794700054</c:v>
                </c:pt>
                <c:pt idx="5">
                  <c:v>2.4212711951023391</c:v>
                </c:pt>
                <c:pt idx="6">
                  <c:v>2.4198336397028712</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2.4111382454761561</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Analysis'!$E$175:$E$181</c:f>
              <c:numCache>
                <c:formatCode>_("$"* #,##0.00_);_("$"* \(#,##0.00\);_("$"* "-"??_);_(@_)</c:formatCode>
                <c:ptCount val="7"/>
                <c:pt idx="0">
                  <c:v>2.4111382454761561</c:v>
                </c:pt>
                <c:pt idx="1">
                  <c:v>2.3412960583840761</c:v>
                </c:pt>
                <c:pt idx="2">
                  <c:v>2.3018773378992341</c:v>
                </c:pt>
                <c:pt idx="3">
                  <c:v>2.2855428569558001</c:v>
                </c:pt>
                <c:pt idx="4">
                  <c:v>2.2732075260076887</c:v>
                </c:pt>
                <c:pt idx="5">
                  <c:v>2.264512131780974</c:v>
                </c:pt>
                <c:pt idx="6">
                  <c:v>2.264512131780974</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Analysis'!$F$175:$F$181</c:f>
              <c:numCache>
                <c:formatCode>_("$"* #,##0.00_);_("$"* \(#,##0.00\);_("$"* "-"??_);_(@_)</c:formatCode>
                <c:ptCount val="7"/>
                <c:pt idx="1">
                  <c:v>6.984218709208001E-2</c:v>
                </c:pt>
                <c:pt idx="2">
                  <c:v>3.9418720484841963E-2</c:v>
                </c:pt>
                <c:pt idx="3">
                  <c:v>1.6334480943434038E-2</c:v>
                </c:pt>
                <c:pt idx="4">
                  <c:v>1.2335330948111345E-2</c:v>
                </c:pt>
                <c:pt idx="5">
                  <c:v>8.6953942267147255E-3</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2.3096520878408207</c:v>
                </c:pt>
                <c:pt idx="1">
                  <c:v>2.3198942593324192</c:v>
                </c:pt>
                <c:pt idx="2">
                  <c:v>2.3301364308240187</c:v>
                </c:pt>
                <c:pt idx="3">
                  <c:v>2.3403786023156172</c:v>
                </c:pt>
                <c:pt idx="4">
                  <c:v>2.3506207738072167</c:v>
                </c:pt>
                <c:pt idx="5">
                  <c:v>2.3608629452988152</c:v>
                </c:pt>
                <c:pt idx="6">
                  <c:v>2.3711051167904147</c:v>
                </c:pt>
                <c:pt idx="7">
                  <c:v>2.3813472882820133</c:v>
                </c:pt>
                <c:pt idx="8">
                  <c:v>2.3915894597736127</c:v>
                </c:pt>
                <c:pt idx="9">
                  <c:v>2.4018316312652113</c:v>
                </c:pt>
                <c:pt idx="10">
                  <c:v>2.4120738027568107</c:v>
                </c:pt>
                <c:pt idx="11">
                  <c:v>2.4223159742484093</c:v>
                </c:pt>
                <c:pt idx="12">
                  <c:v>2.4325581457400087</c:v>
                </c:pt>
                <c:pt idx="13">
                  <c:v>2.4428003172316073</c:v>
                </c:pt>
                <c:pt idx="14">
                  <c:v>2.4530424887232067</c:v>
                </c:pt>
                <c:pt idx="15">
                  <c:v>2.4632846602148053</c:v>
                </c:pt>
                <c:pt idx="16">
                  <c:v>2.4735268317064047</c:v>
                </c:pt>
                <c:pt idx="17">
                  <c:v>2.4837690031980033</c:v>
                </c:pt>
                <c:pt idx="18">
                  <c:v>2.4940111746896028</c:v>
                </c:pt>
                <c:pt idx="19">
                  <c:v>2.5042538461812018</c:v>
                </c:pt>
              </c:numCache>
            </c:numRef>
          </c:xVal>
          <c:yVal>
            <c:numRef>
              <c:f>'Tornado Charts &amp; Risk Analysis'!$I$202:$I$221</c:f>
              <c:numCache>
                <c:formatCode>General</c:formatCode>
                <c:ptCount val="20"/>
                <c:pt idx="0">
                  <c:v>5.0000000000000001E-4</c:v>
                </c:pt>
                <c:pt idx="1">
                  <c:v>3.5000000000000001E-3</c:v>
                </c:pt>
                <c:pt idx="2">
                  <c:v>1.4E-2</c:v>
                </c:pt>
                <c:pt idx="3">
                  <c:v>3.3000000000000002E-2</c:v>
                </c:pt>
                <c:pt idx="4">
                  <c:v>6.4500000000000002E-2</c:v>
                </c:pt>
                <c:pt idx="5">
                  <c:v>0.1095</c:v>
                </c:pt>
                <c:pt idx="6">
                  <c:v>0.16899999999999998</c:v>
                </c:pt>
                <c:pt idx="7">
                  <c:v>0.2505</c:v>
                </c:pt>
                <c:pt idx="8">
                  <c:v>0.36049999999999999</c:v>
                </c:pt>
                <c:pt idx="9">
                  <c:v>0.46899999999999997</c:v>
                </c:pt>
                <c:pt idx="10">
                  <c:v>0.57199999999999995</c:v>
                </c:pt>
                <c:pt idx="11">
                  <c:v>0.67999999999999994</c:v>
                </c:pt>
                <c:pt idx="12">
                  <c:v>0.77249999999999996</c:v>
                </c:pt>
                <c:pt idx="13">
                  <c:v>0.84749999999999992</c:v>
                </c:pt>
                <c:pt idx="14">
                  <c:v>0.90699999999999992</c:v>
                </c:pt>
                <c:pt idx="15">
                  <c:v>0.9444999999999999</c:v>
                </c:pt>
                <c:pt idx="16">
                  <c:v>0.96699999999999986</c:v>
                </c:pt>
                <c:pt idx="17">
                  <c:v>0.98599999999999988</c:v>
                </c:pt>
                <c:pt idx="18">
                  <c:v>0.99649999999999983</c:v>
                </c:pt>
                <c:pt idx="19">
                  <c:v>0.99999999999999978</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2.3096520878408207</c:v>
                </c:pt>
                <c:pt idx="1">
                  <c:v>2.3198942593324192</c:v>
                </c:pt>
                <c:pt idx="2">
                  <c:v>2.3301364308240187</c:v>
                </c:pt>
                <c:pt idx="3">
                  <c:v>2.3403786023156172</c:v>
                </c:pt>
                <c:pt idx="4">
                  <c:v>2.3506207738072167</c:v>
                </c:pt>
                <c:pt idx="5">
                  <c:v>2.3608629452988152</c:v>
                </c:pt>
                <c:pt idx="6">
                  <c:v>2.3711051167904147</c:v>
                </c:pt>
                <c:pt idx="7">
                  <c:v>2.3813472882820133</c:v>
                </c:pt>
                <c:pt idx="8">
                  <c:v>2.3915894597736127</c:v>
                </c:pt>
                <c:pt idx="9">
                  <c:v>2.4018316312652113</c:v>
                </c:pt>
                <c:pt idx="10">
                  <c:v>2.4120738027568107</c:v>
                </c:pt>
                <c:pt idx="11">
                  <c:v>2.4223159742484093</c:v>
                </c:pt>
                <c:pt idx="12">
                  <c:v>2.4325581457400087</c:v>
                </c:pt>
                <c:pt idx="13">
                  <c:v>2.4428003172316073</c:v>
                </c:pt>
                <c:pt idx="14">
                  <c:v>2.4530424887232067</c:v>
                </c:pt>
                <c:pt idx="15">
                  <c:v>2.4632846602148053</c:v>
                </c:pt>
                <c:pt idx="16">
                  <c:v>2.4735268317064047</c:v>
                </c:pt>
                <c:pt idx="17">
                  <c:v>2.4837690031980033</c:v>
                </c:pt>
                <c:pt idx="18">
                  <c:v>2.4940111746896028</c:v>
                </c:pt>
                <c:pt idx="19">
                  <c:v>2.5042538461812018</c:v>
                </c:pt>
              </c:numCache>
            </c:numRef>
          </c:xVal>
          <c:yVal>
            <c:numRef>
              <c:f>'Tornado Charts &amp; Risk Analysis'!$H$202:$H$221</c:f>
              <c:numCache>
                <c:formatCode>General</c:formatCode>
                <c:ptCount val="20"/>
                <c:pt idx="0">
                  <c:v>5.0000000000000001E-4</c:v>
                </c:pt>
                <c:pt idx="1">
                  <c:v>3.0000000000000001E-3</c:v>
                </c:pt>
                <c:pt idx="2">
                  <c:v>1.0500000000000001E-2</c:v>
                </c:pt>
                <c:pt idx="3">
                  <c:v>1.9E-2</c:v>
                </c:pt>
                <c:pt idx="4">
                  <c:v>3.15E-2</c:v>
                </c:pt>
                <c:pt idx="5">
                  <c:v>4.4999999999999998E-2</c:v>
                </c:pt>
                <c:pt idx="6">
                  <c:v>5.9499999999999997E-2</c:v>
                </c:pt>
                <c:pt idx="7">
                  <c:v>8.1500000000000003E-2</c:v>
                </c:pt>
                <c:pt idx="8">
                  <c:v>0.11</c:v>
                </c:pt>
                <c:pt idx="9">
                  <c:v>0.1085</c:v>
                </c:pt>
                <c:pt idx="10">
                  <c:v>0.10299999999999999</c:v>
                </c:pt>
                <c:pt idx="11">
                  <c:v>0.108</c:v>
                </c:pt>
                <c:pt idx="12">
                  <c:v>9.2499999999999999E-2</c:v>
                </c:pt>
                <c:pt idx="13">
                  <c:v>7.4999999999999997E-2</c:v>
                </c:pt>
                <c:pt idx="14">
                  <c:v>5.9499999999999997E-2</c:v>
                </c:pt>
                <c:pt idx="15">
                  <c:v>3.7499999999999999E-2</c:v>
                </c:pt>
                <c:pt idx="16">
                  <c:v>2.2499999999999999E-2</c:v>
                </c:pt>
                <c:pt idx="17">
                  <c:v>1.9E-2</c:v>
                </c:pt>
                <c:pt idx="18">
                  <c:v>1.0500000000000001E-2</c:v>
                </c:pt>
                <c:pt idx="19">
                  <c:v>3.5000000000000001E-3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Lists!$Q$4" lockText="1"/>
</file>

<file path=xl/ctrlProps/ctrlProp2.xml><?xml version="1.0" encoding="utf-8"?>
<formControlPr xmlns="http://schemas.microsoft.com/office/spreadsheetml/2009/9/main" objectType="CheckBox" checked="Checked" fmlaLink="Lists!$Q$5" lockText="1"/>
</file>

<file path=xl/ctrlProps/ctrlProp3.xml><?xml version="1.0" encoding="utf-8"?>
<formControlPr xmlns="http://schemas.microsoft.com/office/spreadsheetml/2009/9/main" objectType="CheckBox" checked="Checked" fmlaLink="Lists!$Q$6" lockText="1"/>
</file>

<file path=xl/ctrlProps/ctrlProp4.xml><?xml version="1.0" encoding="utf-8"?>
<formControlPr xmlns="http://schemas.microsoft.com/office/spreadsheetml/2009/9/main" objectType="CheckBox" checked="Checked" fmlaLink="Lists!$Q$7" lockText="1"/>
</file>

<file path=xl/ctrlProps/ctrlProp5.xml><?xml version="1.0" encoding="utf-8"?>
<formControlPr xmlns="http://schemas.microsoft.com/office/spreadsheetml/2009/9/main" objectType="CheckBox" checked="Checked" fmlaLink="Lists!$Q$8" lockText="1"/>
</file>

<file path=xl/ctrlProps/ctrlProp6.xml><?xml version="1.0" encoding="utf-8"?>
<formControlPr xmlns="http://schemas.microsoft.com/office/spreadsheetml/2009/9/main" objectType="CheckBox" checked="Checked" fmlaLink="Lists!$Q$9" lockText="1"/>
</file>

<file path=xl/ctrlProps/ctrlProp7.xml><?xml version="1.0" encoding="utf-8"?>
<formControlPr xmlns="http://schemas.microsoft.com/office/spreadsheetml/2009/9/main" objectType="CheckBox" checked="Checked" fmlaLink="Lists!$Q$10" lockText="1"/>
</file>

<file path=xl/ctrlProps/ctrlProp8.xml><?xml version="1.0" encoding="utf-8"?>
<formControlPr xmlns="http://schemas.microsoft.com/office/spreadsheetml/2009/9/main" objectType="CheckBox" checked="Checked" fmlaLink="Lists!$Q$11" lockText="1"/>
</file>

<file path=xl/ctrlProps/ctrlProp9.xml><?xml version="1.0" encoding="utf-8"?>
<formControlPr xmlns="http://schemas.microsoft.com/office/spreadsheetml/2009/9/main" objectType="CheckBox" checked="Checked" fmlaLink="Lists!$Q$12" lockText="1"/>
</file>

<file path=xl/ctrlProps/ctrlProp10.xml><?xml version="1.0" encoding="utf-8"?>
<formControlPr xmlns="http://schemas.microsoft.com/office/spreadsheetml/2009/9/main" objectType="CheckBox" checked="Checked" fmlaLink="Lists!$Q$13" lockText="1"/>
</file>

<file path=xl/ctrlProps/ctrlProp11.xml><?xml version="1.0" encoding="utf-8"?>
<formControlPr xmlns="http://schemas.microsoft.com/office/spreadsheetml/2009/9/main" objectType="CheckBox" checked="Checked" fmlaLink="Lists!$Q$14" lockText="1"/>
</file>

<file path=xl/ctrlProps/ctrlProp12.xml><?xml version="1.0" encoding="utf-8"?>
<formControlPr xmlns="http://schemas.microsoft.com/office/spreadsheetml/2009/9/main" objectType="CheckBox" checked="Checked" fmlaLink="Lists!$Q$15" lockText="1"/>
</file>

<file path=xl/ctrlProps/ctrlProp13.xml><?xml version="1.0" encoding="utf-8"?>
<formControlPr xmlns="http://schemas.microsoft.com/office/spreadsheetml/2009/9/main" objectType="CheckBox" fmlaLink="Lists!$AA$4" lockText="1"/>
</file>

<file path=xl/ctrlProps/ctrlProp14.xml><?xml version="1.0" encoding="utf-8"?>
<formControlPr xmlns="http://schemas.microsoft.com/office/spreadsheetml/2009/9/main" objectType="CheckBox" checked="Checked" fmlaLink="Lists!$AA$6" lockText="1"/>
</file>

<file path=xl/ctrlProps/ctrlProp15.xml><?xml version="1.0" encoding="utf-8"?>
<formControlPr xmlns="http://schemas.microsoft.com/office/spreadsheetml/2009/9/main" objectType="CheckBox" checked="Checked" fmlaLink="Lists!$AA$8" lockText="1"/>
</file>

<file path=xl/ctrlProps/ctrlProp16.xml><?xml version="1.0" encoding="utf-8"?>
<formControlPr xmlns="http://schemas.microsoft.com/office/spreadsheetml/2009/9/main" objectType="CheckBox" checked="Checked" fmlaLink="Lists!$AA$10" lockText="1"/>
</file>

<file path=xl/ctrlProps/ctrlProp17.xml><?xml version="1.0" encoding="utf-8"?>
<formControlPr xmlns="http://schemas.microsoft.com/office/spreadsheetml/2009/9/main" objectType="CheckBox" checked="Checked" fmlaLink="Lists!$AA$11" lockText="1"/>
</file>

<file path=xl/ctrlProps/ctrlProp18.xml><?xml version="1.0" encoding="utf-8"?>
<formControlPr xmlns="http://schemas.microsoft.com/office/spreadsheetml/2009/9/main" objectType="CheckBox" checked="Checked" fmlaLink="Lists!$AA$12" lockText="1"/>
</file>

<file path=xl/ctrlProps/ctrlProp19.xml><?xml version="1.0" encoding="utf-8"?>
<formControlPr xmlns="http://schemas.microsoft.com/office/spreadsheetml/2009/9/main" objectType="CheckBox" checked="Checked" fmlaLink="Lists!$AA$9" lockText="1"/>
</file>

<file path=xl/ctrlProps/ctrlProp20.xml><?xml version="1.0" encoding="utf-8"?>
<formControlPr xmlns="http://schemas.microsoft.com/office/spreadsheetml/2009/9/main" objectType="CheckBox" checked="Checked" fmlaLink="Lists!$AA$13" lockText="1"/>
</file>

<file path=xl/ctrlProps/ctrlProp21.xml><?xml version="1.0" encoding="utf-8"?>
<formControlPr xmlns="http://schemas.microsoft.com/office/spreadsheetml/2009/9/main" objectType="CheckBox" checked="Checked" fmlaLink="Lists!$AA$14" lockText="1"/>
</file>

<file path=xl/ctrlProps/ctrlProp22.xml><?xml version="1.0" encoding="utf-8"?>
<formControlPr xmlns="http://schemas.microsoft.com/office/spreadsheetml/2009/9/main" objectType="CheckBox" checked="Checked" fmlaLink="Lists!$AA$7" lockText="1"/>
</file>

<file path=xl/ctrlProps/ctrlProp23.xml><?xml version="1.0" encoding="utf-8"?>
<formControlPr xmlns="http://schemas.microsoft.com/office/spreadsheetml/2009/9/main" objectType="CheckBox" checked="Checked" fmlaLink="Lists!$AA$5"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530677</xdr:colOff>
      <xdr:row>2</xdr:row>
      <xdr:rowOff>20090</xdr:rowOff>
    </xdr:from>
    <xdr:to>
      <xdr:col>9</xdr:col>
      <xdr:colOff>449877</xdr:colOff>
      <xdr:row>4</xdr:row>
      <xdr:rowOff>82436</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a:off x="7059632" y="470363"/>
          <a:ext cx="1131472" cy="37407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2</xdr:col>
      <xdr:colOff>0</xdr:colOff>
      <xdr:row>6</xdr:row>
      <xdr:rowOff>1</xdr:rowOff>
    </xdr:from>
    <xdr:to>
      <xdr:col>12</xdr:col>
      <xdr:colOff>1375410</xdr:colOff>
      <xdr:row>20</xdr:row>
      <xdr:rowOff>23812</xdr:rowOff>
    </xdr:to>
    <xdr:pic>
      <xdr:nvPicPr>
        <xdr:cNvPr id="6" name="Picture 2">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77313" y="1119189"/>
          <a:ext cx="9424035" cy="66913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227</xdr:row>
      <xdr:rowOff>0</xdr:rowOff>
    </xdr:from>
    <xdr:to>
      <xdr:col>2</xdr:col>
      <xdr:colOff>76200</xdr:colOff>
      <xdr:row>228</xdr:row>
      <xdr:rowOff>36439</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132</xdr:row>
      <xdr:rowOff>289433</xdr:rowOff>
    </xdr:from>
    <xdr:to>
      <xdr:col>5</xdr:col>
      <xdr:colOff>681318</xdr:colOff>
      <xdr:row>134</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135</xdr:row>
      <xdr:rowOff>143435</xdr:rowOff>
    </xdr:from>
    <xdr:to>
      <xdr:col>4</xdr:col>
      <xdr:colOff>645460</xdr:colOff>
      <xdr:row>136</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135</xdr:row>
      <xdr:rowOff>152400</xdr:rowOff>
    </xdr:from>
    <xdr:to>
      <xdr:col>5</xdr:col>
      <xdr:colOff>1156447</xdr:colOff>
      <xdr:row>137</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155</xdr:row>
      <xdr:rowOff>17930</xdr:rowOff>
    </xdr:from>
    <xdr:to>
      <xdr:col>4</xdr:col>
      <xdr:colOff>762001</xdr:colOff>
      <xdr:row>155</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88</xdr:row>
      <xdr:rowOff>205408</xdr:rowOff>
    </xdr:from>
    <xdr:to>
      <xdr:col>3</xdr:col>
      <xdr:colOff>1351721</xdr:colOff>
      <xdr:row>90</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90</xdr:row>
      <xdr:rowOff>20351</xdr:rowOff>
    </xdr:from>
    <xdr:to>
      <xdr:col>3</xdr:col>
      <xdr:colOff>1364974</xdr:colOff>
      <xdr:row>92</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29</xdr:row>
          <xdr:rowOff>0</xdr:rowOff>
        </xdr:from>
        <xdr:to>
          <xdr:col>3</xdr:col>
          <xdr:colOff>1066800</xdr:colOff>
          <xdr:row>30</xdr:row>
          <xdr:rowOff>0</xdr:rowOff>
        </xdr:to>
        <xdr:sp macro="" textlink="">
          <xdr:nvSpPr>
            <xdr:cNvPr id="1225" name="Check Box 201" descr="H2A default" hidden="1">
              <a:extLst>
                <a:ext uri="{63B3BB69-23CF-44E3-9099-C40C66FF867C}">
                  <a14:compatExt spid="_x0000_s1225"/>
                </a:ext>
                <a:ext uri="{FF2B5EF4-FFF2-40B4-BE49-F238E27FC236}">
                  <a16:creationId xmlns:a16="http://schemas.microsoft.com/office/drawing/2014/main" id="{00000000-0008-0000-0300-0000C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40</xdr:row>
          <xdr:rowOff>200025</xdr:rowOff>
        </xdr:from>
        <xdr:to>
          <xdr:col>3</xdr:col>
          <xdr:colOff>1066800</xdr:colOff>
          <xdr:row>41</xdr:row>
          <xdr:rowOff>200025</xdr:rowOff>
        </xdr:to>
        <xdr:sp macro="" textlink="">
          <xdr:nvSpPr>
            <xdr:cNvPr id="1226" name="Check Box 202" descr="H2A default" hidden="1">
              <a:extLst>
                <a:ext uri="{63B3BB69-23CF-44E3-9099-C40C66FF867C}">
                  <a14:compatExt spid="_x0000_s1226"/>
                </a:ext>
                <a:ext uri="{FF2B5EF4-FFF2-40B4-BE49-F238E27FC236}">
                  <a16:creationId xmlns:a16="http://schemas.microsoft.com/office/drawing/2014/main" id="{00000000-0008-0000-0300-0000C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42</xdr:row>
          <xdr:rowOff>0</xdr:rowOff>
        </xdr:from>
        <xdr:to>
          <xdr:col>3</xdr:col>
          <xdr:colOff>1066800</xdr:colOff>
          <xdr:row>43</xdr:row>
          <xdr:rowOff>0</xdr:rowOff>
        </xdr:to>
        <xdr:sp macro="" textlink="">
          <xdr:nvSpPr>
            <xdr:cNvPr id="1231" name="Check Box 203" descr="H2A default" hidden="1">
              <a:extLst>
                <a:ext uri="{63B3BB69-23CF-44E3-9099-C40C66FF867C}">
                  <a14:compatExt spid="_x0000_s1231"/>
                </a:ext>
                <a:ext uri="{FF2B5EF4-FFF2-40B4-BE49-F238E27FC236}">
                  <a16:creationId xmlns:a16="http://schemas.microsoft.com/office/drawing/2014/main" id="{00000000-0008-0000-0300-0000C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47</xdr:row>
          <xdr:rowOff>209550</xdr:rowOff>
        </xdr:from>
        <xdr:to>
          <xdr:col>3</xdr:col>
          <xdr:colOff>1066800</xdr:colOff>
          <xdr:row>48</xdr:row>
          <xdr:rowOff>209550</xdr:rowOff>
        </xdr:to>
        <xdr:sp macro="" textlink="">
          <xdr:nvSpPr>
            <xdr:cNvPr id="1233" name="Check Box 204" descr="H2A default" hidden="1">
              <a:extLst>
                <a:ext uri="{63B3BB69-23CF-44E3-9099-C40C66FF867C}">
                  <a14:compatExt spid="_x0000_s1233"/>
                </a:ext>
                <a:ext uri="{FF2B5EF4-FFF2-40B4-BE49-F238E27FC236}">
                  <a16:creationId xmlns:a16="http://schemas.microsoft.com/office/drawing/2014/main" id="{00000000-0008-0000-0300-0000D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49</xdr:row>
          <xdr:rowOff>0</xdr:rowOff>
        </xdr:from>
        <xdr:to>
          <xdr:col>3</xdr:col>
          <xdr:colOff>1066800</xdr:colOff>
          <xdr:row>49</xdr:row>
          <xdr:rowOff>212480</xdr:rowOff>
        </xdr:to>
        <xdr:sp macro="" textlink="">
          <xdr:nvSpPr>
            <xdr:cNvPr id="1234" name="Check Box 205" descr="H2A default" hidden="1">
              <a:extLst>
                <a:ext uri="{63B3BB69-23CF-44E3-9099-C40C66FF867C}">
                  <a14:compatExt spid="_x0000_s1234"/>
                </a:ext>
                <a:ext uri="{FF2B5EF4-FFF2-40B4-BE49-F238E27FC236}">
                  <a16:creationId xmlns:a16="http://schemas.microsoft.com/office/drawing/2014/main" id="{00000000-0008-0000-0300-0000D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50</xdr:row>
          <xdr:rowOff>0</xdr:rowOff>
        </xdr:from>
        <xdr:to>
          <xdr:col>3</xdr:col>
          <xdr:colOff>1066800</xdr:colOff>
          <xdr:row>51</xdr:row>
          <xdr:rowOff>0</xdr:rowOff>
        </xdr:to>
        <xdr:sp macro="" textlink="">
          <xdr:nvSpPr>
            <xdr:cNvPr id="1235" name="Check Box 206" descr="H2A default" hidden="1">
              <a:extLst>
                <a:ext uri="{63B3BB69-23CF-44E3-9099-C40C66FF867C}">
                  <a14:compatExt spid="_x0000_s1235"/>
                </a:ext>
                <a:ext uri="{FF2B5EF4-FFF2-40B4-BE49-F238E27FC236}">
                  <a16:creationId xmlns:a16="http://schemas.microsoft.com/office/drawing/2014/main" id="{00000000-0008-0000-0300-0000D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51</xdr:row>
          <xdr:rowOff>0</xdr:rowOff>
        </xdr:from>
        <xdr:to>
          <xdr:col>3</xdr:col>
          <xdr:colOff>1066800</xdr:colOff>
          <xdr:row>52</xdr:row>
          <xdr:rowOff>0</xdr:rowOff>
        </xdr:to>
        <xdr:sp macro="" textlink="">
          <xdr:nvSpPr>
            <xdr:cNvPr id="1236" name="Check Box 207" descr="H2A default" hidden="1">
              <a:extLst>
                <a:ext uri="{63B3BB69-23CF-44E3-9099-C40C66FF867C}">
                  <a14:compatExt spid="_x0000_s1236"/>
                </a:ext>
                <a:ext uri="{FF2B5EF4-FFF2-40B4-BE49-F238E27FC236}">
                  <a16:creationId xmlns:a16="http://schemas.microsoft.com/office/drawing/2014/main" id="{00000000-0008-0000-0300-0000D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52</xdr:row>
          <xdr:rowOff>0</xdr:rowOff>
        </xdr:from>
        <xdr:to>
          <xdr:col>3</xdr:col>
          <xdr:colOff>1066800</xdr:colOff>
          <xdr:row>53</xdr:row>
          <xdr:rowOff>0</xdr:rowOff>
        </xdr:to>
        <xdr:sp macro="" textlink="">
          <xdr:nvSpPr>
            <xdr:cNvPr id="1237" name="Check Box 208" descr="H2A default" hidden="1">
              <a:extLst>
                <a:ext uri="{63B3BB69-23CF-44E3-9099-C40C66FF867C}">
                  <a14:compatExt spid="_x0000_s1237"/>
                </a:ext>
                <a:ext uri="{FF2B5EF4-FFF2-40B4-BE49-F238E27FC236}">
                  <a16:creationId xmlns:a16="http://schemas.microsoft.com/office/drawing/2014/main" id="{00000000-0008-0000-0300-0000D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53</xdr:row>
          <xdr:rowOff>0</xdr:rowOff>
        </xdr:from>
        <xdr:to>
          <xdr:col>3</xdr:col>
          <xdr:colOff>1066800</xdr:colOff>
          <xdr:row>54</xdr:row>
          <xdr:rowOff>0</xdr:rowOff>
        </xdr:to>
        <xdr:sp macro="" textlink="">
          <xdr:nvSpPr>
            <xdr:cNvPr id="1238" name="Check Box 209" descr="H2A default" hidden="1">
              <a:extLst>
                <a:ext uri="{63B3BB69-23CF-44E3-9099-C40C66FF867C}">
                  <a14:compatExt spid="_x0000_s1238"/>
                </a:ext>
                <a:ext uri="{FF2B5EF4-FFF2-40B4-BE49-F238E27FC236}">
                  <a16:creationId xmlns:a16="http://schemas.microsoft.com/office/drawing/2014/main" id="{00000000-0008-0000-0300-0000D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54</xdr:row>
          <xdr:rowOff>190500</xdr:rowOff>
        </xdr:from>
        <xdr:to>
          <xdr:col>3</xdr:col>
          <xdr:colOff>1066800</xdr:colOff>
          <xdr:row>55</xdr:row>
          <xdr:rowOff>190500</xdr:rowOff>
        </xdr:to>
        <xdr:sp macro="" textlink="">
          <xdr:nvSpPr>
            <xdr:cNvPr id="1239" name="Check Box 210" descr="H2A default" hidden="1">
              <a:extLst>
                <a:ext uri="{63B3BB69-23CF-44E3-9099-C40C66FF867C}">
                  <a14:compatExt spid="_x0000_s1239"/>
                </a:ext>
                <a:ext uri="{FF2B5EF4-FFF2-40B4-BE49-F238E27FC236}">
                  <a16:creationId xmlns:a16="http://schemas.microsoft.com/office/drawing/2014/main" id="{00000000-0008-0000-0300-0000D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65</xdr:row>
      <xdr:rowOff>228600</xdr:rowOff>
    </xdr:from>
    <xdr:ext cx="415498" cy="269369"/>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924550" y="14973300"/>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65</xdr:row>
      <xdr:rowOff>228600</xdr:rowOff>
    </xdr:from>
    <xdr:ext cx="1450397" cy="269369"/>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3000375" y="14973300"/>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mc:AlternateContent xmlns:mc="http://schemas.openxmlformats.org/markup-compatibility/2006">
    <mc:Choice xmlns:a14="http://schemas.microsoft.com/office/drawing/2010/main" Requires="a14">
      <xdr:twoCellAnchor editAs="oneCell">
        <xdr:from>
          <xdr:col>3</xdr:col>
          <xdr:colOff>152400</xdr:colOff>
          <xdr:row>115</xdr:row>
          <xdr:rowOff>0</xdr:rowOff>
        </xdr:from>
        <xdr:to>
          <xdr:col>3</xdr:col>
          <xdr:colOff>1066800</xdr:colOff>
          <xdr:row>116</xdr:row>
          <xdr:rowOff>0</xdr:rowOff>
        </xdr:to>
        <xdr:sp macro="" textlink="">
          <xdr:nvSpPr>
            <xdr:cNvPr id="1242" name="Check Box 211" descr="H2A default" hidden="1">
              <a:extLst>
                <a:ext uri="{63B3BB69-23CF-44E3-9099-C40C66FF867C}">
                  <a14:compatExt spid="_x0000_s1242"/>
                </a:ext>
                <a:ext uri="{FF2B5EF4-FFF2-40B4-BE49-F238E27FC236}">
                  <a16:creationId xmlns:a16="http://schemas.microsoft.com/office/drawing/2014/main" id="{00000000-0008-0000-0300-0000D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118</xdr:row>
          <xdr:rowOff>9525</xdr:rowOff>
        </xdr:from>
        <xdr:to>
          <xdr:col>3</xdr:col>
          <xdr:colOff>1066800</xdr:colOff>
          <xdr:row>118</xdr:row>
          <xdr:rowOff>228600</xdr:rowOff>
        </xdr:to>
        <xdr:sp macro="" textlink="">
          <xdr:nvSpPr>
            <xdr:cNvPr id="1243" name="Check Box 212" descr="H2A default" hidden="1">
              <a:extLst>
                <a:ext uri="{63B3BB69-23CF-44E3-9099-C40C66FF867C}">
                  <a14:compatExt spid="_x0000_s1243"/>
                </a:ext>
                <a:ext uri="{FF2B5EF4-FFF2-40B4-BE49-F238E27FC236}">
                  <a16:creationId xmlns:a16="http://schemas.microsoft.com/office/drawing/2014/main" id="{00000000-0008-0000-0300-0000D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132</xdr:row>
      <xdr:rowOff>301869</xdr:rowOff>
    </xdr:from>
    <xdr:ext cx="415498" cy="269369"/>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5919421" y="34152254"/>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132</xdr:row>
      <xdr:rowOff>301869</xdr:rowOff>
    </xdr:from>
    <xdr:ext cx="1450397" cy="269369"/>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998177" y="34152254"/>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0.19752</cdr:x>
      <cdr:y>0.17079</cdr:y>
    </cdr:to>
    <cdr:sp macro="" textlink="'Tornado Charts &amp; Risk Analysis'!$H$155">
      <cdr:nvSpPr>
        <cdr:cNvPr id="3" name="TextBox 2"/>
        <cdr:cNvSpPr txBox="1"/>
      </cdr:nvSpPr>
      <cdr:spPr>
        <a:xfrm xmlns:a="http://schemas.openxmlformats.org/drawingml/2006/main">
          <a:off x="0" y="512904"/>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0.16896</cdr:x>
      <cdr:y>0.22302</cdr:y>
    </cdr:to>
    <cdr:sp macro="" textlink="'Tornado Charts &amp; Risk Analysis'!$H$156">
      <cdr:nvSpPr>
        <cdr:cNvPr id="4" name="TextBox 1"/>
        <cdr:cNvSpPr txBox="1"/>
      </cdr:nvSpPr>
      <cdr:spPr>
        <a:xfrm xmlns:a="http://schemas.openxmlformats.org/drawingml/2006/main">
          <a:off x="0" y="743089"/>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0.18681</cdr:x>
      <cdr:y>0.27404</cdr:y>
    </cdr:to>
    <cdr:sp macro="" textlink="'Tornado Charts &amp; Risk Analysis'!$H$157">
      <cdr:nvSpPr>
        <cdr:cNvPr id="5" name="TextBox 1"/>
        <cdr:cNvSpPr txBox="1"/>
      </cdr:nvSpPr>
      <cdr:spPr>
        <a:xfrm xmlns:a="http://schemas.openxmlformats.org/drawingml/2006/main">
          <a:off x="0" y="967942"/>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0.17965</cdr:x>
      <cdr:y>0.37808</cdr:y>
    </cdr:to>
    <cdr:sp macro="" textlink="'Tornado Charts &amp; Risk Analysis'!$H$159">
      <cdr:nvSpPr>
        <cdr:cNvPr id="6" name="TextBox 1"/>
        <cdr:cNvSpPr txBox="1"/>
      </cdr:nvSpPr>
      <cdr:spPr>
        <a:xfrm xmlns:a="http://schemas.openxmlformats.org/drawingml/2006/main">
          <a:off x="0" y="1426462"/>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0.23323</cdr:x>
      <cdr:y>0.42925</cdr:y>
    </cdr:to>
    <cdr:sp macro="" textlink="'Tornado Charts &amp; Risk Analysis'!$H$160">
      <cdr:nvSpPr>
        <cdr:cNvPr id="7" name="TextBox 1"/>
        <cdr:cNvSpPr txBox="1"/>
      </cdr:nvSpPr>
      <cdr:spPr>
        <a:xfrm xmlns:a="http://schemas.openxmlformats.org/drawingml/2006/main">
          <a:off x="0" y="1651976"/>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0.32966</cdr:x>
      <cdr:y>0.48121</cdr:y>
    </cdr:to>
    <cdr:sp macro="" textlink="'Tornado Charts &amp; Risk Analysis'!$H$161">
      <cdr:nvSpPr>
        <cdr:cNvPr id="8" name="TextBox 1"/>
        <cdr:cNvSpPr txBox="1"/>
      </cdr:nvSpPr>
      <cdr:spPr>
        <a:xfrm xmlns:a="http://schemas.openxmlformats.org/drawingml/2006/main">
          <a:off x="0" y="1880971"/>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0.26533</cdr:x>
      <cdr:y>0.53284</cdr:y>
    </cdr:to>
    <cdr:sp macro="" textlink="'Tornado Charts &amp; Risk Analysis'!$H$162">
      <cdr:nvSpPr>
        <cdr:cNvPr id="9" name="TextBox 1"/>
        <cdr:cNvSpPr txBox="1"/>
      </cdr:nvSpPr>
      <cdr:spPr>
        <a:xfrm xmlns:a="http://schemas.openxmlformats.org/drawingml/2006/main">
          <a:off x="0" y="2108512"/>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0.33917</cdr:x>
      <cdr:y>0.58463</cdr:y>
    </cdr:to>
    <cdr:sp macro="" textlink="'Tornado Charts &amp; Risk Analysis'!$H$163">
      <cdr:nvSpPr>
        <cdr:cNvPr id="10" name="TextBox 1"/>
        <cdr:cNvSpPr txBox="1"/>
      </cdr:nvSpPr>
      <cdr:spPr>
        <a:xfrm xmlns:a="http://schemas.openxmlformats.org/drawingml/2006/main">
          <a:off x="0" y="2336759"/>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0.15348</cdr:x>
      <cdr:y>0.63687</cdr:y>
    </cdr:to>
    <cdr:sp macro="" textlink="'Tornado Charts &amp; Risk Analysis'!$H$164">
      <cdr:nvSpPr>
        <cdr:cNvPr id="11" name="TextBox 1"/>
        <cdr:cNvSpPr txBox="1"/>
      </cdr:nvSpPr>
      <cdr:spPr>
        <a:xfrm xmlns:a="http://schemas.openxmlformats.org/drawingml/2006/main">
          <a:off x="0" y="2566988"/>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0.35461</cdr:x>
      <cdr:y>0.68772</cdr:y>
    </cdr:to>
    <cdr:sp macro="" textlink="'Tornado Charts &amp; Risk Analysis'!$H$165">
      <cdr:nvSpPr>
        <cdr:cNvPr id="12" name="TextBox 1"/>
        <cdr:cNvSpPr txBox="1"/>
      </cdr:nvSpPr>
      <cdr:spPr>
        <a:xfrm xmlns:a="http://schemas.openxmlformats.org/drawingml/2006/main">
          <a:off x="0" y="2791092"/>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0.2844</cdr:x>
      <cdr:y>0.73996</cdr:y>
    </cdr:to>
    <cdr:sp macro="" textlink="'Tornado Charts &amp; Risk Analysis'!$H$166">
      <cdr:nvSpPr>
        <cdr:cNvPr id="13" name="TextBox 1"/>
        <cdr:cNvSpPr txBox="1"/>
      </cdr:nvSpPr>
      <cdr:spPr>
        <a:xfrm xmlns:a="http://schemas.openxmlformats.org/drawingml/2006/main">
          <a:off x="0" y="3021321"/>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0.08917</cdr:x>
      <cdr:y>0.79159</cdr:y>
    </cdr:to>
    <cdr:sp macro="" textlink="'Tornado Charts &amp; Risk Analysis'!$H$167">
      <cdr:nvSpPr>
        <cdr:cNvPr id="14" name="TextBox 1"/>
        <cdr:cNvSpPr txBox="1"/>
      </cdr:nvSpPr>
      <cdr:spPr>
        <a:xfrm xmlns:a="http://schemas.openxmlformats.org/drawingml/2006/main">
          <a:off x="0" y="3248862"/>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0.38439</cdr:x>
      <cdr:y>0.84327</cdr:y>
    </cdr:to>
    <cdr:sp macro="" textlink="'Tornado Charts &amp; Risk Analysis'!$H$168">
      <cdr:nvSpPr>
        <cdr:cNvPr id="15" name="TextBox 1"/>
        <cdr:cNvSpPr txBox="1"/>
      </cdr:nvSpPr>
      <cdr:spPr>
        <a:xfrm xmlns:a="http://schemas.openxmlformats.org/drawingml/2006/main">
          <a:off x="0" y="3476624"/>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0.20345</cdr:x>
      <cdr:y>0.89501</cdr:y>
    </cdr:to>
    <cdr:sp macro="" textlink="'Tornado Charts &amp; Risk Analysis'!$H$169">
      <cdr:nvSpPr>
        <cdr:cNvPr id="16" name="TextBox 1"/>
        <cdr:cNvSpPr txBox="1"/>
      </cdr:nvSpPr>
      <cdr:spPr>
        <a:xfrm xmlns:a="http://schemas.openxmlformats.org/drawingml/2006/main">
          <a:off x="0" y="3704649"/>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0.26056</cdr:x>
      <cdr:y>0.94697</cdr:y>
    </cdr:to>
    <cdr:sp macro="" textlink="'Tornado Charts &amp; Risk Analysis'!$H$170">
      <cdr:nvSpPr>
        <cdr:cNvPr id="17" name="TextBox 1"/>
        <cdr:cNvSpPr txBox="1"/>
      </cdr:nvSpPr>
      <cdr:spPr>
        <a:xfrm xmlns:a="http://schemas.openxmlformats.org/drawingml/2006/main">
          <a:off x="0" y="3933645"/>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180975</xdr:colOff>
          <xdr:row>28</xdr:row>
          <xdr:rowOff>180975</xdr:rowOff>
        </xdr:from>
        <xdr:to>
          <xdr:col>3</xdr:col>
          <xdr:colOff>1095375</xdr:colOff>
          <xdr:row>30</xdr:row>
          <xdr:rowOff>9525</xdr:rowOff>
        </xdr:to>
        <xdr:sp macro="" textlink="">
          <xdr:nvSpPr>
            <xdr:cNvPr id="17596" name="Check Box 301" descr="H2A default" hidden="1">
              <a:extLst>
                <a:ext uri="{63B3BB69-23CF-44E3-9099-C40C66FF867C}">
                  <a14:compatExt spid="_x0000_s17596"/>
                </a:ext>
                <a:ext uri="{FF2B5EF4-FFF2-40B4-BE49-F238E27FC236}">
                  <a16:creationId xmlns:a16="http://schemas.microsoft.com/office/drawing/2014/main" id="{00000000-0008-0000-0700-0000BC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30</xdr:row>
          <xdr:rowOff>47625</xdr:rowOff>
        </xdr:from>
        <xdr:to>
          <xdr:col>3</xdr:col>
          <xdr:colOff>1095375</xdr:colOff>
          <xdr:row>30</xdr:row>
          <xdr:rowOff>257175</xdr:rowOff>
        </xdr:to>
        <xdr:sp macro="" textlink="">
          <xdr:nvSpPr>
            <xdr:cNvPr id="17597" name="Check Box 302" descr="H2A default" hidden="1">
              <a:extLst>
                <a:ext uri="{63B3BB69-23CF-44E3-9099-C40C66FF867C}">
                  <a14:compatExt spid="_x0000_s17597"/>
                </a:ext>
                <a:ext uri="{FF2B5EF4-FFF2-40B4-BE49-F238E27FC236}">
                  <a16:creationId xmlns:a16="http://schemas.microsoft.com/office/drawing/2014/main" id="{00000000-0008-0000-0700-0000BD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31</xdr:row>
          <xdr:rowOff>47625</xdr:rowOff>
        </xdr:from>
        <xdr:to>
          <xdr:col>3</xdr:col>
          <xdr:colOff>1095375</xdr:colOff>
          <xdr:row>31</xdr:row>
          <xdr:rowOff>257175</xdr:rowOff>
        </xdr:to>
        <xdr:sp macro="" textlink="">
          <xdr:nvSpPr>
            <xdr:cNvPr id="17598" name="Check Box 303" descr="H2A default" hidden="1">
              <a:extLst>
                <a:ext uri="{63B3BB69-23CF-44E3-9099-C40C66FF867C}">
                  <a14:compatExt spid="_x0000_s17598"/>
                </a:ext>
                <a:ext uri="{FF2B5EF4-FFF2-40B4-BE49-F238E27FC236}">
                  <a16:creationId xmlns:a16="http://schemas.microsoft.com/office/drawing/2014/main" id="{00000000-0008-0000-0700-0000BE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31</xdr:row>
          <xdr:rowOff>342900</xdr:rowOff>
        </xdr:from>
        <xdr:to>
          <xdr:col>3</xdr:col>
          <xdr:colOff>1095375</xdr:colOff>
          <xdr:row>33</xdr:row>
          <xdr:rowOff>9525</xdr:rowOff>
        </xdr:to>
        <xdr:sp macro="" textlink="">
          <xdr:nvSpPr>
            <xdr:cNvPr id="17599" name="Check Box 304" descr="H2A default" hidden="1">
              <a:extLst>
                <a:ext uri="{63B3BB69-23CF-44E3-9099-C40C66FF867C}">
                  <a14:compatExt spid="_x0000_s17599"/>
                </a:ext>
                <a:ext uri="{FF2B5EF4-FFF2-40B4-BE49-F238E27FC236}">
                  <a16:creationId xmlns:a16="http://schemas.microsoft.com/office/drawing/2014/main" id="{00000000-0008-0000-0700-0000BF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32</xdr:row>
          <xdr:rowOff>171450</xdr:rowOff>
        </xdr:from>
        <xdr:to>
          <xdr:col>3</xdr:col>
          <xdr:colOff>1095375</xdr:colOff>
          <xdr:row>34</xdr:row>
          <xdr:rowOff>9525</xdr:rowOff>
        </xdr:to>
        <xdr:sp macro="" textlink="">
          <xdr:nvSpPr>
            <xdr:cNvPr id="17600" name="Check Box 305" descr="H2A default" hidden="1">
              <a:extLst>
                <a:ext uri="{63B3BB69-23CF-44E3-9099-C40C66FF867C}">
                  <a14:compatExt spid="_x0000_s17600"/>
                </a:ext>
                <a:ext uri="{FF2B5EF4-FFF2-40B4-BE49-F238E27FC236}">
                  <a16:creationId xmlns:a16="http://schemas.microsoft.com/office/drawing/2014/main" id="{00000000-0008-0000-0700-0000C0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33</xdr:row>
          <xdr:rowOff>180975</xdr:rowOff>
        </xdr:from>
        <xdr:to>
          <xdr:col>3</xdr:col>
          <xdr:colOff>1095375</xdr:colOff>
          <xdr:row>35</xdr:row>
          <xdr:rowOff>9525</xdr:rowOff>
        </xdr:to>
        <xdr:sp macro="" textlink="">
          <xdr:nvSpPr>
            <xdr:cNvPr id="17601" name="Check Box 306" descr="H2A default" hidden="1">
              <a:extLst>
                <a:ext uri="{63B3BB69-23CF-44E3-9099-C40C66FF867C}">
                  <a14:compatExt spid="_x0000_s17601"/>
                </a:ext>
                <a:ext uri="{FF2B5EF4-FFF2-40B4-BE49-F238E27FC236}">
                  <a16:creationId xmlns:a16="http://schemas.microsoft.com/office/drawing/2014/main" id="{00000000-0008-0000-0700-0000C1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34</xdr:row>
          <xdr:rowOff>171450</xdr:rowOff>
        </xdr:from>
        <xdr:to>
          <xdr:col>3</xdr:col>
          <xdr:colOff>1095375</xdr:colOff>
          <xdr:row>36</xdr:row>
          <xdr:rowOff>9525</xdr:rowOff>
        </xdr:to>
        <xdr:sp macro="" textlink="">
          <xdr:nvSpPr>
            <xdr:cNvPr id="17602" name="Check Box 307" descr="H2A default" hidden="1">
              <a:extLst>
                <a:ext uri="{63B3BB69-23CF-44E3-9099-C40C66FF867C}">
                  <a14:compatExt spid="_x0000_s17602"/>
                </a:ext>
                <a:ext uri="{FF2B5EF4-FFF2-40B4-BE49-F238E27FC236}">
                  <a16:creationId xmlns:a16="http://schemas.microsoft.com/office/drawing/2014/main" id="{00000000-0008-0000-0700-0000C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35</xdr:row>
          <xdr:rowOff>152400</xdr:rowOff>
        </xdr:from>
        <xdr:to>
          <xdr:col>3</xdr:col>
          <xdr:colOff>1095375</xdr:colOff>
          <xdr:row>37</xdr:row>
          <xdr:rowOff>9525</xdr:rowOff>
        </xdr:to>
        <xdr:sp macro="" textlink="">
          <xdr:nvSpPr>
            <xdr:cNvPr id="17603" name="Check Box 308" descr="H2A default" hidden="1">
              <a:extLst>
                <a:ext uri="{63B3BB69-23CF-44E3-9099-C40C66FF867C}">
                  <a14:compatExt spid="_x0000_s17603"/>
                </a:ext>
                <a:ext uri="{FF2B5EF4-FFF2-40B4-BE49-F238E27FC236}">
                  <a16:creationId xmlns:a16="http://schemas.microsoft.com/office/drawing/2014/main" id="{00000000-0008-0000-0700-0000C3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38</xdr:row>
          <xdr:rowOff>171450</xdr:rowOff>
        </xdr:from>
        <xdr:to>
          <xdr:col>3</xdr:col>
          <xdr:colOff>1095375</xdr:colOff>
          <xdr:row>40</xdr:row>
          <xdr:rowOff>9525</xdr:rowOff>
        </xdr:to>
        <xdr:sp macro="" textlink="">
          <xdr:nvSpPr>
            <xdr:cNvPr id="17604" name="Check Box 309" descr="H2A default" hidden="1">
              <a:extLst>
                <a:ext uri="{63B3BB69-23CF-44E3-9099-C40C66FF867C}">
                  <a14:compatExt spid="_x0000_s17604"/>
                </a:ext>
                <a:ext uri="{FF2B5EF4-FFF2-40B4-BE49-F238E27FC236}">
                  <a16:creationId xmlns:a16="http://schemas.microsoft.com/office/drawing/2014/main" id="{00000000-0008-0000-0700-0000C4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41</xdr:row>
          <xdr:rowOff>171450</xdr:rowOff>
        </xdr:from>
        <xdr:to>
          <xdr:col>3</xdr:col>
          <xdr:colOff>1095375</xdr:colOff>
          <xdr:row>43</xdr:row>
          <xdr:rowOff>9525</xdr:rowOff>
        </xdr:to>
        <xdr:sp macro="" textlink="">
          <xdr:nvSpPr>
            <xdr:cNvPr id="17605" name="Check Box 310" descr="H2A default" hidden="1">
              <a:extLst>
                <a:ext uri="{63B3BB69-23CF-44E3-9099-C40C66FF867C}">
                  <a14:compatExt spid="_x0000_s17605"/>
                </a:ext>
                <a:ext uri="{FF2B5EF4-FFF2-40B4-BE49-F238E27FC236}">
                  <a16:creationId xmlns:a16="http://schemas.microsoft.com/office/drawing/2014/main" id="{00000000-0008-0000-0700-0000C5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42</xdr:row>
          <xdr:rowOff>161925</xdr:rowOff>
        </xdr:from>
        <xdr:to>
          <xdr:col>3</xdr:col>
          <xdr:colOff>1095375</xdr:colOff>
          <xdr:row>44</xdr:row>
          <xdr:rowOff>0</xdr:rowOff>
        </xdr:to>
        <xdr:sp macro="" textlink="">
          <xdr:nvSpPr>
            <xdr:cNvPr id="17606" name="Check Box 311" descr="H2A default" hidden="1">
              <a:extLst>
                <a:ext uri="{63B3BB69-23CF-44E3-9099-C40C66FF867C}">
                  <a14:compatExt spid="_x0000_s17606"/>
                </a:ext>
                <a:ext uri="{FF2B5EF4-FFF2-40B4-BE49-F238E27FC236}">
                  <a16:creationId xmlns:a16="http://schemas.microsoft.com/office/drawing/2014/main" id="{00000000-0008-0000-0700-0000C6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702" y="1595589"/>
          <a:ext cx="6277376"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Fixed Operating Cost</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Other Variable Operating Costs</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Other Raw Material Cost</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Initial Equity Depreciable Capital</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Debt Interest</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Cash for Working Capital Reserve</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Yearly Replacement Costs</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Taxes</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Other Non-Depreciable Capital Costs</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Principal Payment</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Decommissioning Costs</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463318</xdr:colOff>
      <xdr:row>15</xdr:row>
      <xdr:rowOff>105215</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90309</xdr:rowOff>
    </xdr:from>
    <xdr:to>
      <xdr:col>4</xdr:col>
      <xdr:colOff>708466</xdr:colOff>
      <xdr:row>35</xdr:row>
      <xdr:rowOff>11313</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783965</xdr:colOff>
      <xdr:row>11</xdr:row>
      <xdr:rowOff>65060</xdr:rowOff>
    </xdr:from>
    <xdr:to>
      <xdr:col>13</xdr:col>
      <xdr:colOff>113406</xdr:colOff>
      <xdr:row>39</xdr:row>
      <xdr:rowOff>148538</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Operating Capacity Factor
(95%, 90%, 86%)</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Total Capital Investment
($198,051K, $208,474K, $218,898K)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($12,043K, $12,676K, $13,310K)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Plant Design Capacity (kg of H2/day)
(162,998, 155,236, 147,474) </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nrel.gov/" TargetMode="External"/><Relationship Id="rId1" Type="http://schemas.openxmlformats.org/officeDocument/2006/relationships/hyperlink" Target="mailto:mike.penev@nrel.gov"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4"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10.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omments" Target="../comments2.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4"/>
  <sheetViews>
    <sheetView tabSelected="1" workbookViewId="0"/>
  </sheetViews>
  <sheetFormatPr defaultRowHeight="12.75" x14ac:dyDescent="0.2"/>
  <cols>
    <col min="2" max="2" width="36.85546875" customWidth="1"/>
    <col min="3" max="3" width="44.7109375" customWidth="1"/>
    <col min="4" max="4" width="53.85546875" customWidth="1"/>
    <col min="5" max="5" width="126.42578125" customWidth="1"/>
  </cols>
  <sheetData>
    <row r="2" spans="2:4" ht="39" customHeight="1" x14ac:dyDescent="0.45">
      <c r="B2" s="782" t="s">
        <v>407</v>
      </c>
    </row>
    <row r="4" spans="2:4" ht="13.5" thickBot="1" x14ac:dyDescent="0.25"/>
    <row r="5" spans="2:4" ht="26.25" thickTop="1" x14ac:dyDescent="0.2">
      <c r="B5" s="787" t="s">
        <v>211</v>
      </c>
      <c r="C5" s="1243" t="s">
        <v>1403</v>
      </c>
      <c r="D5" s="1246"/>
    </row>
    <row r="6" spans="2:4" x14ac:dyDescent="0.2">
      <c r="B6" s="788" t="s">
        <v>212</v>
      </c>
      <c r="C6" s="1244" t="s">
        <v>1364</v>
      </c>
      <c r="D6" s="1246"/>
    </row>
    <row r="7" spans="2:4" x14ac:dyDescent="0.2">
      <c r="B7" s="788" t="s">
        <v>213</v>
      </c>
      <c r="C7" s="1244" t="s">
        <v>1350</v>
      </c>
      <c r="D7" s="1246"/>
    </row>
    <row r="8" spans="2:4" x14ac:dyDescent="0.2">
      <c r="B8" s="788" t="s">
        <v>214</v>
      </c>
      <c r="C8" s="1244" t="s">
        <v>1351</v>
      </c>
      <c r="D8" s="1246"/>
    </row>
    <row r="9" spans="2:4" x14ac:dyDescent="0.2">
      <c r="B9" s="788" t="s">
        <v>215</v>
      </c>
      <c r="C9" s="973" t="s">
        <v>1352</v>
      </c>
      <c r="D9" s="789"/>
    </row>
    <row r="10" spans="2:4" x14ac:dyDescent="0.2">
      <c r="B10" s="788" t="s">
        <v>216</v>
      </c>
      <c r="C10" s="1244" t="s">
        <v>830</v>
      </c>
      <c r="D10" s="1246"/>
    </row>
    <row r="11" spans="2:4" x14ac:dyDescent="0.2">
      <c r="B11" s="788" t="s">
        <v>217</v>
      </c>
      <c r="C11" s="1245">
        <v>43137</v>
      </c>
      <c r="D11" s="1429"/>
    </row>
    <row r="12" spans="2:4" ht="13.5" thickBot="1" x14ac:dyDescent="0.25">
      <c r="B12" s="790" t="s">
        <v>218</v>
      </c>
      <c r="C12" s="974" t="s">
        <v>1299</v>
      </c>
      <c r="D12" s="1246"/>
    </row>
    <row r="13" spans="2:4" ht="14.25" thickTop="1" thickBot="1" x14ac:dyDescent="0.25">
      <c r="B13" s="791"/>
      <c r="C13" s="1246"/>
      <c r="D13" s="1430"/>
    </row>
    <row r="14" spans="2:4" ht="13.5" thickTop="1" x14ac:dyDescent="0.2">
      <c r="B14" s="787" t="s">
        <v>219</v>
      </c>
      <c r="C14" s="1431">
        <v>155235.80776980406</v>
      </c>
      <c r="D14" s="1432"/>
    </row>
    <row r="15" spans="2:4" x14ac:dyDescent="0.2">
      <c r="B15" s="788" t="s">
        <v>220</v>
      </c>
      <c r="C15" s="1247">
        <v>2015</v>
      </c>
      <c r="D15" s="792"/>
    </row>
    <row r="16" spans="2:4" x14ac:dyDescent="0.2">
      <c r="B16" s="788" t="s">
        <v>221</v>
      </c>
      <c r="C16" s="1186" t="s">
        <v>1365</v>
      </c>
      <c r="D16" s="1432"/>
    </row>
    <row r="17" spans="2:4" x14ac:dyDescent="0.2">
      <c r="B17" s="788" t="s">
        <v>222</v>
      </c>
      <c r="C17" s="1186" t="s">
        <v>1361</v>
      </c>
      <c r="D17" s="1432"/>
    </row>
    <row r="18" spans="2:4" ht="25.5" x14ac:dyDescent="0.2">
      <c r="B18" s="788" t="s">
        <v>223</v>
      </c>
      <c r="C18" s="1186" t="s">
        <v>1366</v>
      </c>
      <c r="D18" s="793"/>
    </row>
    <row r="19" spans="2:4" ht="25.5" x14ac:dyDescent="0.2">
      <c r="B19" s="788" t="s">
        <v>224</v>
      </c>
      <c r="C19" s="1186" t="s">
        <v>1367</v>
      </c>
      <c r="D19" s="1432"/>
    </row>
    <row r="20" spans="2:4" x14ac:dyDescent="0.2">
      <c r="B20" s="788" t="s">
        <v>225</v>
      </c>
      <c r="C20" s="1186" t="s">
        <v>1361</v>
      </c>
      <c r="D20" s="1432"/>
    </row>
    <row r="21" spans="2:4" x14ac:dyDescent="0.2">
      <c r="B21" s="788" t="s">
        <v>226</v>
      </c>
      <c r="C21" s="1186" t="s">
        <v>1361</v>
      </c>
      <c r="D21" s="1432"/>
    </row>
    <row r="22" spans="2:4" ht="25.5" x14ac:dyDescent="0.2">
      <c r="B22" s="794" t="s">
        <v>227</v>
      </c>
      <c r="C22" s="1247" t="s">
        <v>1368</v>
      </c>
      <c r="D22" s="1432"/>
    </row>
    <row r="23" spans="2:4" x14ac:dyDescent="0.2">
      <c r="B23" s="794" t="s">
        <v>228</v>
      </c>
      <c r="C23" s="1186" t="s">
        <v>1361</v>
      </c>
      <c r="D23" s="1432"/>
    </row>
    <row r="24" spans="2:4" ht="13.5" thickBot="1" x14ac:dyDescent="0.25">
      <c r="B24" s="790" t="s">
        <v>229</v>
      </c>
      <c r="C24" s="1248" t="s">
        <v>1369</v>
      </c>
      <c r="D24" s="1432"/>
    </row>
    <row r="25" spans="2:4" ht="14.25" thickTop="1" thickBot="1" x14ac:dyDescent="0.25">
      <c r="B25" s="795"/>
      <c r="C25" s="1432"/>
      <c r="D25" s="1432"/>
    </row>
    <row r="26" spans="2:4" x14ac:dyDescent="0.2">
      <c r="B26" s="1485" t="s">
        <v>230</v>
      </c>
      <c r="C26" s="1486"/>
      <c r="D26" s="1487"/>
    </row>
    <row r="27" spans="2:4" x14ac:dyDescent="0.2">
      <c r="B27" s="1434" t="s">
        <v>231</v>
      </c>
      <c r="C27" s="796" t="s">
        <v>232</v>
      </c>
      <c r="D27" s="1435" t="s">
        <v>1031</v>
      </c>
    </row>
    <row r="28" spans="2:4" x14ac:dyDescent="0.2">
      <c r="B28" s="1436">
        <v>44131</v>
      </c>
      <c r="C28" s="1433" t="s">
        <v>1302</v>
      </c>
      <c r="D28" s="1244" t="s">
        <v>1405</v>
      </c>
    </row>
    <row r="29" spans="2:4" x14ac:dyDescent="0.2">
      <c r="B29" s="1452"/>
      <c r="C29" s="1433"/>
      <c r="D29" s="1244"/>
    </row>
    <row r="30" spans="2:4" x14ac:dyDescent="0.2">
      <c r="B30" s="1452" t="s">
        <v>1301</v>
      </c>
      <c r="C30" s="1433"/>
      <c r="D30" s="1244"/>
    </row>
    <row r="31" spans="2:4" x14ac:dyDescent="0.2">
      <c r="B31" s="1436">
        <v>43137</v>
      </c>
      <c r="C31" s="1433" t="s">
        <v>1302</v>
      </c>
      <c r="D31" s="1244" t="s">
        <v>1303</v>
      </c>
    </row>
    <row r="32" spans="2:4" x14ac:dyDescent="0.2">
      <c r="B32" s="1460" t="s">
        <v>1300</v>
      </c>
      <c r="C32" s="1433"/>
      <c r="D32" s="1244"/>
    </row>
    <row r="33" spans="2:4" x14ac:dyDescent="0.2">
      <c r="B33" s="1461"/>
      <c r="C33" s="1433"/>
      <c r="D33" s="1244"/>
    </row>
    <row r="34" spans="2:4" x14ac:dyDescent="0.2">
      <c r="B34" s="1457">
        <v>39713</v>
      </c>
      <c r="C34" s="1433" t="s">
        <v>1355</v>
      </c>
      <c r="D34" s="1244" t="s">
        <v>831</v>
      </c>
    </row>
    <row r="35" spans="2:4" x14ac:dyDescent="0.2">
      <c r="B35" s="1458">
        <v>39591</v>
      </c>
      <c r="C35" s="1456" t="s">
        <v>1362</v>
      </c>
      <c r="D35" s="1244"/>
    </row>
    <row r="36" spans="2:4" x14ac:dyDescent="0.2">
      <c r="B36" s="1458">
        <v>39520</v>
      </c>
      <c r="C36" s="1456" t="s">
        <v>1356</v>
      </c>
      <c r="D36" s="1244"/>
    </row>
    <row r="37" spans="2:4" x14ac:dyDescent="0.2">
      <c r="B37" s="1462" t="s">
        <v>1363</v>
      </c>
      <c r="C37" s="1456"/>
      <c r="D37" s="1244"/>
    </row>
    <row r="38" spans="2:4" x14ac:dyDescent="0.2">
      <c r="B38" s="1458">
        <v>38875</v>
      </c>
      <c r="C38" s="1456" t="s">
        <v>1357</v>
      </c>
      <c r="D38" s="1244" t="s">
        <v>1358</v>
      </c>
    </row>
    <row r="39" spans="2:4" x14ac:dyDescent="0.2">
      <c r="B39" s="1459">
        <v>38609</v>
      </c>
      <c r="C39" s="1185" t="s">
        <v>832</v>
      </c>
      <c r="D39" s="1244"/>
    </row>
    <row r="40" spans="2:4" x14ac:dyDescent="0.2">
      <c r="B40" s="1437">
        <v>38586</v>
      </c>
      <c r="C40" s="1185" t="s">
        <v>832</v>
      </c>
      <c r="D40" s="1244"/>
    </row>
    <row r="41" spans="2:4" x14ac:dyDescent="0.2">
      <c r="B41" s="1437">
        <v>38530</v>
      </c>
      <c r="C41" s="1185" t="s">
        <v>1359</v>
      </c>
      <c r="D41" s="1244"/>
    </row>
    <row r="42" spans="2:4" x14ac:dyDescent="0.2">
      <c r="B42" s="1437">
        <v>38520</v>
      </c>
      <c r="C42" s="1185" t="s">
        <v>832</v>
      </c>
      <c r="D42" s="1244"/>
    </row>
    <row r="43" spans="2:4" x14ac:dyDescent="0.2">
      <c r="B43" s="1437">
        <v>38406</v>
      </c>
      <c r="C43" s="1185" t="s">
        <v>1360</v>
      </c>
      <c r="D43" s="1244"/>
    </row>
    <row r="44" spans="2:4" ht="13.5" thickBot="1" x14ac:dyDescent="0.25">
      <c r="B44" s="1463">
        <v>38273</v>
      </c>
      <c r="C44" s="1464" t="s">
        <v>832</v>
      </c>
      <c r="D44" s="1465"/>
    </row>
  </sheetData>
  <mergeCells count="1">
    <mergeCell ref="B26:D26"/>
  </mergeCells>
  <phoneticPr fontId="0" type="noConversion"/>
  <hyperlinks>
    <hyperlink ref="C9" r:id="rId1" xr:uid="{F8B944E2-635C-4C31-BB5D-07D882325051}"/>
    <hyperlink ref="C12" r:id="rId2" xr:uid="{FAA3332E-52DB-4203-AAFE-192BEDB8E9A9}"/>
  </hyperlinks>
  <pageMargins left="0.75" right="0.75" top="1" bottom="1" header="0.5" footer="0.5"/>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B86"/>
  <sheetViews>
    <sheetView workbookViewId="0"/>
  </sheetViews>
  <sheetFormatPr defaultRowHeight="12.75" x14ac:dyDescent="0.2"/>
  <cols>
    <col min="2" max="2" width="122" customWidth="1"/>
    <col min="3" max="3" width="12" customWidth="1"/>
    <col min="4" max="4" width="47.42578125" customWidth="1"/>
    <col min="5" max="5" width="17.28515625" customWidth="1"/>
  </cols>
  <sheetData>
    <row r="2" spans="2:2" ht="22.5" x14ac:dyDescent="0.45">
      <c r="B2" s="782" t="s">
        <v>408</v>
      </c>
    </row>
    <row r="6" spans="2:2" x14ac:dyDescent="0.2">
      <c r="B6" s="783" t="s">
        <v>206</v>
      </c>
    </row>
    <row r="7" spans="2:2" x14ac:dyDescent="0.2">
      <c r="B7" s="1249" t="s">
        <v>1370</v>
      </c>
    </row>
    <row r="8" spans="2:2" x14ac:dyDescent="0.2">
      <c r="B8" s="784"/>
    </row>
    <row r="9" spans="2:2" x14ac:dyDescent="0.2">
      <c r="B9" s="784"/>
    </row>
    <row r="10" spans="2:2" x14ac:dyDescent="0.2">
      <c r="B10" s="785" t="s">
        <v>207</v>
      </c>
    </row>
    <row r="11" spans="2:2" ht="51" x14ac:dyDescent="0.2">
      <c r="B11" s="1249" t="s">
        <v>1371</v>
      </c>
    </row>
    <row r="12" spans="2:2" x14ac:dyDescent="0.2">
      <c r="B12" s="209"/>
    </row>
    <row r="13" spans="2:2" x14ac:dyDescent="0.2">
      <c r="B13" s="784"/>
    </row>
    <row r="14" spans="2:2" x14ac:dyDescent="0.2">
      <c r="B14" s="785" t="s">
        <v>208</v>
      </c>
    </row>
    <row r="15" spans="2:2" x14ac:dyDescent="0.2">
      <c r="B15" s="1249" t="s">
        <v>1372</v>
      </c>
    </row>
    <row r="16" spans="2:2" x14ac:dyDescent="0.2">
      <c r="B16" s="784"/>
    </row>
    <row r="17" spans="2:2" x14ac:dyDescent="0.2">
      <c r="B17" s="784"/>
    </row>
    <row r="18" spans="2:2" x14ac:dyDescent="0.2">
      <c r="B18" s="785" t="s">
        <v>209</v>
      </c>
    </row>
    <row r="19" spans="2:2" x14ac:dyDescent="0.2">
      <c r="B19" s="1249" t="s">
        <v>1373</v>
      </c>
    </row>
    <row r="20" spans="2:2" x14ac:dyDescent="0.2">
      <c r="B20" s="784"/>
    </row>
    <row r="21" spans="2:2" x14ac:dyDescent="0.2">
      <c r="B21" s="786" t="s">
        <v>210</v>
      </c>
    </row>
    <row r="22" spans="2:2" ht="127.5" x14ac:dyDescent="0.2">
      <c r="B22" s="975" t="s">
        <v>1374</v>
      </c>
    </row>
    <row r="23" spans="2:2" x14ac:dyDescent="0.2">
      <c r="B23" s="1249"/>
    </row>
    <row r="24" spans="2:2" ht="38.25" x14ac:dyDescent="0.2">
      <c r="B24" s="1249" t="s">
        <v>1375</v>
      </c>
    </row>
    <row r="25" spans="2:2" x14ac:dyDescent="0.2">
      <c r="B25" s="1249"/>
    </row>
    <row r="26" spans="2:2" ht="38.25" x14ac:dyDescent="0.2">
      <c r="B26" s="975" t="s">
        <v>1376</v>
      </c>
    </row>
    <row r="76" ht="81" customHeight="1" x14ac:dyDescent="0.2"/>
    <row r="78" ht="97.5" customHeight="1" x14ac:dyDescent="0.2"/>
    <row r="80" ht="68.25" customHeight="1" x14ac:dyDescent="0.2"/>
    <row r="82" ht="63" customHeight="1" x14ac:dyDescent="0.2"/>
    <row r="84" ht="63.75" customHeight="1" x14ac:dyDescent="0.2"/>
    <row r="86" ht="37.5" customHeight="1" x14ac:dyDescent="0.2"/>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B2:B32"/>
  <sheetViews>
    <sheetView zoomScaleNormal="100" workbookViewId="0"/>
  </sheetViews>
  <sheetFormatPr defaultRowHeight="12.75" x14ac:dyDescent="0.2"/>
  <cols>
    <col min="2" max="2" width="125.28515625" customWidth="1"/>
    <col min="3" max="3" width="12" customWidth="1"/>
    <col min="4" max="4" width="13.85546875" customWidth="1"/>
    <col min="5" max="5" width="17.28515625" customWidth="1"/>
    <col min="6" max="6" width="16.7109375" customWidth="1"/>
    <col min="7" max="7" width="14.28515625" customWidth="1"/>
    <col min="13" max="13" width="38.85546875" customWidth="1"/>
    <col min="14" max="15" width="22.5703125" customWidth="1"/>
    <col min="16" max="16" width="44.42578125" customWidth="1"/>
    <col min="254" max="254" width="10.140625" customWidth="1"/>
    <col min="255" max="255" width="12" customWidth="1"/>
    <col min="256" max="256" width="17.85546875" customWidth="1"/>
    <col min="257" max="257" width="17.28515625" customWidth="1"/>
    <col min="258" max="259" width="31" customWidth="1"/>
    <col min="260" max="263" width="25.140625" customWidth="1"/>
    <col min="510" max="510" width="10.140625" customWidth="1"/>
    <col min="511" max="511" width="12" customWidth="1"/>
    <col min="512" max="512" width="17.85546875" customWidth="1"/>
    <col min="513" max="513" width="17.28515625" customWidth="1"/>
    <col min="514" max="515" width="31" customWidth="1"/>
    <col min="516" max="519" width="25.140625" customWidth="1"/>
    <col min="766" max="766" width="10.140625" customWidth="1"/>
    <col min="767" max="767" width="12" customWidth="1"/>
    <col min="768" max="768" width="17.85546875" customWidth="1"/>
    <col min="769" max="769" width="17.28515625" customWidth="1"/>
    <col min="770" max="771" width="31" customWidth="1"/>
    <col min="772" max="775" width="25.140625" customWidth="1"/>
    <col min="1022" max="1022" width="10.140625" customWidth="1"/>
    <col min="1023" max="1023" width="12" customWidth="1"/>
    <col min="1024" max="1024" width="17.85546875" customWidth="1"/>
    <col min="1025" max="1025" width="17.28515625" customWidth="1"/>
    <col min="1026" max="1027" width="31" customWidth="1"/>
    <col min="1028" max="1031" width="25.140625" customWidth="1"/>
    <col min="1278" max="1278" width="10.140625" customWidth="1"/>
    <col min="1279" max="1279" width="12" customWidth="1"/>
    <col min="1280" max="1280" width="17.85546875" customWidth="1"/>
    <col min="1281" max="1281" width="17.28515625" customWidth="1"/>
    <col min="1282" max="1283" width="31" customWidth="1"/>
    <col min="1284" max="1287" width="25.140625" customWidth="1"/>
    <col min="1534" max="1534" width="10.140625" customWidth="1"/>
    <col min="1535" max="1535" width="12" customWidth="1"/>
    <col min="1536" max="1536" width="17.85546875" customWidth="1"/>
    <col min="1537" max="1537" width="17.28515625" customWidth="1"/>
    <col min="1538" max="1539" width="31" customWidth="1"/>
    <col min="1540" max="1543" width="25.140625" customWidth="1"/>
    <col min="1790" max="1790" width="10.140625" customWidth="1"/>
    <col min="1791" max="1791" width="12" customWidth="1"/>
    <col min="1792" max="1792" width="17.85546875" customWidth="1"/>
    <col min="1793" max="1793" width="17.28515625" customWidth="1"/>
    <col min="1794" max="1795" width="31" customWidth="1"/>
    <col min="1796" max="1799" width="25.140625" customWidth="1"/>
    <col min="2046" max="2046" width="10.140625" customWidth="1"/>
    <col min="2047" max="2047" width="12" customWidth="1"/>
    <col min="2048" max="2048" width="17.85546875" customWidth="1"/>
    <col min="2049" max="2049" width="17.28515625" customWidth="1"/>
    <col min="2050" max="2051" width="31" customWidth="1"/>
    <col min="2052" max="2055" width="25.140625" customWidth="1"/>
    <col min="2302" max="2302" width="10.140625" customWidth="1"/>
    <col min="2303" max="2303" width="12" customWidth="1"/>
    <col min="2304" max="2304" width="17.85546875" customWidth="1"/>
    <col min="2305" max="2305" width="17.28515625" customWidth="1"/>
    <col min="2306" max="2307" width="31" customWidth="1"/>
    <col min="2308" max="2311" width="25.140625" customWidth="1"/>
    <col min="2558" max="2558" width="10.140625" customWidth="1"/>
    <col min="2559" max="2559" width="12" customWidth="1"/>
    <col min="2560" max="2560" width="17.85546875" customWidth="1"/>
    <col min="2561" max="2561" width="17.28515625" customWidth="1"/>
    <col min="2562" max="2563" width="31" customWidth="1"/>
    <col min="2564" max="2567" width="25.140625" customWidth="1"/>
    <col min="2814" max="2814" width="10.140625" customWidth="1"/>
    <col min="2815" max="2815" width="12" customWidth="1"/>
    <col min="2816" max="2816" width="17.85546875" customWidth="1"/>
    <col min="2817" max="2817" width="17.28515625" customWidth="1"/>
    <col min="2818" max="2819" width="31" customWidth="1"/>
    <col min="2820" max="2823" width="25.140625" customWidth="1"/>
    <col min="3070" max="3070" width="10.140625" customWidth="1"/>
    <col min="3071" max="3071" width="12" customWidth="1"/>
    <col min="3072" max="3072" width="17.85546875" customWidth="1"/>
    <col min="3073" max="3073" width="17.28515625" customWidth="1"/>
    <col min="3074" max="3075" width="31" customWidth="1"/>
    <col min="3076" max="3079" width="25.140625" customWidth="1"/>
    <col min="3326" max="3326" width="10.140625" customWidth="1"/>
    <col min="3327" max="3327" width="12" customWidth="1"/>
    <col min="3328" max="3328" width="17.85546875" customWidth="1"/>
    <col min="3329" max="3329" width="17.28515625" customWidth="1"/>
    <col min="3330" max="3331" width="31" customWidth="1"/>
    <col min="3332" max="3335" width="25.140625" customWidth="1"/>
    <col min="3582" max="3582" width="10.140625" customWidth="1"/>
    <col min="3583" max="3583" width="12" customWidth="1"/>
    <col min="3584" max="3584" width="17.85546875" customWidth="1"/>
    <col min="3585" max="3585" width="17.28515625" customWidth="1"/>
    <col min="3586" max="3587" width="31" customWidth="1"/>
    <col min="3588" max="3591" width="25.140625" customWidth="1"/>
    <col min="3838" max="3838" width="10.140625" customWidth="1"/>
    <col min="3839" max="3839" width="12" customWidth="1"/>
    <col min="3840" max="3840" width="17.85546875" customWidth="1"/>
    <col min="3841" max="3841" width="17.28515625" customWidth="1"/>
    <col min="3842" max="3843" width="31" customWidth="1"/>
    <col min="3844" max="3847" width="25.140625" customWidth="1"/>
    <col min="4094" max="4094" width="10.140625" customWidth="1"/>
    <col min="4095" max="4095" width="12" customWidth="1"/>
    <col min="4096" max="4096" width="17.85546875" customWidth="1"/>
    <col min="4097" max="4097" width="17.28515625" customWidth="1"/>
    <col min="4098" max="4099" width="31" customWidth="1"/>
    <col min="4100" max="4103" width="25.140625" customWidth="1"/>
    <col min="4350" max="4350" width="10.140625" customWidth="1"/>
    <col min="4351" max="4351" width="12" customWidth="1"/>
    <col min="4352" max="4352" width="17.85546875" customWidth="1"/>
    <col min="4353" max="4353" width="17.28515625" customWidth="1"/>
    <col min="4354" max="4355" width="31" customWidth="1"/>
    <col min="4356" max="4359" width="25.140625" customWidth="1"/>
    <col min="4606" max="4606" width="10.140625" customWidth="1"/>
    <col min="4607" max="4607" width="12" customWidth="1"/>
    <col min="4608" max="4608" width="17.85546875" customWidth="1"/>
    <col min="4609" max="4609" width="17.28515625" customWidth="1"/>
    <col min="4610" max="4611" width="31" customWidth="1"/>
    <col min="4612" max="4615" width="25.140625" customWidth="1"/>
    <col min="4862" max="4862" width="10.140625" customWidth="1"/>
    <col min="4863" max="4863" width="12" customWidth="1"/>
    <col min="4864" max="4864" width="17.85546875" customWidth="1"/>
    <col min="4865" max="4865" width="17.28515625" customWidth="1"/>
    <col min="4866" max="4867" width="31" customWidth="1"/>
    <col min="4868" max="4871" width="25.140625" customWidth="1"/>
    <col min="5118" max="5118" width="10.140625" customWidth="1"/>
    <col min="5119" max="5119" width="12" customWidth="1"/>
    <col min="5120" max="5120" width="17.85546875" customWidth="1"/>
    <col min="5121" max="5121" width="17.28515625" customWidth="1"/>
    <col min="5122" max="5123" width="31" customWidth="1"/>
    <col min="5124" max="5127" width="25.140625" customWidth="1"/>
    <col min="5374" max="5374" width="10.140625" customWidth="1"/>
    <col min="5375" max="5375" width="12" customWidth="1"/>
    <col min="5376" max="5376" width="17.85546875" customWidth="1"/>
    <col min="5377" max="5377" width="17.28515625" customWidth="1"/>
    <col min="5378" max="5379" width="31" customWidth="1"/>
    <col min="5380" max="5383" width="25.140625" customWidth="1"/>
    <col min="5630" max="5630" width="10.140625" customWidth="1"/>
    <col min="5631" max="5631" width="12" customWidth="1"/>
    <col min="5632" max="5632" width="17.85546875" customWidth="1"/>
    <col min="5633" max="5633" width="17.28515625" customWidth="1"/>
    <col min="5634" max="5635" width="31" customWidth="1"/>
    <col min="5636" max="5639" width="25.140625" customWidth="1"/>
    <col min="5886" max="5886" width="10.140625" customWidth="1"/>
    <col min="5887" max="5887" width="12" customWidth="1"/>
    <col min="5888" max="5888" width="17.85546875" customWidth="1"/>
    <col min="5889" max="5889" width="17.28515625" customWidth="1"/>
    <col min="5890" max="5891" width="31" customWidth="1"/>
    <col min="5892" max="5895" width="25.140625" customWidth="1"/>
    <col min="6142" max="6142" width="10.140625" customWidth="1"/>
    <col min="6143" max="6143" width="12" customWidth="1"/>
    <col min="6144" max="6144" width="17.85546875" customWidth="1"/>
    <col min="6145" max="6145" width="17.28515625" customWidth="1"/>
    <col min="6146" max="6147" width="31" customWidth="1"/>
    <col min="6148" max="6151" width="25.140625" customWidth="1"/>
    <col min="6398" max="6398" width="10.140625" customWidth="1"/>
    <col min="6399" max="6399" width="12" customWidth="1"/>
    <col min="6400" max="6400" width="17.85546875" customWidth="1"/>
    <col min="6401" max="6401" width="17.28515625" customWidth="1"/>
    <col min="6402" max="6403" width="31" customWidth="1"/>
    <col min="6404" max="6407" width="25.140625" customWidth="1"/>
    <col min="6654" max="6654" width="10.140625" customWidth="1"/>
    <col min="6655" max="6655" width="12" customWidth="1"/>
    <col min="6656" max="6656" width="17.85546875" customWidth="1"/>
    <col min="6657" max="6657" width="17.28515625" customWidth="1"/>
    <col min="6658" max="6659" width="31" customWidth="1"/>
    <col min="6660" max="6663" width="25.140625" customWidth="1"/>
    <col min="6910" max="6910" width="10.140625" customWidth="1"/>
    <col min="6911" max="6911" width="12" customWidth="1"/>
    <col min="6912" max="6912" width="17.85546875" customWidth="1"/>
    <col min="6913" max="6913" width="17.28515625" customWidth="1"/>
    <col min="6914" max="6915" width="31" customWidth="1"/>
    <col min="6916" max="6919" width="25.140625" customWidth="1"/>
    <col min="7166" max="7166" width="10.140625" customWidth="1"/>
    <col min="7167" max="7167" width="12" customWidth="1"/>
    <col min="7168" max="7168" width="17.85546875" customWidth="1"/>
    <col min="7169" max="7169" width="17.28515625" customWidth="1"/>
    <col min="7170" max="7171" width="31" customWidth="1"/>
    <col min="7172" max="7175" width="25.140625" customWidth="1"/>
    <col min="7422" max="7422" width="10.140625" customWidth="1"/>
    <col min="7423" max="7423" width="12" customWidth="1"/>
    <col min="7424" max="7424" width="17.85546875" customWidth="1"/>
    <col min="7425" max="7425" width="17.28515625" customWidth="1"/>
    <col min="7426" max="7427" width="31" customWidth="1"/>
    <col min="7428" max="7431" width="25.140625" customWidth="1"/>
    <col min="7678" max="7678" width="10.140625" customWidth="1"/>
    <col min="7679" max="7679" width="12" customWidth="1"/>
    <col min="7680" max="7680" width="17.85546875" customWidth="1"/>
    <col min="7681" max="7681" width="17.28515625" customWidth="1"/>
    <col min="7682" max="7683" width="31" customWidth="1"/>
    <col min="7684" max="7687" width="25.140625" customWidth="1"/>
    <col min="7934" max="7934" width="10.140625" customWidth="1"/>
    <col min="7935" max="7935" width="12" customWidth="1"/>
    <col min="7936" max="7936" width="17.85546875" customWidth="1"/>
    <col min="7937" max="7937" width="17.28515625" customWidth="1"/>
    <col min="7938" max="7939" width="31" customWidth="1"/>
    <col min="7940" max="7943" width="25.140625" customWidth="1"/>
    <col min="8190" max="8190" width="10.140625" customWidth="1"/>
    <col min="8191" max="8191" width="12" customWidth="1"/>
    <col min="8192" max="8192" width="17.85546875" customWidth="1"/>
    <col min="8193" max="8193" width="17.28515625" customWidth="1"/>
    <col min="8194" max="8195" width="31" customWidth="1"/>
    <col min="8196" max="8199" width="25.140625" customWidth="1"/>
    <col min="8446" max="8446" width="10.140625" customWidth="1"/>
    <col min="8447" max="8447" width="12" customWidth="1"/>
    <col min="8448" max="8448" width="17.85546875" customWidth="1"/>
    <col min="8449" max="8449" width="17.28515625" customWidth="1"/>
    <col min="8450" max="8451" width="31" customWidth="1"/>
    <col min="8452" max="8455" width="25.140625" customWidth="1"/>
    <col min="8702" max="8702" width="10.140625" customWidth="1"/>
    <col min="8703" max="8703" width="12" customWidth="1"/>
    <col min="8704" max="8704" width="17.85546875" customWidth="1"/>
    <col min="8705" max="8705" width="17.28515625" customWidth="1"/>
    <col min="8706" max="8707" width="31" customWidth="1"/>
    <col min="8708" max="8711" width="25.140625" customWidth="1"/>
    <col min="8958" max="8958" width="10.140625" customWidth="1"/>
    <col min="8959" max="8959" width="12" customWidth="1"/>
    <col min="8960" max="8960" width="17.85546875" customWidth="1"/>
    <col min="8961" max="8961" width="17.28515625" customWidth="1"/>
    <col min="8962" max="8963" width="31" customWidth="1"/>
    <col min="8964" max="8967" width="25.140625" customWidth="1"/>
    <col min="9214" max="9214" width="10.140625" customWidth="1"/>
    <col min="9215" max="9215" width="12" customWidth="1"/>
    <col min="9216" max="9216" width="17.85546875" customWidth="1"/>
    <col min="9217" max="9217" width="17.28515625" customWidth="1"/>
    <col min="9218" max="9219" width="31" customWidth="1"/>
    <col min="9220" max="9223" width="25.140625" customWidth="1"/>
    <col min="9470" max="9470" width="10.140625" customWidth="1"/>
    <col min="9471" max="9471" width="12" customWidth="1"/>
    <col min="9472" max="9472" width="17.85546875" customWidth="1"/>
    <col min="9473" max="9473" width="17.28515625" customWidth="1"/>
    <col min="9474" max="9475" width="31" customWidth="1"/>
    <col min="9476" max="9479" width="25.140625" customWidth="1"/>
    <col min="9726" max="9726" width="10.140625" customWidth="1"/>
    <col min="9727" max="9727" width="12" customWidth="1"/>
    <col min="9728" max="9728" width="17.85546875" customWidth="1"/>
    <col min="9729" max="9729" width="17.28515625" customWidth="1"/>
    <col min="9730" max="9731" width="31" customWidth="1"/>
    <col min="9732" max="9735" width="25.140625" customWidth="1"/>
    <col min="9982" max="9982" width="10.140625" customWidth="1"/>
    <col min="9983" max="9983" width="12" customWidth="1"/>
    <col min="9984" max="9984" width="17.85546875" customWidth="1"/>
    <col min="9985" max="9985" width="17.28515625" customWidth="1"/>
    <col min="9986" max="9987" width="31" customWidth="1"/>
    <col min="9988" max="9991" width="25.140625" customWidth="1"/>
    <col min="10238" max="10238" width="10.140625" customWidth="1"/>
    <col min="10239" max="10239" width="12" customWidth="1"/>
    <col min="10240" max="10240" width="17.85546875" customWidth="1"/>
    <col min="10241" max="10241" width="17.28515625" customWidth="1"/>
    <col min="10242" max="10243" width="31" customWidth="1"/>
    <col min="10244" max="10247" width="25.140625" customWidth="1"/>
    <col min="10494" max="10494" width="10.140625" customWidth="1"/>
    <col min="10495" max="10495" width="12" customWidth="1"/>
    <col min="10496" max="10496" width="17.85546875" customWidth="1"/>
    <col min="10497" max="10497" width="17.28515625" customWidth="1"/>
    <col min="10498" max="10499" width="31" customWidth="1"/>
    <col min="10500" max="10503" width="25.140625" customWidth="1"/>
    <col min="10750" max="10750" width="10.140625" customWidth="1"/>
    <col min="10751" max="10751" width="12" customWidth="1"/>
    <col min="10752" max="10752" width="17.85546875" customWidth="1"/>
    <col min="10753" max="10753" width="17.28515625" customWidth="1"/>
    <col min="10754" max="10755" width="31" customWidth="1"/>
    <col min="10756" max="10759" width="25.140625" customWidth="1"/>
    <col min="11006" max="11006" width="10.140625" customWidth="1"/>
    <col min="11007" max="11007" width="12" customWidth="1"/>
    <col min="11008" max="11008" width="17.85546875" customWidth="1"/>
    <col min="11009" max="11009" width="17.28515625" customWidth="1"/>
    <col min="11010" max="11011" width="31" customWidth="1"/>
    <col min="11012" max="11015" width="25.140625" customWidth="1"/>
    <col min="11262" max="11262" width="10.140625" customWidth="1"/>
    <col min="11263" max="11263" width="12" customWidth="1"/>
    <col min="11264" max="11264" width="17.85546875" customWidth="1"/>
    <col min="11265" max="11265" width="17.28515625" customWidth="1"/>
    <col min="11266" max="11267" width="31" customWidth="1"/>
    <col min="11268" max="11271" width="25.140625" customWidth="1"/>
    <col min="11518" max="11518" width="10.140625" customWidth="1"/>
    <col min="11519" max="11519" width="12" customWidth="1"/>
    <col min="11520" max="11520" width="17.85546875" customWidth="1"/>
    <col min="11521" max="11521" width="17.28515625" customWidth="1"/>
    <col min="11522" max="11523" width="31" customWidth="1"/>
    <col min="11524" max="11527" width="25.140625" customWidth="1"/>
    <col min="11774" max="11774" width="10.140625" customWidth="1"/>
    <col min="11775" max="11775" width="12" customWidth="1"/>
    <col min="11776" max="11776" width="17.85546875" customWidth="1"/>
    <col min="11777" max="11777" width="17.28515625" customWidth="1"/>
    <col min="11778" max="11779" width="31" customWidth="1"/>
    <col min="11780" max="11783" width="25.140625" customWidth="1"/>
    <col min="12030" max="12030" width="10.140625" customWidth="1"/>
    <col min="12031" max="12031" width="12" customWidth="1"/>
    <col min="12032" max="12032" width="17.85546875" customWidth="1"/>
    <col min="12033" max="12033" width="17.28515625" customWidth="1"/>
    <col min="12034" max="12035" width="31" customWidth="1"/>
    <col min="12036" max="12039" width="25.140625" customWidth="1"/>
    <col min="12286" max="12286" width="10.140625" customWidth="1"/>
    <col min="12287" max="12287" width="12" customWidth="1"/>
    <col min="12288" max="12288" width="17.85546875" customWidth="1"/>
    <col min="12289" max="12289" width="17.28515625" customWidth="1"/>
    <col min="12290" max="12291" width="31" customWidth="1"/>
    <col min="12292" max="12295" width="25.140625" customWidth="1"/>
    <col min="12542" max="12542" width="10.140625" customWidth="1"/>
    <col min="12543" max="12543" width="12" customWidth="1"/>
    <col min="12544" max="12544" width="17.85546875" customWidth="1"/>
    <col min="12545" max="12545" width="17.28515625" customWidth="1"/>
    <col min="12546" max="12547" width="31" customWidth="1"/>
    <col min="12548" max="12551" width="25.140625" customWidth="1"/>
    <col min="12798" max="12798" width="10.140625" customWidth="1"/>
    <col min="12799" max="12799" width="12" customWidth="1"/>
    <col min="12800" max="12800" width="17.85546875" customWidth="1"/>
    <col min="12801" max="12801" width="17.28515625" customWidth="1"/>
    <col min="12802" max="12803" width="31" customWidth="1"/>
    <col min="12804" max="12807" width="25.140625" customWidth="1"/>
    <col min="13054" max="13054" width="10.140625" customWidth="1"/>
    <col min="13055" max="13055" width="12" customWidth="1"/>
    <col min="13056" max="13056" width="17.85546875" customWidth="1"/>
    <col min="13057" max="13057" width="17.28515625" customWidth="1"/>
    <col min="13058" max="13059" width="31" customWidth="1"/>
    <col min="13060" max="13063" width="25.140625" customWidth="1"/>
    <col min="13310" max="13310" width="10.140625" customWidth="1"/>
    <col min="13311" max="13311" width="12" customWidth="1"/>
    <col min="13312" max="13312" width="17.85546875" customWidth="1"/>
    <col min="13313" max="13313" width="17.28515625" customWidth="1"/>
    <col min="13314" max="13315" width="31" customWidth="1"/>
    <col min="13316" max="13319" width="25.140625" customWidth="1"/>
    <col min="13566" max="13566" width="10.140625" customWidth="1"/>
    <col min="13567" max="13567" width="12" customWidth="1"/>
    <col min="13568" max="13568" width="17.85546875" customWidth="1"/>
    <col min="13569" max="13569" width="17.28515625" customWidth="1"/>
    <col min="13570" max="13571" width="31" customWidth="1"/>
    <col min="13572" max="13575" width="25.140625" customWidth="1"/>
    <col min="13822" max="13822" width="10.140625" customWidth="1"/>
    <col min="13823" max="13823" width="12" customWidth="1"/>
    <col min="13824" max="13824" width="17.85546875" customWidth="1"/>
    <col min="13825" max="13825" width="17.28515625" customWidth="1"/>
    <col min="13826" max="13827" width="31" customWidth="1"/>
    <col min="13828" max="13831" width="25.140625" customWidth="1"/>
    <col min="14078" max="14078" width="10.140625" customWidth="1"/>
    <col min="14079" max="14079" width="12" customWidth="1"/>
    <col min="14080" max="14080" width="17.85546875" customWidth="1"/>
    <col min="14081" max="14081" width="17.28515625" customWidth="1"/>
    <col min="14082" max="14083" width="31" customWidth="1"/>
    <col min="14084" max="14087" width="25.140625" customWidth="1"/>
    <col min="14334" max="14334" width="10.140625" customWidth="1"/>
    <col min="14335" max="14335" width="12" customWidth="1"/>
    <col min="14336" max="14336" width="17.85546875" customWidth="1"/>
    <col min="14337" max="14337" width="17.28515625" customWidth="1"/>
    <col min="14338" max="14339" width="31" customWidth="1"/>
    <col min="14340" max="14343" width="25.140625" customWidth="1"/>
    <col min="14590" max="14590" width="10.140625" customWidth="1"/>
    <col min="14591" max="14591" width="12" customWidth="1"/>
    <col min="14592" max="14592" width="17.85546875" customWidth="1"/>
    <col min="14593" max="14593" width="17.28515625" customWidth="1"/>
    <col min="14594" max="14595" width="31" customWidth="1"/>
    <col min="14596" max="14599" width="25.140625" customWidth="1"/>
    <col min="14846" max="14846" width="10.140625" customWidth="1"/>
    <col min="14847" max="14847" width="12" customWidth="1"/>
    <col min="14848" max="14848" width="17.85546875" customWidth="1"/>
    <col min="14849" max="14849" width="17.28515625" customWidth="1"/>
    <col min="14850" max="14851" width="31" customWidth="1"/>
    <col min="14852" max="14855" width="25.140625" customWidth="1"/>
    <col min="15102" max="15102" width="10.140625" customWidth="1"/>
    <col min="15103" max="15103" width="12" customWidth="1"/>
    <col min="15104" max="15104" width="17.85546875" customWidth="1"/>
    <col min="15105" max="15105" width="17.28515625" customWidth="1"/>
    <col min="15106" max="15107" width="31" customWidth="1"/>
    <col min="15108" max="15111" width="25.140625" customWidth="1"/>
    <col min="15358" max="15358" width="10.140625" customWidth="1"/>
    <col min="15359" max="15359" width="12" customWidth="1"/>
    <col min="15360" max="15360" width="17.85546875" customWidth="1"/>
    <col min="15361" max="15361" width="17.28515625" customWidth="1"/>
    <col min="15362" max="15363" width="31" customWidth="1"/>
    <col min="15364" max="15367" width="25.140625" customWidth="1"/>
    <col min="15614" max="15614" width="10.140625" customWidth="1"/>
    <col min="15615" max="15615" width="12" customWidth="1"/>
    <col min="15616" max="15616" width="17.85546875" customWidth="1"/>
    <col min="15617" max="15617" width="17.28515625" customWidth="1"/>
    <col min="15618" max="15619" width="31" customWidth="1"/>
    <col min="15620" max="15623" width="25.140625" customWidth="1"/>
    <col min="15870" max="15870" width="10.140625" customWidth="1"/>
    <col min="15871" max="15871" width="12" customWidth="1"/>
    <col min="15872" max="15872" width="17.85546875" customWidth="1"/>
    <col min="15873" max="15873" width="17.28515625" customWidth="1"/>
    <col min="15874" max="15875" width="31" customWidth="1"/>
    <col min="15876" max="15879" width="25.140625" customWidth="1"/>
    <col min="16126" max="16126" width="10.140625" customWidth="1"/>
    <col min="16127" max="16127" width="12" customWidth="1"/>
    <col min="16128" max="16128" width="17.85546875" customWidth="1"/>
    <col min="16129" max="16129" width="17.28515625" customWidth="1"/>
    <col min="16130" max="16131" width="31" customWidth="1"/>
    <col min="16132" max="16135" width="25.140625" customWidth="1"/>
  </cols>
  <sheetData>
    <row r="2" spans="2:2" ht="22.5" x14ac:dyDescent="0.45">
      <c r="B2" s="782" t="s">
        <v>409</v>
      </c>
    </row>
    <row r="6" spans="2:2" x14ac:dyDescent="0.2">
      <c r="B6" s="783" t="s">
        <v>204</v>
      </c>
    </row>
    <row r="7" spans="2:2" ht="89.25" x14ac:dyDescent="0.2">
      <c r="B7" s="1466" t="s">
        <v>1377</v>
      </c>
    </row>
    <row r="8" spans="2:2" x14ac:dyDescent="0.2">
      <c r="B8" s="1467"/>
    </row>
    <row r="9" spans="2:2" ht="76.5" x14ac:dyDescent="0.2">
      <c r="B9" s="1467" t="s">
        <v>1378</v>
      </c>
    </row>
    <row r="10" spans="2:2" x14ac:dyDescent="0.2">
      <c r="B10" s="1467"/>
    </row>
    <row r="11" spans="2:2" ht="89.25" x14ac:dyDescent="0.2">
      <c r="B11" s="1467" t="s">
        <v>1379</v>
      </c>
    </row>
    <row r="12" spans="2:2" x14ac:dyDescent="0.2">
      <c r="B12" s="1467"/>
    </row>
    <row r="13" spans="2:2" ht="102" x14ac:dyDescent="0.2">
      <c r="B13" s="1467" t="s">
        <v>1380</v>
      </c>
    </row>
    <row r="14" spans="2:2" x14ac:dyDescent="0.2">
      <c r="B14" s="1467"/>
    </row>
    <row r="15" spans="2:2" ht="38.25" x14ac:dyDescent="0.2">
      <c r="B15" s="1468" t="s">
        <v>1381</v>
      </c>
    </row>
    <row r="16" spans="2:2" x14ac:dyDescent="0.2">
      <c r="B16" s="784"/>
    </row>
    <row r="17" spans="2:2" x14ac:dyDescent="0.2">
      <c r="B17" s="784"/>
    </row>
    <row r="18" spans="2:2" x14ac:dyDescent="0.2">
      <c r="B18" s="784"/>
    </row>
    <row r="19" spans="2:2" x14ac:dyDescent="0.2">
      <c r="B19" s="784"/>
    </row>
    <row r="20" spans="2:2" x14ac:dyDescent="0.2">
      <c r="B20" s="784"/>
    </row>
    <row r="21" spans="2:2" x14ac:dyDescent="0.2">
      <c r="B21" s="784"/>
    </row>
    <row r="22" spans="2:2" x14ac:dyDescent="0.2">
      <c r="B22" s="784"/>
    </row>
    <row r="23" spans="2:2" x14ac:dyDescent="0.2">
      <c r="B23" s="784"/>
    </row>
    <row r="24" spans="2:2" x14ac:dyDescent="0.2">
      <c r="B24" s="784"/>
    </row>
    <row r="25" spans="2:2" x14ac:dyDescent="0.2">
      <c r="B25" s="784"/>
    </row>
    <row r="26" spans="2:2" x14ac:dyDescent="0.2">
      <c r="B26" s="784"/>
    </row>
    <row r="27" spans="2:2" x14ac:dyDescent="0.2">
      <c r="B27" s="784"/>
    </row>
    <row r="28" spans="2:2" x14ac:dyDescent="0.2">
      <c r="B28" s="784"/>
    </row>
    <row r="29" spans="2:2" x14ac:dyDescent="0.2">
      <c r="B29" s="785" t="s">
        <v>205</v>
      </c>
    </row>
    <row r="30" spans="2:2" x14ac:dyDescent="0.2">
      <c r="B30" s="1249"/>
    </row>
    <row r="31" spans="2:2" x14ac:dyDescent="0.2">
      <c r="B31" s="209"/>
    </row>
    <row r="32" spans="2:2" x14ac:dyDescent="0.2">
      <c r="B32" s="784"/>
    </row>
  </sheetData>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7"/>
  <sheetViews>
    <sheetView zoomScaleNormal="100" workbookViewId="0">
      <pane ySplit="7" topLeftCell="A59" activePane="bottomLeft" state="frozen"/>
      <selection pane="bottomLeft"/>
    </sheetView>
  </sheetViews>
  <sheetFormatPr defaultColWidth="9.140625" defaultRowHeight="12.75" x14ac:dyDescent="0.2"/>
  <cols>
    <col min="1" max="1" width="4.42578125" style="464" customWidth="1"/>
    <col min="2" max="2" width="62.85546875" style="29" customWidth="1"/>
    <col min="3" max="3" width="21.140625" style="29" customWidth="1"/>
    <col min="4" max="4" width="20.140625" style="29" customWidth="1"/>
    <col min="5" max="5" width="24.28515625" style="29" customWidth="1"/>
    <col min="6" max="6" width="21.85546875" style="29" customWidth="1"/>
    <col min="7" max="7" width="16.28515625" style="29" customWidth="1"/>
    <col min="8" max="8" width="33.7109375" style="29" bestFit="1" customWidth="1"/>
    <col min="9" max="9" width="38" style="29" bestFit="1" customWidth="1"/>
    <col min="10" max="10" width="47.28515625" style="29" customWidth="1"/>
    <col min="11" max="11" width="18.42578125" style="29" customWidth="1"/>
    <col min="12" max="16384" width="9.140625" style="29"/>
  </cols>
  <sheetData>
    <row r="1" spans="1:8" ht="8.4499999999999993" customHeight="1" thickBot="1" x14ac:dyDescent="0.25">
      <c r="A1" s="966"/>
    </row>
    <row r="2" spans="1:8" ht="27" customHeight="1" thickBot="1" x14ac:dyDescent="0.25">
      <c r="A2" s="465"/>
      <c r="B2" s="1505" t="s">
        <v>1402</v>
      </c>
      <c r="C2" s="1506"/>
      <c r="D2" s="1506"/>
      <c r="E2" s="1507"/>
      <c r="F2" s="1507"/>
      <c r="G2" s="1508"/>
    </row>
    <row r="3" spans="1:8" ht="19.899999999999999" customHeight="1" thickBot="1" x14ac:dyDescent="0.25">
      <c r="A3" s="465" t="s">
        <v>1043</v>
      </c>
      <c r="B3" s="1509" t="s">
        <v>1400</v>
      </c>
      <c r="C3" s="1510"/>
      <c r="D3" s="1511"/>
      <c r="E3" s="318"/>
      <c r="F3" s="319"/>
      <c r="G3" s="320"/>
    </row>
    <row r="4" spans="1:8" ht="6.6" customHeight="1" thickBot="1" x14ac:dyDescent="0.25">
      <c r="A4" s="465"/>
      <c r="B4" s="504"/>
      <c r="C4" s="505"/>
      <c r="D4" s="1512"/>
      <c r="E4" s="1512"/>
      <c r="F4" s="496"/>
      <c r="G4" s="497"/>
    </row>
    <row r="5" spans="1:8" ht="23.25" thickTop="1" x14ac:dyDescent="0.2">
      <c r="A5" s="465"/>
      <c r="B5" s="776" t="s">
        <v>1068</v>
      </c>
      <c r="C5" s="777"/>
      <c r="D5" s="778"/>
      <c r="E5" s="778"/>
      <c r="F5" s="499"/>
      <c r="G5" s="501"/>
    </row>
    <row r="6" spans="1:8" ht="21" customHeight="1" x14ac:dyDescent="0.2">
      <c r="A6" s="465"/>
      <c r="B6" s="1225" t="s">
        <v>203</v>
      </c>
      <c r="C6" s="505"/>
      <c r="D6" s="1181"/>
      <c r="E6" s="1181"/>
      <c r="F6" s="496"/>
      <c r="G6" s="497"/>
    </row>
    <row r="7" spans="1:8" ht="20.25" x14ac:dyDescent="0.2">
      <c r="A7" s="465"/>
      <c r="B7" s="1226"/>
      <c r="C7" s="505"/>
      <c r="D7" s="772"/>
      <c r="E7" s="772"/>
      <c r="F7" s="496"/>
      <c r="G7" s="497"/>
    </row>
    <row r="8" spans="1:8" ht="29.25" customHeight="1" x14ac:dyDescent="0.2">
      <c r="A8" s="465"/>
      <c r="B8" s="1225" t="s">
        <v>198</v>
      </c>
      <c r="C8" s="505"/>
      <c r="D8" s="1108"/>
      <c r="E8" s="1108"/>
      <c r="F8" s="496"/>
      <c r="G8" s="497"/>
    </row>
    <row r="9" spans="1:8" ht="20.25" x14ac:dyDescent="0.2">
      <c r="A9" s="465"/>
      <c r="B9" s="1226"/>
      <c r="C9" s="505"/>
      <c r="D9" s="505"/>
      <c r="E9" s="505"/>
      <c r="F9" s="496"/>
      <c r="G9" s="497"/>
    </row>
    <row r="10" spans="1:8" ht="20.25" x14ac:dyDescent="0.2">
      <c r="A10" s="465"/>
      <c r="B10" s="1225" t="s">
        <v>197</v>
      </c>
      <c r="C10" s="505"/>
      <c r="D10" s="505"/>
      <c r="E10" s="505"/>
      <c r="F10" s="496"/>
      <c r="G10" s="497"/>
    </row>
    <row r="11" spans="1:8" ht="20.25" x14ac:dyDescent="0.2">
      <c r="A11" s="465"/>
      <c r="B11" s="504"/>
      <c r="C11" s="505"/>
      <c r="D11" s="505"/>
      <c r="E11" s="505"/>
      <c r="F11" s="496"/>
      <c r="G11" s="497"/>
    </row>
    <row r="12" spans="1:8" ht="20.25" x14ac:dyDescent="0.2">
      <c r="A12" s="465"/>
      <c r="B12" s="504"/>
      <c r="C12" s="505"/>
      <c r="D12" s="505"/>
      <c r="E12" s="505"/>
      <c r="F12" s="496"/>
      <c r="G12" s="497"/>
    </row>
    <row r="13" spans="1:8" ht="20.25" x14ac:dyDescent="0.2">
      <c r="A13" s="465"/>
      <c r="B13" s="504"/>
      <c r="C13" s="505"/>
      <c r="D13" s="505"/>
      <c r="E13" s="505"/>
      <c r="F13" s="496"/>
      <c r="G13" s="497"/>
    </row>
    <row r="14" spans="1:8" ht="20.25" x14ac:dyDescent="0.2">
      <c r="A14" s="465"/>
      <c r="B14" s="812" t="s">
        <v>322</v>
      </c>
      <c r="C14" s="505"/>
      <c r="D14" s="505"/>
      <c r="E14" s="505"/>
      <c r="F14" s="505"/>
      <c r="G14" s="497"/>
    </row>
    <row r="15" spans="1:8" ht="20.25" x14ac:dyDescent="0.2">
      <c r="A15" s="465"/>
      <c r="B15" s="812" t="s">
        <v>372</v>
      </c>
      <c r="C15" s="505"/>
      <c r="D15" s="505"/>
      <c r="E15" s="505"/>
      <c r="F15" s="505"/>
      <c r="G15" s="497"/>
    </row>
    <row r="16" spans="1:8" ht="20.25" x14ac:dyDescent="0.2">
      <c r="A16" s="465"/>
      <c r="B16" s="812" t="s">
        <v>143</v>
      </c>
      <c r="C16" s="505"/>
      <c r="D16" s="505"/>
      <c r="E16" s="505"/>
      <c r="F16" s="505"/>
      <c r="G16" s="497"/>
      <c r="H16" s="1177" t="s">
        <v>1179</v>
      </c>
    </row>
    <row r="17" spans="1:8" ht="20.25" x14ac:dyDescent="0.2">
      <c r="A17" s="465"/>
      <c r="B17" s="812" t="s">
        <v>952</v>
      </c>
      <c r="C17" s="505"/>
      <c r="D17" s="505"/>
      <c r="E17" s="505"/>
      <c r="F17" s="505"/>
      <c r="G17" s="497"/>
      <c r="H17" s="1178">
        <f ca="1">+NPV</f>
        <v>7.0926901178497249E-7</v>
      </c>
    </row>
    <row r="18" spans="1:8" ht="20.25" x14ac:dyDescent="0.2">
      <c r="A18" s="465"/>
      <c r="B18" s="812" t="s">
        <v>354</v>
      </c>
      <c r="C18" s="505"/>
      <c r="D18" s="505"/>
      <c r="E18" s="505"/>
      <c r="F18" s="505"/>
      <c r="G18" s="497"/>
    </row>
    <row r="19" spans="1:8" ht="20.25" x14ac:dyDescent="0.2">
      <c r="A19" s="465"/>
      <c r="B19" s="812" t="s">
        <v>953</v>
      </c>
      <c r="C19" s="505"/>
      <c r="D19" s="505"/>
      <c r="E19" s="505"/>
      <c r="F19" s="505"/>
      <c r="G19" s="497"/>
    </row>
    <row r="20" spans="1:8" ht="20.25" x14ac:dyDescent="0.2">
      <c r="A20" s="465"/>
      <c r="B20" s="812" t="s">
        <v>954</v>
      </c>
      <c r="C20" s="505"/>
      <c r="D20" s="505"/>
      <c r="E20" s="505"/>
      <c r="F20" s="505"/>
      <c r="G20" s="497"/>
    </row>
    <row r="21" spans="1:8" ht="5.45" customHeight="1" x14ac:dyDescent="0.2">
      <c r="A21" s="465"/>
      <c r="B21" s="811"/>
      <c r="C21" s="505"/>
      <c r="D21" s="772"/>
      <c r="E21" s="772"/>
      <c r="F21" s="496"/>
      <c r="G21" s="497"/>
    </row>
    <row r="22" spans="1:8" ht="5.45" customHeight="1" x14ac:dyDescent="0.2">
      <c r="A22" s="465"/>
      <c r="E22" s="772"/>
      <c r="F22" s="496"/>
      <c r="G22" s="497"/>
    </row>
    <row r="23" spans="1:8" ht="5.45" customHeight="1" thickBot="1" x14ac:dyDescent="0.25">
      <c r="A23" s="465"/>
      <c r="B23" s="504"/>
      <c r="C23" s="505"/>
      <c r="D23" s="772"/>
      <c r="E23" s="772"/>
      <c r="F23" s="496"/>
      <c r="G23" s="497"/>
    </row>
    <row r="24" spans="1:8" ht="31.5" customHeight="1" thickTop="1" thickBot="1" x14ac:dyDescent="0.25">
      <c r="A24" s="465"/>
      <c r="B24" s="498" t="s">
        <v>322</v>
      </c>
      <c r="C24" s="500"/>
      <c r="D24" s="500"/>
      <c r="E24" s="1516" t="s">
        <v>441</v>
      </c>
      <c r="F24" s="1516"/>
      <c r="G24" s="1517"/>
    </row>
    <row r="25" spans="1:8" ht="17.100000000000001" customHeight="1" thickBot="1" x14ac:dyDescent="0.25">
      <c r="A25" s="465" t="s">
        <v>8</v>
      </c>
      <c r="B25" s="321" t="s">
        <v>334</v>
      </c>
      <c r="C25" s="837">
        <f ca="1">0.9*sensitivity_01</f>
        <v>0.9</v>
      </c>
      <c r="D25" s="471"/>
      <c r="E25" s="1518"/>
      <c r="F25" s="1518"/>
      <c r="G25" s="1519"/>
    </row>
    <row r="26" spans="1:8" ht="17.100000000000001" customHeight="1" thickBot="1" x14ac:dyDescent="0.25">
      <c r="A26" s="465" t="s">
        <v>26</v>
      </c>
      <c r="B26" s="321" t="s">
        <v>335</v>
      </c>
      <c r="C26" s="556">
        <f ca="1">155236*sensitivity_02</f>
        <v>155236</v>
      </c>
      <c r="D26" s="471"/>
      <c r="E26" s="1518"/>
      <c r="F26" s="1518"/>
      <c r="G26" s="1519"/>
    </row>
    <row r="27" spans="1:8" ht="17.100000000000001" customHeight="1" thickBot="1" x14ac:dyDescent="0.25">
      <c r="A27" s="465"/>
      <c r="B27" s="321" t="s">
        <v>430</v>
      </c>
      <c r="C27" s="838">
        <f ca="1">design_cap*cap_factor</f>
        <v>139712.4</v>
      </c>
      <c r="D27" s="471"/>
      <c r="E27" s="242"/>
      <c r="F27" s="242"/>
      <c r="G27" s="553"/>
    </row>
    <row r="28" spans="1:8" ht="17.100000000000001" customHeight="1" thickBot="1" x14ac:dyDescent="0.25">
      <c r="A28" s="465" t="s">
        <v>1010</v>
      </c>
      <c r="B28" s="321" t="s">
        <v>20</v>
      </c>
      <c r="C28" s="502">
        <f ca="1">output_kgpday*365</f>
        <v>50995026</v>
      </c>
      <c r="D28" s="471"/>
      <c r="E28" s="1520"/>
      <c r="F28" s="1518"/>
      <c r="G28" s="1519"/>
    </row>
    <row r="29" spans="1:8" ht="20.100000000000001" customHeight="1" thickTop="1" thickBot="1" x14ac:dyDescent="0.25">
      <c r="A29" s="465"/>
      <c r="B29" s="498" t="s">
        <v>372</v>
      </c>
      <c r="C29" s="500"/>
      <c r="D29" s="503"/>
      <c r="E29" s="1516" t="s">
        <v>1100</v>
      </c>
      <c r="F29" s="1516"/>
      <c r="G29" s="1517"/>
    </row>
    <row r="30" spans="1:8" ht="17.100000000000001" customHeight="1" thickBot="1" x14ac:dyDescent="0.25">
      <c r="A30" s="465" t="s">
        <v>1026</v>
      </c>
      <c r="B30" s="322" t="s">
        <v>1027</v>
      </c>
      <c r="C30" s="1250">
        <v>2016</v>
      </c>
      <c r="D30" s="1478"/>
      <c r="E30" s="1513"/>
      <c r="F30" s="1513"/>
      <c r="G30" s="1502"/>
    </row>
    <row r="31" spans="1:8" ht="17.100000000000001" customHeight="1" thickBot="1" x14ac:dyDescent="0.25">
      <c r="A31" s="465" t="s">
        <v>182</v>
      </c>
      <c r="B31" s="321" t="s">
        <v>373</v>
      </c>
      <c r="C31" s="1250">
        <v>2015</v>
      </c>
      <c r="D31" s="471"/>
      <c r="E31" s="1513"/>
      <c r="F31" s="1513"/>
      <c r="G31" s="1502"/>
    </row>
    <row r="32" spans="1:8" ht="17.100000000000001" customHeight="1" thickBot="1" x14ac:dyDescent="0.25">
      <c r="A32" s="465"/>
      <c r="B32" s="321" t="s">
        <v>842</v>
      </c>
      <c r="C32" s="839">
        <v>2005</v>
      </c>
      <c r="D32" s="1514" t="s">
        <v>1099</v>
      </c>
      <c r="E32" s="984"/>
      <c r="F32" s="984"/>
      <c r="G32" s="985"/>
    </row>
    <row r="33" spans="1:7" ht="17.100000000000001" customHeight="1" thickBot="1" x14ac:dyDescent="0.25">
      <c r="A33" s="465" t="s">
        <v>10</v>
      </c>
      <c r="B33" s="321" t="s">
        <v>374</v>
      </c>
      <c r="C33" s="839">
        <v>3</v>
      </c>
      <c r="D33" s="1514"/>
      <c r="E33" s="1521"/>
      <c r="F33" s="1521"/>
      <c r="G33" s="1522"/>
    </row>
    <row r="34" spans="1:7" ht="17.100000000000001" customHeight="1" thickBot="1" x14ac:dyDescent="0.25">
      <c r="A34" s="465" t="s">
        <v>161</v>
      </c>
      <c r="B34" s="321" t="s">
        <v>946</v>
      </c>
      <c r="C34" s="840">
        <v>0.08</v>
      </c>
      <c r="D34" s="968"/>
      <c r="E34" s="1513"/>
      <c r="F34" s="1513"/>
      <c r="G34" s="1502"/>
    </row>
    <row r="35" spans="1:7" ht="17.100000000000001" customHeight="1" thickBot="1" x14ac:dyDescent="0.25">
      <c r="A35" s="465" t="s">
        <v>162</v>
      </c>
      <c r="B35" s="321" t="s">
        <v>375</v>
      </c>
      <c r="C35" s="840">
        <v>0.6</v>
      </c>
      <c r="D35" s="968"/>
      <c r="E35" s="1513"/>
      <c r="F35" s="1513"/>
      <c r="G35" s="1502"/>
    </row>
    <row r="36" spans="1:7" ht="17.100000000000001" customHeight="1" thickBot="1" x14ac:dyDescent="0.25">
      <c r="A36" s="465" t="s">
        <v>163</v>
      </c>
      <c r="B36" s="323" t="s">
        <v>376</v>
      </c>
      <c r="C36" s="840">
        <v>0.32</v>
      </c>
      <c r="D36" s="968"/>
      <c r="E36" s="1513"/>
      <c r="F36" s="1513"/>
      <c r="G36" s="1502"/>
    </row>
    <row r="37" spans="1:7" ht="17.100000000000001" customHeight="1" thickBot="1" x14ac:dyDescent="0.25">
      <c r="A37" s="465" t="s">
        <v>164</v>
      </c>
      <c r="B37" s="323" t="s">
        <v>323</v>
      </c>
      <c r="C37" s="840"/>
      <c r="D37" s="471"/>
      <c r="E37" s="1513"/>
      <c r="F37" s="1513"/>
      <c r="G37" s="1502"/>
    </row>
    <row r="38" spans="1:7" ht="17.100000000000001" customHeight="1" thickBot="1" x14ac:dyDescent="0.25">
      <c r="A38" s="465" t="s">
        <v>181</v>
      </c>
      <c r="B38" s="321" t="s">
        <v>378</v>
      </c>
      <c r="C38" s="839">
        <v>1</v>
      </c>
      <c r="D38" s="471"/>
      <c r="E38" s="1513"/>
      <c r="F38" s="1513"/>
      <c r="G38" s="1502"/>
    </row>
    <row r="39" spans="1:7" ht="17.100000000000001" customHeight="1" thickBot="1" x14ac:dyDescent="0.25">
      <c r="A39" s="465" t="s">
        <v>170</v>
      </c>
      <c r="B39" s="321" t="s">
        <v>379</v>
      </c>
      <c r="C39" s="839">
        <v>40</v>
      </c>
      <c r="D39" s="471"/>
      <c r="E39" s="1513"/>
      <c r="F39" s="1513"/>
      <c r="G39" s="1502"/>
    </row>
    <row r="40" spans="1:7" ht="17.100000000000001" customHeight="1" thickBot="1" x14ac:dyDescent="0.25">
      <c r="A40" s="465" t="s">
        <v>7</v>
      </c>
      <c r="B40" s="321" t="s">
        <v>380</v>
      </c>
      <c r="C40" s="839">
        <v>40</v>
      </c>
      <c r="D40" s="471"/>
      <c r="E40" s="1513"/>
      <c r="F40" s="1513"/>
      <c r="G40" s="1502"/>
    </row>
    <row r="41" spans="1:7" ht="17.100000000000001" customHeight="1" thickBot="1" x14ac:dyDescent="0.25">
      <c r="A41" s="465" t="s">
        <v>24</v>
      </c>
      <c r="B41" s="321" t="s">
        <v>381</v>
      </c>
      <c r="C41" s="839">
        <v>20</v>
      </c>
      <c r="D41" s="471"/>
      <c r="E41" s="1513"/>
      <c r="F41" s="1513"/>
      <c r="G41" s="1502"/>
    </row>
    <row r="42" spans="1:7" ht="17.100000000000001" customHeight="1" thickBot="1" x14ac:dyDescent="0.25">
      <c r="A42" s="465" t="s">
        <v>25</v>
      </c>
      <c r="B42" s="321" t="s">
        <v>389</v>
      </c>
      <c r="C42" s="1479" t="s">
        <v>438</v>
      </c>
      <c r="D42" s="471"/>
      <c r="E42" s="1513"/>
      <c r="F42" s="1513"/>
      <c r="G42" s="1502"/>
    </row>
    <row r="43" spans="1:7" ht="17.100000000000001" customHeight="1" thickBot="1" x14ac:dyDescent="0.25">
      <c r="A43" s="465" t="s">
        <v>247</v>
      </c>
      <c r="B43" s="321" t="s">
        <v>19</v>
      </c>
      <c r="C43" s="841">
        <v>0.4</v>
      </c>
      <c r="D43" s="471"/>
      <c r="E43" s="1513"/>
      <c r="F43" s="1513"/>
      <c r="G43" s="1502"/>
    </row>
    <row r="44" spans="1:7" ht="17.100000000000001" customHeight="1" thickBot="1" x14ac:dyDescent="0.25">
      <c r="A44" s="465" t="s">
        <v>13</v>
      </c>
      <c r="B44" s="321" t="s">
        <v>388</v>
      </c>
      <c r="C44" s="1428">
        <v>3.6999999999999998E-2</v>
      </c>
      <c r="D44" s="471"/>
      <c r="E44" s="1515"/>
      <c r="F44" s="1513"/>
      <c r="G44" s="1502"/>
    </row>
    <row r="45" spans="1:7" ht="17.100000000000001" customHeight="1" thickBot="1" x14ac:dyDescent="0.25">
      <c r="A45" s="465" t="s">
        <v>14</v>
      </c>
      <c r="B45" s="321" t="s">
        <v>382</v>
      </c>
      <c r="C45" s="1470">
        <v>0</v>
      </c>
      <c r="D45" s="471"/>
      <c r="E45" s="1515" t="s">
        <v>1401</v>
      </c>
      <c r="F45" s="1515"/>
      <c r="G45" s="1488"/>
    </row>
    <row r="46" spans="1:7" ht="17.100000000000001" customHeight="1" thickBot="1" x14ac:dyDescent="0.25">
      <c r="A46" s="465" t="s">
        <v>165</v>
      </c>
      <c r="B46" s="321" t="s">
        <v>383</v>
      </c>
      <c r="C46" s="840">
        <v>1</v>
      </c>
      <c r="D46" s="471"/>
      <c r="E46" s="1513"/>
      <c r="F46" s="1513"/>
      <c r="G46" s="1502"/>
    </row>
    <row r="47" spans="1:7" ht="17.100000000000001" customHeight="1" thickBot="1" x14ac:dyDescent="0.25">
      <c r="A47" s="465" t="s">
        <v>167</v>
      </c>
      <c r="B47" s="321" t="s">
        <v>384</v>
      </c>
      <c r="C47" s="840">
        <v>0.5</v>
      </c>
      <c r="D47" s="471"/>
      <c r="E47" s="1513"/>
      <c r="F47" s="1513"/>
      <c r="G47" s="1502"/>
    </row>
    <row r="48" spans="1:7" ht="17.100000000000001" customHeight="1" thickBot="1" x14ac:dyDescent="0.25">
      <c r="A48" s="465" t="s">
        <v>168</v>
      </c>
      <c r="B48" s="321" t="s">
        <v>385</v>
      </c>
      <c r="C48" s="840">
        <v>0.75</v>
      </c>
      <c r="D48" s="471"/>
      <c r="E48" s="1513"/>
      <c r="F48" s="1513"/>
      <c r="G48" s="1502"/>
    </row>
    <row r="49" spans="1:7" ht="17.100000000000001" customHeight="1" thickBot="1" x14ac:dyDescent="0.25">
      <c r="A49" s="465" t="s">
        <v>18</v>
      </c>
      <c r="B49" s="321" t="s">
        <v>386</v>
      </c>
      <c r="C49" s="840">
        <v>0.1</v>
      </c>
      <c r="D49" s="471"/>
      <c r="E49" s="1513"/>
      <c r="F49" s="1513"/>
      <c r="G49" s="1502"/>
    </row>
    <row r="50" spans="1:7" ht="17.100000000000001" customHeight="1" thickBot="1" x14ac:dyDescent="0.25">
      <c r="A50" s="465" t="s">
        <v>178</v>
      </c>
      <c r="B50" s="321" t="s">
        <v>387</v>
      </c>
      <c r="C50" s="840">
        <v>0.1</v>
      </c>
      <c r="D50" s="471"/>
      <c r="E50" s="1513"/>
      <c r="F50" s="1513"/>
      <c r="G50" s="1502"/>
    </row>
    <row r="51" spans="1:7" ht="17.100000000000001" customHeight="1" thickBot="1" x14ac:dyDescent="0.25">
      <c r="A51" s="465" t="s">
        <v>30</v>
      </c>
      <c r="B51" s="321" t="s">
        <v>979</v>
      </c>
      <c r="C51" s="837">
        <v>1.9E-2</v>
      </c>
      <c r="D51" s="471"/>
      <c r="E51" s="1513"/>
      <c r="F51" s="1513"/>
      <c r="G51" s="1502"/>
    </row>
    <row r="52" spans="1:7" ht="17.100000000000001" customHeight="1" thickBot="1" x14ac:dyDescent="0.25">
      <c r="A52" s="465" t="s">
        <v>174</v>
      </c>
      <c r="B52" s="321" t="s">
        <v>1021</v>
      </c>
      <c r="C52" s="837">
        <f ca="1">0.08*sensitivity_03</f>
        <v>0.08</v>
      </c>
      <c r="D52" s="471"/>
      <c r="E52" s="1515"/>
      <c r="F52" s="1513"/>
      <c r="G52" s="1502"/>
    </row>
    <row r="53" spans="1:7" ht="17.100000000000001" customHeight="1" thickBot="1" x14ac:dyDescent="0.25">
      <c r="A53" s="465" t="s">
        <v>184</v>
      </c>
      <c r="B53" s="321" t="s">
        <v>1022</v>
      </c>
      <c r="C53" s="837">
        <v>0.06</v>
      </c>
      <c r="D53" s="471"/>
      <c r="E53" s="1513"/>
      <c r="F53" s="1513"/>
      <c r="G53" s="1502"/>
    </row>
    <row r="54" spans="1:7" ht="17.100000000000001" customHeight="1" thickBot="1" x14ac:dyDescent="0.25">
      <c r="A54" s="465" t="s">
        <v>28</v>
      </c>
      <c r="B54" s="321" t="s">
        <v>978</v>
      </c>
      <c r="C54" s="470">
        <v>0.21</v>
      </c>
      <c r="D54" s="471"/>
      <c r="E54" s="1513"/>
      <c r="F54" s="1513"/>
      <c r="G54" s="1502"/>
    </row>
    <row r="55" spans="1:7" ht="17.100000000000001" customHeight="1" thickBot="1" x14ac:dyDescent="0.25">
      <c r="A55" s="465" t="s">
        <v>1018</v>
      </c>
      <c r="B55" s="321" t="s">
        <v>21</v>
      </c>
      <c r="C55" s="842">
        <f>fed_tax_rate+state_tax_rate*(1-fed_tax_rate)</f>
        <v>0.25739999999999996</v>
      </c>
      <c r="D55" s="472"/>
      <c r="E55" s="1524"/>
      <c r="F55" s="1513"/>
      <c r="G55" s="1502"/>
    </row>
    <row r="56" spans="1:7" ht="17.100000000000001" customHeight="1" thickBot="1" x14ac:dyDescent="0.25">
      <c r="A56" s="465" t="s">
        <v>189</v>
      </c>
      <c r="B56" s="321" t="s">
        <v>371</v>
      </c>
      <c r="C56" s="473">
        <v>0.15</v>
      </c>
      <c r="D56" s="471"/>
      <c r="E56" s="1513"/>
      <c r="F56" s="1513"/>
      <c r="G56" s="1502"/>
    </row>
    <row r="57" spans="1:7" ht="18.75" customHeight="1" thickTop="1" x14ac:dyDescent="0.25">
      <c r="A57" s="465"/>
      <c r="B57" s="506" t="s">
        <v>1044</v>
      </c>
      <c r="C57" s="814"/>
      <c r="D57" s="809"/>
      <c r="E57" s="809"/>
      <c r="F57" s="809"/>
      <c r="G57" s="810"/>
    </row>
    <row r="58" spans="1:7" ht="21" customHeight="1" thickBot="1" x14ac:dyDescent="0.25">
      <c r="A58" s="465"/>
      <c r="B58" s="432" t="s">
        <v>275</v>
      </c>
      <c r="C58" s="490"/>
      <c r="D58" s="434"/>
      <c r="E58" s="433"/>
      <c r="F58" s="433"/>
      <c r="G58" s="435"/>
    </row>
    <row r="59" spans="1:7" ht="23.25" customHeight="1" thickBot="1" x14ac:dyDescent="0.25">
      <c r="A59" s="465"/>
      <c r="B59" s="476" t="s">
        <v>1291</v>
      </c>
      <c r="C59" s="490"/>
      <c r="D59" s="434"/>
      <c r="E59" s="433"/>
      <c r="F59" s="1523" t="s">
        <v>714</v>
      </c>
      <c r="G59" s="435"/>
    </row>
    <row r="60" spans="1:7" ht="18.75" customHeight="1" thickBot="1" x14ac:dyDescent="0.25">
      <c r="A60" s="465"/>
      <c r="B60" s="432" t="s">
        <v>696</v>
      </c>
      <c r="C60" s="433"/>
      <c r="D60" s="434"/>
      <c r="E60" s="433"/>
      <c r="F60" s="1523"/>
      <c r="G60" s="435"/>
    </row>
    <row r="61" spans="1:7" ht="17.100000000000001" customHeight="1" thickBot="1" x14ac:dyDescent="0.25">
      <c r="A61" s="465"/>
      <c r="B61" s="476" t="s">
        <v>1384</v>
      </c>
      <c r="C61" s="436" t="str">
        <f>IF(OR(TMP_FeedType="Feedstock",TMP_FeedType = "Utility")," Enter usage in","Enter production in")</f>
        <v xml:space="preserve"> Enter usage in</v>
      </c>
      <c r="D61" s="436" t="str">
        <f ca="1">VLOOKUP(TMP_FeedName,INDIRECT(TMP_PriceTable),4,FALSE)</f>
        <v>kWh</v>
      </c>
      <c r="E61" s="433"/>
      <c r="F61" s="1523"/>
      <c r="G61" s="435"/>
    </row>
    <row r="62" spans="1:7" ht="17.100000000000001" customHeight="1" thickBot="1" x14ac:dyDescent="0.25">
      <c r="A62" s="465"/>
      <c r="B62" s="432" t="s">
        <v>697</v>
      </c>
      <c r="C62" s="436"/>
      <c r="D62" s="436"/>
      <c r="E62" s="433"/>
      <c r="F62" s="1523"/>
      <c r="G62" s="435"/>
    </row>
    <row r="63" spans="1:7" ht="17.100000000000001" customHeight="1" thickBot="1" x14ac:dyDescent="0.25">
      <c r="A63" s="465"/>
      <c r="B63" s="1179" t="s">
        <v>683</v>
      </c>
      <c r="C63" s="434"/>
      <c r="D63" s="434"/>
      <c r="E63" s="433"/>
      <c r="F63" s="1523"/>
      <c r="G63" s="435"/>
    </row>
    <row r="64" spans="1:7" ht="17.100000000000001" customHeight="1" thickBot="1" x14ac:dyDescent="0.25">
      <c r="A64" s="465"/>
      <c r="B64" s="873"/>
      <c r="C64" s="434"/>
      <c r="D64" s="434"/>
      <c r="E64" s="433"/>
      <c r="F64" s="1523"/>
      <c r="G64" s="435"/>
    </row>
    <row r="65" spans="1:8" ht="37.5" customHeight="1" thickBot="1" x14ac:dyDescent="0.25">
      <c r="A65" s="465"/>
      <c r="B65" s="445" t="str">
        <f>SELECTED_FEED</f>
        <v>utility</v>
      </c>
      <c r="C65" s="547" t="str">
        <f>TMP_FeedName</f>
        <v>Commercial Electricity</v>
      </c>
      <c r="D65" s="548"/>
      <c r="E65" s="438"/>
      <c r="F65" s="1523"/>
      <c r="G65" s="435"/>
    </row>
    <row r="66" spans="1:8" ht="18.95" customHeight="1" thickBot="1" x14ac:dyDescent="0.25">
      <c r="A66" s="465"/>
      <c r="B66" s="446" t="str">
        <f ca="1">"Price Conversion Factor (GJ/"&amp;TMP_Units&amp;")"</f>
        <v>Price Conversion Factor (GJ/kWh)</v>
      </c>
      <c r="C66" s="457">
        <f ca="1">VLOOKUP(TMP_FeedName,MASTER_PROPERTY_TABLE,9,FALSE)</f>
        <v>3.5999999999999995E-3</v>
      </c>
      <c r="D66" s="439"/>
      <c r="E66" s="438"/>
      <c r="F66" s="1523"/>
      <c r="G66" s="435"/>
    </row>
    <row r="67" spans="1:8" ht="18.95" customHeight="1" thickBot="1" x14ac:dyDescent="0.25">
      <c r="A67" s="465"/>
      <c r="B67" s="818" t="str">
        <f ca="1">"Price in Startup Year ($" &amp; ref_year &amp; ")/" &amp; TMP_Units</f>
        <v>Price in Startup Year ($2016)/kWh</v>
      </c>
      <c r="C67" s="1251">
        <f ca="1">HLOOKUP(startup_year,INDIRECT(TMP_PriceTable),MATCH(TMP_FeedName,INDIRECT(Energy_Feed_List),0),FALSE)*TMP_Conversion</f>
        <v>0.10775596291985907</v>
      </c>
      <c r="D67" s="440"/>
      <c r="E67" s="441"/>
      <c r="F67" s="1523"/>
      <c r="G67" s="435"/>
    </row>
    <row r="68" spans="1:8" ht="18.95" customHeight="1" thickBot="1" x14ac:dyDescent="0.25">
      <c r="A68" s="465"/>
      <c r="B68" s="446" t="str">
        <f ca="1">IF(OR(TMP_FeedType="Feedstock",TMP_FeedType = "Utility"),"Usage ("&amp;TMP_Units&amp;"/kg H2)","Production ("&amp;TMP_Units&amp;"/kg H2)")</f>
        <v>Usage (kWh/kg H2)</v>
      </c>
      <c r="C68" s="892">
        <v>0.98</v>
      </c>
      <c r="D68" s="441"/>
      <c r="E68" s="438"/>
      <c r="F68" s="1523"/>
      <c r="G68" s="435"/>
    </row>
    <row r="69" spans="1:8" ht="18.95" customHeight="1" thickBot="1" x14ac:dyDescent="0.25">
      <c r="A69" s="465"/>
      <c r="B69" s="447" t="str">
        <f>IF(OR(TMP_FeedType = "Feedstock",TMP_FeedType = "Utility"), "Cost in Startup Year","Income in Startup Year")</f>
        <v>Cost in Startup Year</v>
      </c>
      <c r="C69" s="462">
        <f ca="1">design_cap*365*cap_factor*TMP_Usage*TMP_StartPrice</f>
        <v>5385117.7681381842</v>
      </c>
      <c r="D69" s="439"/>
      <c r="E69" s="438"/>
      <c r="F69" s="433"/>
      <c r="G69" s="435"/>
    </row>
    <row r="70" spans="1:8" ht="18.95" customHeight="1" thickBot="1" x14ac:dyDescent="0.25">
      <c r="A70" s="465"/>
      <c r="B70" s="446" t="s">
        <v>262</v>
      </c>
      <c r="C70" s="456" t="s">
        <v>711</v>
      </c>
      <c r="D70" s="439"/>
      <c r="E70" s="438"/>
      <c r="F70" s="433"/>
      <c r="G70" s="435"/>
    </row>
    <row r="71" spans="1:8" s="434" customFormat="1" ht="18.95" customHeight="1" x14ac:dyDescent="0.2">
      <c r="A71" s="887"/>
      <c r="B71" s="888"/>
      <c r="C71" s="889"/>
      <c r="D71" s="439"/>
      <c r="E71" s="438"/>
      <c r="F71" s="433"/>
      <c r="G71" s="435"/>
      <c r="H71" s="29"/>
    </row>
    <row r="72" spans="1:8" ht="27" customHeight="1" thickBot="1" x14ac:dyDescent="0.3">
      <c r="A72" s="466"/>
      <c r="B72" s="890" t="s">
        <v>715</v>
      </c>
      <c r="C72" s="443"/>
      <c r="D72" s="443"/>
      <c r="E72" s="443"/>
      <c r="F72" s="443"/>
      <c r="G72" s="444"/>
    </row>
    <row r="73" spans="1:8" ht="27.95" customHeight="1" x14ac:dyDescent="0.2">
      <c r="A73" s="466" t="s">
        <v>15</v>
      </c>
      <c r="B73" s="458"/>
      <c r="C73" s="459"/>
      <c r="D73" s="459"/>
      <c r="E73" s="459"/>
      <c r="F73" s="460"/>
      <c r="G73" s="461"/>
    </row>
    <row r="74" spans="1:8" ht="27.95" customHeight="1" x14ac:dyDescent="0.2">
      <c r="A74" s="466"/>
      <c r="B74" s="458" t="s">
        <v>834</v>
      </c>
      <c r="C74" s="459" t="s">
        <v>1304</v>
      </c>
      <c r="D74" s="459" t="s">
        <v>1305</v>
      </c>
      <c r="E74" s="459" t="s">
        <v>1306</v>
      </c>
      <c r="F74" s="460" t="s">
        <v>835</v>
      </c>
      <c r="G74" s="461" t="s">
        <v>262</v>
      </c>
    </row>
    <row r="75" spans="1:8" ht="27.95" customHeight="1" x14ac:dyDescent="0.2">
      <c r="A75" s="466"/>
      <c r="B75" s="458" t="s">
        <v>1082</v>
      </c>
      <c r="C75" s="459">
        <v>1.9551069237418006E-2</v>
      </c>
      <c r="D75" s="459">
        <v>9.9647594727723249E-2</v>
      </c>
      <c r="E75" s="459">
        <f ca="1">13.49*sensitivity_04</f>
        <v>13.49</v>
      </c>
      <c r="F75" s="460">
        <f ca="1">D75*E75*output_kgyear*IF(start_time,percnt_var,1)*'Cash Flow Analysis'!$E$68/'Cash Flow Analysis'!$E$69</f>
        <v>50453775.086010292</v>
      </c>
      <c r="G75" s="461" t="s">
        <v>711</v>
      </c>
    </row>
    <row r="76" spans="1:8" ht="27.95" customHeight="1" x14ac:dyDescent="0.2">
      <c r="A76" s="466" t="s">
        <v>15</v>
      </c>
      <c r="B76" s="458"/>
      <c r="C76" s="459"/>
      <c r="D76" s="459"/>
      <c r="E76" s="459"/>
      <c r="F76" s="460"/>
      <c r="G76" s="461"/>
    </row>
    <row r="77" spans="1:8" ht="27.95" customHeight="1" x14ac:dyDescent="0.2">
      <c r="A77" s="466"/>
      <c r="B77" s="458" t="s">
        <v>1384</v>
      </c>
      <c r="C77" s="459" t="s">
        <v>1385</v>
      </c>
      <c r="D77" s="459" t="s">
        <v>1386</v>
      </c>
      <c r="E77" s="459" t="s">
        <v>1387</v>
      </c>
      <c r="F77" s="460" t="s">
        <v>835</v>
      </c>
      <c r="G77" s="461" t="s">
        <v>262</v>
      </c>
    </row>
    <row r="78" spans="1:8" ht="27.95" customHeight="1" x14ac:dyDescent="0.2">
      <c r="A78" s="466"/>
      <c r="B78" s="458" t="s">
        <v>1086</v>
      </c>
      <c r="C78" s="459">
        <v>1.0549999999999999</v>
      </c>
      <c r="D78" s="459">
        <v>8.5551732446368014</v>
      </c>
      <c r="E78" s="459">
        <f ca="1">0.0059*sensitivity_05</f>
        <v>5.8999999999999999E-3</v>
      </c>
      <c r="F78" s="460">
        <f ca="1">D78*E78*output_kgyear*IF(start_time,percnt_var,1)*'Cash Flow Analysis'!$E$68/'Cash Flow Analysis'!$E$69</f>
        <v>1894504.8312542243</v>
      </c>
      <c r="G78" s="461" t="s">
        <v>711</v>
      </c>
    </row>
    <row r="79" spans="1:8" ht="27.95" customHeight="1" x14ac:dyDescent="0.2">
      <c r="A79" s="466"/>
      <c r="B79" s="458" t="s">
        <v>1384</v>
      </c>
      <c r="C79" s="459" t="s">
        <v>1353</v>
      </c>
      <c r="D79" s="459" t="s">
        <v>1354</v>
      </c>
      <c r="E79" s="459" t="s">
        <v>1390</v>
      </c>
      <c r="F79" s="460" t="s">
        <v>835</v>
      </c>
      <c r="G79" s="461" t="s">
        <v>262</v>
      </c>
    </row>
    <row r="80" spans="1:8" ht="27.95" customHeight="1" x14ac:dyDescent="0.2">
      <c r="A80" s="466"/>
      <c r="B80" s="458" t="s">
        <v>683</v>
      </c>
      <c r="C80" s="459">
        <v>3.5999999999999995E-3</v>
      </c>
      <c r="D80" s="459">
        <v>0.10775596291985907</v>
      </c>
      <c r="E80" s="459">
        <f ca="1">0.98*sensitivity_05</f>
        <v>0.98</v>
      </c>
      <c r="F80" s="460">
        <f ca="1">D80*E80*output_kgyear*IF(start_time,percnt_var,1)*'Cash Flow Analysis'!$E$68/'Cash Flow Analysis'!$E$69</f>
        <v>3963531.2326826677</v>
      </c>
      <c r="G80" s="461" t="s">
        <v>711</v>
      </c>
    </row>
    <row r="81" spans="1:8" ht="27.95" customHeight="1" x14ac:dyDescent="0.2">
      <c r="A81" s="465" t="s">
        <v>273</v>
      </c>
      <c r="B81" s="458"/>
      <c r="C81" s="459"/>
      <c r="D81" s="459"/>
      <c r="E81" s="459"/>
      <c r="F81" s="460"/>
      <c r="G81" s="461"/>
    </row>
    <row r="82" spans="1:8" ht="27.95" customHeight="1" x14ac:dyDescent="0.2">
      <c r="A82" s="467" t="s">
        <v>274</v>
      </c>
      <c r="B82" s="459"/>
      <c r="C82" s="459"/>
      <c r="D82" s="459"/>
      <c r="E82" s="459"/>
      <c r="F82" s="460"/>
      <c r="G82" s="461"/>
    </row>
    <row r="83" spans="1:8" ht="17.100000000000001" customHeight="1" thickBot="1" x14ac:dyDescent="0.25">
      <c r="A83" s="467"/>
      <c r="B83" s="326"/>
      <c r="C83" s="326"/>
      <c r="D83" s="332"/>
      <c r="E83" s="332"/>
      <c r="F83" s="329" t="s">
        <v>58</v>
      </c>
      <c r="G83" s="331"/>
    </row>
    <row r="84" spans="1:8" ht="17.100000000000001" customHeight="1" thickBot="1" x14ac:dyDescent="0.25">
      <c r="A84" s="465" t="s">
        <v>251</v>
      </c>
      <c r="B84" s="333" t="s">
        <v>277</v>
      </c>
      <c r="C84" s="329"/>
      <c r="D84" s="332"/>
      <c r="E84" s="332"/>
      <c r="F84" s="245">
        <f ca="1">SUM(Dynamic_Feed_Total)</f>
        <v>50453775.086010292</v>
      </c>
      <c r="G84" s="331"/>
    </row>
    <row r="85" spans="1:8" ht="17.100000000000001" customHeight="1" thickBot="1" x14ac:dyDescent="0.25">
      <c r="A85" s="465" t="s">
        <v>252</v>
      </c>
      <c r="B85" s="333" t="s">
        <v>278</v>
      </c>
      <c r="C85" s="329"/>
      <c r="D85" s="332"/>
      <c r="E85" s="332"/>
      <c r="F85" s="245">
        <f ca="1">SUM(Dynamic_Utilities_Total)</f>
        <v>5858036.063936892</v>
      </c>
      <c r="G85" s="331"/>
    </row>
    <row r="86" spans="1:8" ht="17.100000000000001" customHeight="1" thickBot="1" x14ac:dyDescent="0.25">
      <c r="A86" s="465" t="s">
        <v>256</v>
      </c>
      <c r="B86" s="324" t="s">
        <v>276</v>
      </c>
      <c r="C86" s="329"/>
      <c r="D86" s="332"/>
      <c r="E86" s="332"/>
      <c r="F86" s="245">
        <f>SUM(Dynamic_Byproduct_Total)</f>
        <v>0</v>
      </c>
      <c r="G86" s="331"/>
    </row>
    <row r="87" spans="1:8" ht="38.25" customHeight="1" x14ac:dyDescent="0.2">
      <c r="A87" s="465"/>
      <c r="B87" s="324"/>
      <c r="C87" s="319"/>
      <c r="D87" s="815" t="s">
        <v>317</v>
      </c>
      <c r="E87" s="1518"/>
      <c r="F87" s="1518"/>
      <c r="G87" s="1519"/>
    </row>
    <row r="88" spans="1:8" ht="28.5" customHeight="1" thickBot="1" x14ac:dyDescent="0.25">
      <c r="A88" s="465"/>
      <c r="B88" s="324"/>
      <c r="C88" s="319"/>
      <c r="D88" s="434"/>
      <c r="E88" s="1525"/>
      <c r="F88" s="1525"/>
      <c r="G88" s="1526"/>
    </row>
    <row r="89" spans="1:8" ht="17.100000000000001" customHeight="1" thickTop="1" thickBot="1" x14ac:dyDescent="0.25">
      <c r="A89" s="465"/>
      <c r="B89" s="498" t="s">
        <v>83</v>
      </c>
      <c r="C89" s="499"/>
      <c r="D89" s="499"/>
      <c r="E89" s="1516" t="s">
        <v>441</v>
      </c>
      <c r="F89" s="1516"/>
      <c r="G89" s="1517"/>
    </row>
    <row r="90" spans="1:8" ht="20.100000000000001" customHeight="1" thickBot="1" x14ac:dyDescent="0.25">
      <c r="A90" s="465" t="s">
        <v>246</v>
      </c>
      <c r="B90" s="327" t="s">
        <v>336</v>
      </c>
      <c r="C90" s="243">
        <f ca="1">Det_scaled_cap</f>
        <v>144875056.67213839</v>
      </c>
      <c r="D90" s="471"/>
      <c r="E90" s="1496" t="s">
        <v>531</v>
      </c>
      <c r="F90" s="1496"/>
      <c r="G90" s="1497"/>
    </row>
    <row r="91" spans="1:8" ht="28.9" customHeight="1" thickBot="1" x14ac:dyDescent="0.25">
      <c r="A91" s="465"/>
      <c r="B91" s="327" t="s">
        <v>1004</v>
      </c>
      <c r="C91" s="1257">
        <f>Det_CO2_seq</f>
        <v>0</v>
      </c>
      <c r="D91" s="471"/>
      <c r="E91" s="1496" t="s">
        <v>844</v>
      </c>
      <c r="F91" s="1496"/>
      <c r="G91" s="1497"/>
    </row>
    <row r="92" spans="1:8" ht="21.75" customHeight="1" x14ac:dyDescent="0.2">
      <c r="A92" s="465"/>
      <c r="B92" s="327"/>
      <c r="C92"/>
      <c r="D92"/>
      <c r="E92"/>
      <c r="F92"/>
      <c r="G92" s="449"/>
    </row>
    <row r="93" spans="1:8" ht="45.75" customHeight="1" thickBot="1" x14ac:dyDescent="0.25">
      <c r="A93" s="465"/>
      <c r="B93" s="327" t="s">
        <v>337</v>
      </c>
      <c r="C93" s="969" t="str">
        <f>"Enter values in basis year (" &amp; BasisYear &amp; ") dollars"</f>
        <v>Enter values in basis year (2005) dollars</v>
      </c>
      <c r="D93" s="969" t="s">
        <v>845</v>
      </c>
      <c r="E93" s="969" t="str">
        <f xml:space="preserve"> "Reference Year ("&amp; ref_year &amp; ") Dollars"</f>
        <v>Reference Year (2016) Dollars</v>
      </c>
      <c r="F93"/>
      <c r="G93" s="449"/>
      <c r="H93" s="35"/>
    </row>
    <row r="94" spans="1:8" ht="17.100000000000001" customHeight="1" x14ac:dyDescent="0.2">
      <c r="A94" s="465" t="s">
        <v>179</v>
      </c>
      <c r="B94" s="322" t="s">
        <v>712</v>
      </c>
      <c r="C94" s="995">
        <f ca="1">0.02*(direct_cap+CO2_seq)/(CEPCIinflator*CPIinflator)</f>
        <v>2237600.6668569846</v>
      </c>
      <c r="D94" s="1017">
        <f t="shared" ref="D94:D100" si="0">CEPCIinflator*CPIinflator</f>
        <v>1.294914314408345</v>
      </c>
      <c r="E94" s="997">
        <f ca="1">C94*D94</f>
        <v>2897501.1334427679</v>
      </c>
      <c r="F94" s="983"/>
      <c r="G94" s="986"/>
    </row>
    <row r="95" spans="1:8" ht="29.25" customHeight="1" x14ac:dyDescent="0.2">
      <c r="A95" s="465" t="s">
        <v>27</v>
      </c>
      <c r="B95" s="321" t="s">
        <v>338</v>
      </c>
      <c r="C95" s="998">
        <f ca="1">0.1*(direct_cap+CO2_seq)/(CEPCIinflator*CPIinflator)</f>
        <v>11188003.334284924</v>
      </c>
      <c r="D95" s="1018">
        <f t="shared" si="0"/>
        <v>1.294914314408345</v>
      </c>
      <c r="E95" s="1000">
        <f t="shared" ref="E95:E100" ca="1" si="1">C95*D95</f>
        <v>14487505.66721384</v>
      </c>
      <c r="F95" s="983"/>
      <c r="G95" s="986"/>
      <c r="H95" s="34"/>
    </row>
    <row r="96" spans="1:8" ht="17.100000000000001" customHeight="1" x14ac:dyDescent="0.2">
      <c r="A96" s="465" t="s">
        <v>171</v>
      </c>
      <c r="B96" s="321" t="s">
        <v>347</v>
      </c>
      <c r="C96" s="998"/>
      <c r="D96" s="1018">
        <f t="shared" si="0"/>
        <v>1.294914314408345</v>
      </c>
      <c r="E96" s="1000">
        <f t="shared" si="1"/>
        <v>0</v>
      </c>
      <c r="F96" s="983"/>
      <c r="G96" s="986"/>
      <c r="H96" s="886"/>
    </row>
    <row r="97" spans="1:8" ht="17.100000000000001" customHeight="1" x14ac:dyDescent="0.2">
      <c r="A97" s="465" t="s">
        <v>173</v>
      </c>
      <c r="B97" s="321" t="s">
        <v>348</v>
      </c>
      <c r="C97" s="998">
        <f ca="1">0.15*(direct_cap+CO2_seq)/(CEPCIinflator*CPIinflator)</f>
        <v>16782005.001427386</v>
      </c>
      <c r="D97" s="1018">
        <f t="shared" si="0"/>
        <v>1.294914314408345</v>
      </c>
      <c r="E97" s="1000">
        <f t="shared" ca="1" si="1"/>
        <v>21731258.50082076</v>
      </c>
      <c r="F97" s="983"/>
      <c r="G97" s="986"/>
      <c r="H97" s="886"/>
    </row>
    <row r="98" spans="1:8" ht="31.5" customHeight="1" x14ac:dyDescent="0.2">
      <c r="A98" s="465" t="s">
        <v>159</v>
      </c>
      <c r="B98" s="321" t="s">
        <v>350</v>
      </c>
      <c r="C98" s="998"/>
      <c r="D98" s="1018">
        <f t="shared" si="0"/>
        <v>1.294914314408345</v>
      </c>
      <c r="E98" s="1000">
        <f t="shared" si="1"/>
        <v>0</v>
      </c>
      <c r="F98" s="983"/>
      <c r="G98" s="986"/>
      <c r="H98" s="34"/>
    </row>
    <row r="99" spans="1:8" ht="17.100000000000001" customHeight="1" x14ac:dyDescent="0.2">
      <c r="A99" s="465" t="s">
        <v>29</v>
      </c>
      <c r="B99" s="321" t="s">
        <v>349</v>
      </c>
      <c r="C99" s="998"/>
      <c r="D99" s="1018">
        <f t="shared" si="0"/>
        <v>1.294914314408345</v>
      </c>
      <c r="E99" s="1000">
        <f t="shared" si="1"/>
        <v>0</v>
      </c>
      <c r="F99" s="983"/>
      <c r="G99" s="986"/>
    </row>
    <row r="100" spans="1:8" ht="21.75" customHeight="1" thickBot="1" x14ac:dyDescent="0.25">
      <c r="A100" s="465" t="s">
        <v>169</v>
      </c>
      <c r="B100" s="322" t="s">
        <v>713</v>
      </c>
      <c r="C100" s="1001">
        <f ca="1">0.15*(direct_cap+CO2_seq)/(CEPCIinflator*CPIinflator)</f>
        <v>16782005.001427386</v>
      </c>
      <c r="D100" s="1019">
        <f t="shared" si="0"/>
        <v>1.294914314408345</v>
      </c>
      <c r="E100" s="1002">
        <f t="shared" ca="1" si="1"/>
        <v>21731258.50082076</v>
      </c>
      <c r="F100" s="983"/>
      <c r="G100" s="986"/>
    </row>
    <row r="101" spans="1:8" ht="20.100000000000001" customHeight="1" thickBot="1" x14ac:dyDescent="0.25">
      <c r="A101" s="465" t="s">
        <v>1011</v>
      </c>
      <c r="B101" s="327" t="s">
        <v>980</v>
      </c>
      <c r="C101"/>
      <c r="E101" s="843">
        <f ca="1">direct_cap+CO2_seq+SUM($E$94:$E$100)</f>
        <v>205722580.47443652</v>
      </c>
      <c r="F101" s="987"/>
      <c r="G101" s="988"/>
    </row>
    <row r="102" spans="1:8" x14ac:dyDescent="0.2">
      <c r="A102" s="465"/>
      <c r="B102" s="321"/>
      <c r="C102" s="319"/>
      <c r="D102" s="1494" t="s">
        <v>845</v>
      </c>
      <c r="E102"/>
      <c r="F102" s="475"/>
      <c r="G102" s="474"/>
    </row>
    <row r="103" spans="1:8" ht="30.75" customHeight="1" thickBot="1" x14ac:dyDescent="0.25">
      <c r="A103" s="465"/>
      <c r="B103" s="327" t="s">
        <v>351</v>
      </c>
      <c r="C103" s="969" t="str">
        <f>"Enter values in basis year (" &amp; BasisYear &amp; ") dollars"</f>
        <v>Enter values in basis year (2005) dollars</v>
      </c>
      <c r="D103" s="1495"/>
      <c r="E103" s="969" t="str">
        <f xml:space="preserve"> "Reference Year ("&amp; ref_year &amp; ") Dollars"</f>
        <v>Reference Year (2016) Dollars</v>
      </c>
      <c r="F103" s="475"/>
      <c r="G103" s="474"/>
    </row>
    <row r="104" spans="1:8" ht="27.75" customHeight="1" thickBot="1" x14ac:dyDescent="0.25">
      <c r="A104" s="465" t="s">
        <v>1094</v>
      </c>
      <c r="B104" s="321" t="s">
        <v>352</v>
      </c>
      <c r="C104" s="995">
        <v>50000</v>
      </c>
      <c r="D104" s="1017">
        <f>CPIinflator</f>
        <v>1.100724186648488</v>
      </c>
      <c r="E104" s="980">
        <f>C104*D104</f>
        <v>55036.209332424405</v>
      </c>
      <c r="F104" s="475"/>
      <c r="G104" s="474"/>
    </row>
    <row r="105" spans="1:8" ht="25.5" customHeight="1" thickBot="1" x14ac:dyDescent="0.25">
      <c r="A105" s="465" t="s">
        <v>1095</v>
      </c>
      <c r="B105" s="321" t="s">
        <v>353</v>
      </c>
      <c r="C105" s="1004">
        <v>50</v>
      </c>
      <c r="D105" s="999">
        <f ca="1">Scale_Factor *1</f>
        <v>1.0000009658823863</v>
      </c>
      <c r="E105" s="977">
        <f ca="1">C105*D105</f>
        <v>50.000048294119317</v>
      </c>
      <c r="F105" s="475"/>
      <c r="G105" s="474"/>
    </row>
    <row r="106" spans="1:8" ht="27" customHeight="1" thickBot="1" x14ac:dyDescent="0.25">
      <c r="A106" s="465" t="s">
        <v>1012</v>
      </c>
      <c r="B106" s="321" t="s">
        <v>981</v>
      </c>
      <c r="C106" s="1005"/>
      <c r="D106" s="1005"/>
      <c r="E106" s="843">
        <f ca="1">acre_cost*acres</f>
        <v>2751813.1245464804</v>
      </c>
      <c r="F106" s="475"/>
      <c r="G106" s="474"/>
    </row>
    <row r="107" spans="1:8" ht="17.100000000000001" customHeight="1" thickBot="1" x14ac:dyDescent="0.25">
      <c r="A107" s="465"/>
      <c r="B107" s="321" t="s">
        <v>1013</v>
      </c>
      <c r="C107" s="995"/>
      <c r="D107" s="1017">
        <f>CPIinflator</f>
        <v>1.100724186648488</v>
      </c>
      <c r="E107" s="843">
        <f>C107*D107</f>
        <v>0</v>
      </c>
      <c r="F107" s="987"/>
      <c r="G107" s="988"/>
    </row>
    <row r="108" spans="1:8" ht="20.100000000000001" customHeight="1" thickBot="1" x14ac:dyDescent="0.25">
      <c r="A108" s="465" t="s">
        <v>1019</v>
      </c>
      <c r="B108" s="327" t="s">
        <v>982</v>
      </c>
      <c r="C108" s="1005"/>
      <c r="D108" s="1005"/>
      <c r="E108" s="244">
        <f ca="1">land_cost+$E$107</f>
        <v>2751813.1245464804</v>
      </c>
      <c r="F108" s="475"/>
      <c r="G108" s="474"/>
    </row>
    <row r="109" spans="1:8" ht="13.5" thickBot="1" x14ac:dyDescent="0.25">
      <c r="A109" s="465"/>
      <c r="B109" s="321"/>
      <c r="C109" s="319"/>
      <c r="D109" s="1005"/>
      <c r="E109" s="475"/>
      <c r="F109" s="475"/>
      <c r="G109" s="474"/>
    </row>
    <row r="110" spans="1:8" ht="20.100000000000001" customHeight="1" thickBot="1" x14ac:dyDescent="0.25">
      <c r="A110" s="465" t="s">
        <v>1020</v>
      </c>
      <c r="B110" s="327" t="s">
        <v>996</v>
      </c>
      <c r="C110" s="243">
        <f ca="1">(depr_cap+non_dep_cap)*sensitivity_06</f>
        <v>208474393.59898299</v>
      </c>
      <c r="D110" s="1005"/>
      <c r="E110" s="1003"/>
      <c r="F110" s="475"/>
      <c r="G110" s="474"/>
    </row>
    <row r="111" spans="1:8" ht="13.5" thickBot="1" x14ac:dyDescent="0.25">
      <c r="A111" s="465"/>
      <c r="B111" s="321"/>
      <c r="C111" s="319"/>
      <c r="D111" s="1005"/>
      <c r="E111" s="475"/>
      <c r="F111" s="475"/>
      <c r="G111" s="474"/>
    </row>
    <row r="112" spans="1:8" ht="44.25" customHeight="1" thickTop="1" thickBot="1" x14ac:dyDescent="0.25">
      <c r="A112" s="465"/>
      <c r="B112" s="498" t="s">
        <v>354</v>
      </c>
      <c r="C112" s="1012" t="str">
        <f>"Enter values in basis year (" &amp; BasisYear &amp; ") dollars"</f>
        <v>Enter values in basis year (2005) dollars</v>
      </c>
      <c r="D112" s="1012" t="s">
        <v>845</v>
      </c>
      <c r="E112" s="1012" t="str">
        <f xml:space="preserve"> "Reference Year ("&amp; ref_year &amp; ") Dollars"</f>
        <v>Reference Year (2016) Dollars</v>
      </c>
      <c r="F112" s="499"/>
      <c r="G112" s="501"/>
    </row>
    <row r="113" spans="1:8" s="35" customFormat="1" ht="29.25" customHeight="1" thickBot="1" x14ac:dyDescent="0.25">
      <c r="A113" s="465" t="s">
        <v>1023</v>
      </c>
      <c r="B113" s="322" t="s">
        <v>355</v>
      </c>
      <c r="C113" s="1009">
        <v>54</v>
      </c>
      <c r="D113" s="996">
        <f ca="1">Scale_Ratio^0.25</f>
        <v>1.0000003095775865</v>
      </c>
      <c r="E113" s="1010">
        <f ca="1">C113*D113</f>
        <v>54.000016717189666</v>
      </c>
      <c r="F113" s="989"/>
      <c r="G113" s="1007"/>
    </row>
    <row r="114" spans="1:8" s="35" customFormat="1" ht="17.25" customHeight="1" thickBot="1" x14ac:dyDescent="0.25">
      <c r="A114" s="465" t="s">
        <v>1024</v>
      </c>
      <c r="B114" s="322" t="s">
        <v>356</v>
      </c>
      <c r="C114" s="995">
        <v>50</v>
      </c>
      <c r="D114" s="1017">
        <f>VLOOKUP(ref_year,Tbl_labor_indexes,2,FALSE)/VLOOKUP(BasisYear,Tbl_labor_indexes,2,FALSE)</f>
        <v>1.1548042704626329</v>
      </c>
      <c r="E114" s="982">
        <f>C114*D114</f>
        <v>57.740213523131644</v>
      </c>
      <c r="F114" s="989"/>
      <c r="G114" s="1007"/>
    </row>
    <row r="115" spans="1:8" s="35" customFormat="1" ht="17.100000000000001" customHeight="1" thickBot="1" x14ac:dyDescent="0.25">
      <c r="A115" s="465" t="s">
        <v>1014</v>
      </c>
      <c r="B115" s="322" t="s">
        <v>997</v>
      </c>
      <c r="C115" s="1005"/>
      <c r="D115" s="1005"/>
      <c r="E115" s="844">
        <f ca="1">FTEs*2080*FTE_cost</f>
        <v>6485382.790646676</v>
      </c>
      <c r="F115" s="989"/>
      <c r="G115" s="1007"/>
    </row>
    <row r="116" spans="1:8" s="35" customFormat="1" ht="17.100000000000001" customHeight="1" thickBot="1" x14ac:dyDescent="0.25">
      <c r="A116" s="465" t="s">
        <v>160</v>
      </c>
      <c r="B116" s="322" t="s">
        <v>357</v>
      </c>
      <c r="C116" s="477">
        <v>0.2</v>
      </c>
      <c r="D116" s="1005"/>
      <c r="F116" s="989"/>
      <c r="G116" s="1007"/>
    </row>
    <row r="117" spans="1:8" s="35" customFormat="1" ht="17.100000000000001" customHeight="1" thickBot="1" x14ac:dyDescent="0.25">
      <c r="A117" s="465" t="s">
        <v>1017</v>
      </c>
      <c r="B117" s="322" t="s">
        <v>990</v>
      </c>
      <c r="C117" s="1005"/>
      <c r="D117" s="1005"/>
      <c r="E117" s="971">
        <f ca="1">labor_cost*overhead_rate</f>
        <v>1297076.5581293353</v>
      </c>
      <c r="F117" s="989"/>
      <c r="G117" s="1007"/>
    </row>
    <row r="118" spans="1:8" s="35" customFormat="1" ht="17.100000000000001" customHeight="1" thickBot="1" x14ac:dyDescent="0.25">
      <c r="A118" s="465" t="s">
        <v>31</v>
      </c>
      <c r="B118" s="322" t="s">
        <v>358</v>
      </c>
      <c r="C118" s="995">
        <v>0</v>
      </c>
      <c r="D118" s="1017">
        <f ca="1">Scale_Factor *CEPCIinflator*CPIinflator</f>
        <v>1.2949155651432731</v>
      </c>
      <c r="E118" s="978">
        <f ca="1">C118*D118</f>
        <v>0</v>
      </c>
      <c r="F118" s="989"/>
      <c r="G118" s="1007"/>
    </row>
    <row r="119" spans="1:8" s="35" customFormat="1" ht="26.25" customHeight="1" thickBot="1" x14ac:dyDescent="0.25">
      <c r="A119" s="465" t="s">
        <v>186</v>
      </c>
      <c r="B119" s="322" t="s">
        <v>1098</v>
      </c>
      <c r="C119" s="979">
        <v>0.02</v>
      </c>
      <c r="D119" s="1020"/>
      <c r="F119" s="989"/>
      <c r="G119" s="1007"/>
    </row>
    <row r="120" spans="1:8" s="35" customFormat="1" ht="17.100000000000001" customHeight="1" thickBot="1" x14ac:dyDescent="0.25">
      <c r="A120" s="465" t="s">
        <v>1015</v>
      </c>
      <c r="B120" s="321" t="s">
        <v>995</v>
      </c>
      <c r="C120" s="1005"/>
      <c r="D120" s="1020"/>
      <c r="E120" s="881">
        <f ca="1">tax_ins_rate*total_cap</f>
        <v>4169487.8719796599</v>
      </c>
      <c r="F120" s="989"/>
      <c r="G120" s="1007"/>
    </row>
    <row r="121" spans="1:8" s="35" customFormat="1" ht="17.100000000000001" customHeight="1" thickBot="1" x14ac:dyDescent="0.25">
      <c r="A121" s="465" t="s">
        <v>175</v>
      </c>
      <c r="B121" s="321" t="s">
        <v>359</v>
      </c>
      <c r="C121" s="995">
        <v>0</v>
      </c>
      <c r="D121" s="1017">
        <f ca="1">Scale_Factor *CPIinflator</f>
        <v>1.100725249818592</v>
      </c>
      <c r="E121" s="980">
        <f ca="1">C121*D121</f>
        <v>0</v>
      </c>
      <c r="F121" s="989"/>
      <c r="G121" s="1007"/>
    </row>
    <row r="122" spans="1:8" s="35" customFormat="1" ht="27" customHeight="1" thickBot="1" x14ac:dyDescent="0.25">
      <c r="A122" s="465" t="s">
        <v>1025</v>
      </c>
      <c r="B122" s="322" t="s">
        <v>360</v>
      </c>
      <c r="C122" s="995">
        <f ca="1">0.005*direct_cap/(CEPCIinflator*CPIinflator)</f>
        <v>559400.16671424615</v>
      </c>
      <c r="D122" s="1017">
        <f ca="1">Scale_Factor *CEPCIinflator*CPIinflator</f>
        <v>1.2949155651432731</v>
      </c>
      <c r="E122" s="981">
        <f ca="1">C122*D122</f>
        <v>724375.98302201927</v>
      </c>
      <c r="F122" s="989"/>
      <c r="G122" s="1007"/>
      <c r="H122" s="816"/>
    </row>
    <row r="123" spans="1:8" s="35" customFormat="1" ht="17.100000000000001" customHeight="1" thickBot="1" x14ac:dyDescent="0.25">
      <c r="A123" s="465" t="s">
        <v>172</v>
      </c>
      <c r="B123" s="322" t="s">
        <v>361</v>
      </c>
      <c r="C123" s="995">
        <v>0</v>
      </c>
      <c r="D123" s="1017">
        <f ca="1">Scale_Factor *CEPCIinflator*CPIinflator</f>
        <v>1.2949155651432731</v>
      </c>
      <c r="E123" s="972">
        <f ca="1">C123*D123</f>
        <v>0</v>
      </c>
      <c r="F123" s="989"/>
      <c r="G123" s="1007"/>
    </row>
    <row r="124" spans="1:8" s="35" customFormat="1" ht="17.100000000000001" customHeight="1" thickBot="1" x14ac:dyDescent="0.25">
      <c r="A124" s="465" t="s">
        <v>157</v>
      </c>
      <c r="B124" s="321" t="s">
        <v>362</v>
      </c>
      <c r="C124" s="995">
        <v>0</v>
      </c>
      <c r="D124" s="1017">
        <f ca="1">Scale_Ratio * CEPCIinflator*CPIinflator</f>
        <v>1.2949159179148819</v>
      </c>
      <c r="E124" s="509">
        <f ca="1">C124*D124</f>
        <v>0</v>
      </c>
      <c r="F124" s="989"/>
      <c r="G124" s="1007"/>
    </row>
    <row r="125" spans="1:8" s="35" customFormat="1" ht="17.100000000000001" customHeight="1" thickBot="1" x14ac:dyDescent="0.25">
      <c r="A125" s="465" t="s">
        <v>158</v>
      </c>
      <c r="B125" s="321" t="s">
        <v>363</v>
      </c>
      <c r="C125" s="995">
        <v>0</v>
      </c>
      <c r="D125" s="1017">
        <f ca="1">Scale_Factor *CEPCIinflator*CPIinflator</f>
        <v>1.2949155651432731</v>
      </c>
      <c r="E125" s="244">
        <f ca="1">C125*D125</f>
        <v>0</v>
      </c>
      <c r="F125" s="989"/>
      <c r="G125" s="1007"/>
    </row>
    <row r="126" spans="1:8" s="35" customFormat="1" ht="24" customHeight="1" thickBot="1" x14ac:dyDescent="0.25">
      <c r="A126" s="465" t="s">
        <v>1016</v>
      </c>
      <c r="B126" s="327" t="s">
        <v>998</v>
      </c>
      <c r="C126" s="1005"/>
      <c r="D126" s="1005"/>
      <c r="E126" s="843">
        <f ca="1">(labor_cost+overhead_GA+tax_insurance+licensing+SUM(E121:E125))*sensitivity_07</f>
        <v>12676323.203777689</v>
      </c>
      <c r="F126" s="1006"/>
      <c r="G126" s="1008"/>
    </row>
    <row r="127" spans="1:8" s="35" customFormat="1" ht="13.5" thickBot="1" x14ac:dyDescent="0.25">
      <c r="A127" s="465"/>
      <c r="B127" s="322"/>
      <c r="C127" s="325"/>
      <c r="D127" s="512"/>
      <c r="E127" s="319"/>
      <c r="F127" s="319"/>
      <c r="G127" s="320"/>
    </row>
    <row r="128" spans="1:8" s="35" customFormat="1" ht="26.25" customHeight="1" thickTop="1" thickBot="1" x14ac:dyDescent="0.25">
      <c r="A128" s="465"/>
      <c r="B128" s="491" t="s">
        <v>949</v>
      </c>
      <c r="C128" s="492"/>
      <c r="D128" s="493"/>
      <c r="E128" s="494"/>
      <c r="F128" s="493"/>
      <c r="G128" s="495"/>
    </row>
    <row r="129" spans="1:7" customFormat="1" ht="15" customHeight="1" thickTop="1" x14ac:dyDescent="0.25">
      <c r="A129" s="465"/>
      <c r="B129" s="506" t="s">
        <v>1045</v>
      </c>
      <c r="C129" s="507"/>
      <c r="D129" s="507"/>
      <c r="E129" s="507"/>
      <c r="F129" s="507"/>
      <c r="G129" s="508"/>
    </row>
    <row r="130" spans="1:7" customFormat="1" ht="15" customHeight="1" x14ac:dyDescent="0.2">
      <c r="A130" s="465"/>
      <c r="B130" s="450"/>
      <c r="C130" s="448"/>
      <c r="D130" s="448"/>
      <c r="E130" s="448"/>
      <c r="F130" s="448"/>
      <c r="G130" s="449"/>
    </row>
    <row r="131" spans="1:7" customFormat="1" ht="24" customHeight="1" thickBot="1" x14ac:dyDescent="0.25">
      <c r="A131" s="465"/>
      <c r="B131" s="432" t="s">
        <v>1052</v>
      </c>
      <c r="C131" s="448"/>
      <c r="D131" s="448"/>
      <c r="E131" s="448"/>
      <c r="F131" s="448"/>
      <c r="G131" s="449"/>
    </row>
    <row r="132" spans="1:7" customFormat="1" ht="24" customHeight="1" thickBot="1" x14ac:dyDescent="0.25">
      <c r="A132" s="465"/>
      <c r="B132" s="476" t="s">
        <v>1046</v>
      </c>
      <c r="C132" s="448"/>
      <c r="D132" s="448"/>
      <c r="E132" s="448"/>
      <c r="F132" s="448"/>
      <c r="G132" s="449"/>
    </row>
    <row r="133" spans="1:7" customFormat="1" ht="24" customHeight="1" thickBot="1" x14ac:dyDescent="0.25">
      <c r="A133" s="465"/>
      <c r="B133" s="454" t="s">
        <v>1073</v>
      </c>
      <c r="C133" s="1490" t="str">
        <f>B132</f>
        <v>Cooling Water</v>
      </c>
      <c r="D133" s="1491"/>
      <c r="E133" s="448"/>
      <c r="F133" s="448"/>
      <c r="G133" s="449"/>
    </row>
    <row r="134" spans="1:7" customFormat="1" ht="18.75" customHeight="1" thickBot="1" x14ac:dyDescent="0.25">
      <c r="A134" s="465"/>
      <c r="B134" s="437" t="str">
        <f ca="1">"$(" &amp; ref_year &amp; ")/ " &amp; VLOOKUP(TMP_NonE_Feed,Tbl_Other_Inputs_and_Byproducts,2,FALSE)</f>
        <v>$(2016)/ gal</v>
      </c>
      <c r="C134" s="481">
        <f ca="1">HLOOKUP(startup_year,Tbl_Other_Inputs_and_Byproducts,MATCH(TMP_NonE_Feed,Other_Inputs_List,0),FALSE)</f>
        <v>1.1334993860117458E-4</v>
      </c>
      <c r="D134" s="448"/>
      <c r="E134" s="448"/>
      <c r="F134" s="448"/>
      <c r="G134" s="449"/>
    </row>
    <row r="135" spans="1:7" customFormat="1" ht="18" customHeight="1" thickBot="1" x14ac:dyDescent="0.25">
      <c r="A135" s="465"/>
      <c r="B135" s="442" t="str">
        <f>IF(TMP_NonE_Type="Feed or utility","Usage per kg H2","Production per kg H2")</f>
        <v>Usage per kg H2</v>
      </c>
      <c r="C135" s="478"/>
      <c r="D135" s="448"/>
      <c r="E135" s="448"/>
      <c r="F135" s="448"/>
      <c r="G135" s="449"/>
    </row>
    <row r="136" spans="1:7" customFormat="1" ht="19.5" customHeight="1" thickBot="1" x14ac:dyDescent="0.25">
      <c r="A136" s="465"/>
      <c r="B136" s="442" t="str">
        <f>IF(TMP_NonE_Type = "Feed or utility", "Cost in Startup Year","Income in Startup Year")</f>
        <v>Cost in Startup Year</v>
      </c>
      <c r="C136" s="453">
        <f ca="1">design_cap*365*cap_factor*TMP_NonE_Usage*TMP_NonE_StartPrice</f>
        <v>0</v>
      </c>
      <c r="D136" s="448"/>
      <c r="E136" s="448"/>
      <c r="F136" s="448"/>
      <c r="G136" s="449"/>
    </row>
    <row r="137" spans="1:7" customFormat="1" ht="24" customHeight="1" thickBot="1" x14ac:dyDescent="0.25">
      <c r="A137" s="465"/>
      <c r="B137" s="451" t="s">
        <v>262</v>
      </c>
      <c r="C137" s="455" t="s">
        <v>23</v>
      </c>
      <c r="D137" s="452"/>
      <c r="E137" s="452"/>
      <c r="F137" s="452"/>
      <c r="G137" s="444"/>
    </row>
    <row r="138" spans="1:7" customFormat="1" ht="24" customHeight="1" x14ac:dyDescent="0.2">
      <c r="A138" s="468" t="s">
        <v>1054</v>
      </c>
      <c r="B138" s="328"/>
      <c r="C138" s="329"/>
      <c r="D138" s="329"/>
      <c r="E138" s="330"/>
      <c r="F138" s="329"/>
      <c r="G138" s="331"/>
    </row>
    <row r="139" spans="1:7" customFormat="1" ht="24" customHeight="1" x14ac:dyDescent="0.2">
      <c r="A139" s="468"/>
      <c r="B139" s="328" t="s">
        <v>1073</v>
      </c>
      <c r="C139" s="329" t="s">
        <v>1307</v>
      </c>
      <c r="D139" s="329" t="s">
        <v>838</v>
      </c>
      <c r="E139" s="330" t="s">
        <v>835</v>
      </c>
      <c r="F139" s="329" t="s">
        <v>262</v>
      </c>
      <c r="G139" s="331"/>
    </row>
    <row r="140" spans="1:7" customFormat="1" ht="24" customHeight="1" x14ac:dyDescent="0.2">
      <c r="A140" s="468"/>
      <c r="B140" s="328" t="s">
        <v>1048</v>
      </c>
      <c r="C140" s="329">
        <v>2.374951094500801E-3</v>
      </c>
      <c r="D140" s="329">
        <v>1.321</v>
      </c>
      <c r="E140" s="330">
        <v>698741.96015531651</v>
      </c>
      <c r="F140" s="329" t="s">
        <v>23</v>
      </c>
      <c r="G140" s="331"/>
    </row>
    <row r="141" spans="1:7" customFormat="1" ht="24" customHeight="1" x14ac:dyDescent="0.2">
      <c r="A141" s="468"/>
      <c r="B141" s="328" t="s">
        <v>1073</v>
      </c>
      <c r="C141" s="329" t="s">
        <v>1307</v>
      </c>
      <c r="D141" s="329" t="s">
        <v>838</v>
      </c>
      <c r="E141" s="330" t="s">
        <v>835</v>
      </c>
      <c r="F141" s="329" t="s">
        <v>262</v>
      </c>
      <c r="G141" s="331"/>
    </row>
    <row r="142" spans="1:7" customFormat="1" ht="24" customHeight="1" x14ac:dyDescent="0.2">
      <c r="A142" s="468"/>
      <c r="B142" s="328" t="s">
        <v>1046</v>
      </c>
      <c r="C142" s="329">
        <v>1.1334993860117458E-4</v>
      </c>
      <c r="D142" s="329">
        <v>79.260000000000005</v>
      </c>
      <c r="E142" s="330">
        <v>458145.23581633583</v>
      </c>
      <c r="F142" s="329" t="s">
        <v>23</v>
      </c>
      <c r="G142" s="331"/>
    </row>
    <row r="143" spans="1:7" customFormat="1" ht="15.95" customHeight="1" x14ac:dyDescent="0.2">
      <c r="A143" s="465" t="s">
        <v>1055</v>
      </c>
      <c r="B143" s="328"/>
      <c r="C143" s="334"/>
      <c r="D143" s="334"/>
      <c r="E143" s="335"/>
      <c r="F143" s="334"/>
      <c r="G143" s="331"/>
    </row>
    <row r="144" spans="1:7" customFormat="1" ht="15.95" customHeight="1" thickBot="1" x14ac:dyDescent="0.25">
      <c r="A144" s="465" t="s">
        <v>1056</v>
      </c>
      <c r="B144" s="328"/>
      <c r="C144" s="329"/>
      <c r="D144" s="329"/>
      <c r="E144" s="335"/>
      <c r="F144" s="329"/>
      <c r="G144" s="331"/>
    </row>
    <row r="145" spans="1:7" customFormat="1" ht="17.100000000000001" customHeight="1" thickBot="1" x14ac:dyDescent="0.25">
      <c r="A145" s="465"/>
      <c r="B145" s="333" t="s">
        <v>863</v>
      </c>
      <c r="C145" s="245">
        <f>SUM(Dynamic_NonE_Feed_Total)</f>
        <v>1156887.1959716524</v>
      </c>
      <c r="D145" s="472"/>
      <c r="E145" s="1498"/>
      <c r="F145" s="1498"/>
      <c r="G145" s="1488"/>
    </row>
    <row r="146" spans="1:7" customFormat="1" ht="17.100000000000001" customHeight="1" thickBot="1" x14ac:dyDescent="0.25">
      <c r="A146" s="465" t="s">
        <v>257</v>
      </c>
      <c r="B146" s="333" t="s">
        <v>279</v>
      </c>
      <c r="C146" s="245">
        <f>SUM(Dynamic_NonE_Byprod_Total)</f>
        <v>0</v>
      </c>
      <c r="D146" s="472"/>
      <c r="E146" s="1498"/>
      <c r="F146" s="1498"/>
      <c r="G146" s="1488"/>
    </row>
    <row r="147" spans="1:7" customFormat="1" ht="26.45" customHeight="1" thickBot="1" x14ac:dyDescent="0.25">
      <c r="A147" s="465"/>
      <c r="B147" s="333"/>
      <c r="C147" s="329"/>
      <c r="D147" s="479"/>
      <c r="E147" s="1498"/>
      <c r="F147" s="1498"/>
      <c r="G147" s="1488"/>
    </row>
    <row r="148" spans="1:7" customFormat="1" ht="17.100000000000001" customHeight="1" thickBot="1" x14ac:dyDescent="0.25">
      <c r="A148" s="465" t="s">
        <v>250</v>
      </c>
      <c r="B148" s="327" t="s">
        <v>253</v>
      </c>
      <c r="C148" s="243">
        <f ca="1">Total_Energy_Feed_Cost</f>
        <v>50453775.086010292</v>
      </c>
      <c r="D148" s="472"/>
      <c r="E148" s="1492"/>
      <c r="F148" s="1492"/>
      <c r="G148" s="1493"/>
    </row>
    <row r="149" spans="1:7" customFormat="1" ht="17.100000000000001" customHeight="1" thickBot="1" x14ac:dyDescent="0.25">
      <c r="A149" s="465" t="s">
        <v>664</v>
      </c>
      <c r="B149" s="327" t="s">
        <v>254</v>
      </c>
      <c r="C149" s="243">
        <f ca="1">Total_Energy_Utilities_Cost+Total_Non_Energy_Feed_Cost</f>
        <v>7014923.2599085439</v>
      </c>
      <c r="D149" s="472"/>
      <c r="E149" s="1492"/>
      <c r="F149" s="1492"/>
      <c r="G149" s="1493"/>
    </row>
    <row r="150" spans="1:7" customFormat="1" ht="31.5" customHeight="1" thickBot="1" x14ac:dyDescent="0.25">
      <c r="A150" s="465" t="s">
        <v>665</v>
      </c>
      <c r="B150" s="327" t="s">
        <v>255</v>
      </c>
      <c r="C150" s="509">
        <f>Total_Energy_Byproduct_Credit+total_non_energy_byproduct_credit</f>
        <v>0</v>
      </c>
      <c r="D150" s="472"/>
      <c r="E150" s="1503"/>
      <c r="F150" s="1503"/>
      <c r="G150" s="1504"/>
    </row>
    <row r="151" spans="1:7" customFormat="1" ht="45.75" customHeight="1" thickTop="1" thickBot="1" x14ac:dyDescent="0.3">
      <c r="A151" s="465"/>
      <c r="B151" s="506" t="s">
        <v>816</v>
      </c>
      <c r="C151" s="1012" t="str">
        <f>"Enter values in basis year (" &amp; BasisYear &amp; ") dollars"</f>
        <v>Enter values in basis year (2005) dollars</v>
      </c>
      <c r="D151" s="1012" t="s">
        <v>845</v>
      </c>
      <c r="E151" s="1012" t="str">
        <f xml:space="preserve"> "Reference Year ("&amp; ref_year &amp; ") Dollars"</f>
        <v>Reference Year (2016) Dollars</v>
      </c>
      <c r="F151" s="510"/>
      <c r="G151" s="511"/>
    </row>
    <row r="152" spans="1:7" s="35" customFormat="1" ht="39" customHeight="1" thickBot="1" x14ac:dyDescent="0.25">
      <c r="A152" s="465" t="s">
        <v>187</v>
      </c>
      <c r="B152" s="321" t="s">
        <v>364</v>
      </c>
      <c r="C152" s="995">
        <v>138000</v>
      </c>
      <c r="D152" s="1017">
        <f ca="1">Scale_Ratio * VLOOKUP(ref_year,Chemical_price_indexes,2,FALSE)/VLOOKUP(BasisYear,Chemical_price_indexes,2,FALSE)</f>
        <v>1.4260562239874364</v>
      </c>
      <c r="E152" s="509">
        <f ca="1">C152*D152</f>
        <v>196795.75891026622</v>
      </c>
      <c r="F152" s="1501"/>
      <c r="G152" s="1502"/>
    </row>
    <row r="153" spans="1:7" s="35" customFormat="1" ht="38.25" customHeight="1" thickBot="1" x14ac:dyDescent="0.25">
      <c r="A153" s="465" t="s">
        <v>280</v>
      </c>
      <c r="B153" s="612" t="s">
        <v>930</v>
      </c>
      <c r="C153" s="995">
        <v>7430000</v>
      </c>
      <c r="D153" s="1017">
        <f ca="1">Scale_Ratio * VLOOKUP(ref_year,Chemical_price_indexes,2,FALSE)/VLOOKUP(BasisYear,Chemical_price_indexes,2,FALSE)</f>
        <v>1.4260562239874364</v>
      </c>
      <c r="E153" s="509">
        <f ca="1">C153*D153</f>
        <v>10595597.744226653</v>
      </c>
      <c r="F153" s="989"/>
      <c r="G153" s="1007"/>
    </row>
    <row r="154" spans="1:7" s="35" customFormat="1" ht="17.100000000000001" customHeight="1" thickBot="1" x14ac:dyDescent="0.25">
      <c r="A154" s="465" t="s">
        <v>188</v>
      </c>
      <c r="B154" s="322" t="s">
        <v>365</v>
      </c>
      <c r="C154" s="995">
        <v>1274000</v>
      </c>
      <c r="D154" s="1017">
        <f ca="1">Scale_Ratio * VLOOKUP(ref_year,Chemical_price_indexes,2,FALSE)/VLOOKUP(BasisYear,Chemical_price_indexes,2,FALSE)</f>
        <v>1.4260562239874364</v>
      </c>
      <c r="E154" s="509">
        <f ca="1">C154*D154</f>
        <v>1816795.6293599939</v>
      </c>
      <c r="F154" s="989"/>
      <c r="G154" s="1007"/>
    </row>
    <row r="155" spans="1:7" s="35" customFormat="1" ht="17.100000000000001" customHeight="1" thickBot="1" x14ac:dyDescent="0.25">
      <c r="A155" s="465" t="s">
        <v>180</v>
      </c>
      <c r="B155" s="322" t="s">
        <v>366</v>
      </c>
      <c r="C155" s="995">
        <v>775000</v>
      </c>
      <c r="D155" s="1017">
        <f ca="1">Scale_Ratio * VLOOKUP(ref_year,Chemical_price_indexes,2,FALSE)/VLOOKUP(BasisYear,Chemical_price_indexes,2,FALSE)</f>
        <v>1.4260562239874364</v>
      </c>
      <c r="E155" s="509">
        <f ca="1">C155*D155</f>
        <v>1105193.5735902633</v>
      </c>
      <c r="F155" s="989"/>
      <c r="G155" s="1007"/>
    </row>
    <row r="156" spans="1:7" s="35" customFormat="1" ht="28.5" customHeight="1" thickBot="1" x14ac:dyDescent="0.25">
      <c r="A156" s="465" t="s">
        <v>176</v>
      </c>
      <c r="B156" s="322" t="s">
        <v>367</v>
      </c>
      <c r="C156" s="1252">
        <v>5.0000000000000001E-3</v>
      </c>
      <c r="D156"/>
      <c r="E156" s="1499" t="s">
        <v>1206</v>
      </c>
      <c r="F156" s="1499"/>
      <c r="G156" s="1500"/>
    </row>
    <row r="157" spans="1:7" s="35" customFormat="1" ht="17.100000000000001" customHeight="1" thickBot="1" x14ac:dyDescent="0.25">
      <c r="A157" s="465" t="s">
        <v>177</v>
      </c>
      <c r="B157" s="1484" t="s">
        <v>368</v>
      </c>
      <c r="C157" s="1482">
        <v>0</v>
      </c>
      <c r="D157" s="1483">
        <f ca="1">Scale_Ratio * CPIinflator</f>
        <v>1.1007255496872688</v>
      </c>
      <c r="E157" s="1480">
        <v>0</v>
      </c>
      <c r="F157" s="989"/>
      <c r="G157" s="1007"/>
    </row>
    <row r="158" spans="1:7" s="35" customFormat="1" ht="17.100000000000001" customHeight="1" thickBot="1" x14ac:dyDescent="0.25">
      <c r="A158" s="465" t="s">
        <v>156</v>
      </c>
      <c r="B158" s="1484" t="s">
        <v>369</v>
      </c>
      <c r="C158" s="1482">
        <v>0</v>
      </c>
      <c r="D158" s="1483">
        <f ca="1">Scale_Ratio * CPIinflator</f>
        <v>1.1007255496872688</v>
      </c>
      <c r="E158" s="1480">
        <v>0</v>
      </c>
      <c r="F158" s="989"/>
      <c r="G158" s="1007"/>
    </row>
    <row r="159" spans="1:7" s="35" customFormat="1" ht="17.100000000000001" customHeight="1" thickBot="1" x14ac:dyDescent="0.25">
      <c r="A159" s="465" t="s">
        <v>185</v>
      </c>
      <c r="B159" s="1484" t="s">
        <v>370</v>
      </c>
      <c r="C159" s="1482">
        <v>0</v>
      </c>
      <c r="D159" s="1483">
        <f ca="1">Scale_Ratio * CPIinflator</f>
        <v>1.1007255496872688</v>
      </c>
      <c r="E159" s="1480">
        <v>0</v>
      </c>
      <c r="F159" s="993"/>
      <c r="G159" s="994"/>
    </row>
    <row r="160" spans="1:7" s="35" customFormat="1" ht="17.100000000000001" customHeight="1" thickBot="1" x14ac:dyDescent="0.25">
      <c r="A160" s="465" t="s">
        <v>9</v>
      </c>
      <c r="B160" s="1484" t="s">
        <v>961</v>
      </c>
      <c r="C160"/>
      <c r="D160" s="1021"/>
      <c r="E160" s="1480">
        <f>Det_CO2_OandMcost</f>
        <v>0</v>
      </c>
      <c r="F160" s="993"/>
      <c r="G160" s="1488"/>
    </row>
    <row r="161" spans="1:7" s="35" customFormat="1" ht="17.100000000000001" customHeight="1" thickBot="1" x14ac:dyDescent="0.25">
      <c r="A161" s="465"/>
      <c r="B161" s="1484" t="s">
        <v>958</v>
      </c>
      <c r="C161" s="1482">
        <v>0</v>
      </c>
      <c r="D161" s="1483">
        <f>CPIinflator</f>
        <v>1.100724186648488</v>
      </c>
      <c r="E161" s="1480">
        <v>0</v>
      </c>
      <c r="F161" s="993"/>
      <c r="G161" s="1488"/>
    </row>
    <row r="162" spans="1:7" s="35" customFormat="1" ht="17.100000000000001" customHeight="1" thickBot="1" x14ac:dyDescent="0.25">
      <c r="A162" s="465"/>
      <c r="B162" s="1484" t="s">
        <v>957</v>
      </c>
      <c r="C162"/>
      <c r="D162" s="1021"/>
      <c r="E162" s="1481">
        <f ca="1">ROUND(Proc_CO2_tax*12/44*Proc_CO2_MTpY,-2)</f>
        <v>0</v>
      </c>
      <c r="F162" s="993"/>
      <c r="G162" s="1488"/>
    </row>
    <row r="163" spans="1:7" s="35" customFormat="1" ht="17.100000000000001" customHeight="1" thickBot="1" x14ac:dyDescent="0.25">
      <c r="A163" s="465"/>
      <c r="B163" s="1484" t="s">
        <v>959</v>
      </c>
      <c r="C163" s="1482">
        <v>0</v>
      </c>
      <c r="D163" s="1483">
        <f>CPIinflator</f>
        <v>1.100724186648488</v>
      </c>
      <c r="E163" s="1481">
        <v>0</v>
      </c>
      <c r="F163" s="993"/>
      <c r="G163" s="1488"/>
    </row>
    <row r="164" spans="1:7" s="35" customFormat="1" ht="17.100000000000001" customHeight="1" thickBot="1" x14ac:dyDescent="0.25">
      <c r="A164" s="465"/>
      <c r="B164" s="1484" t="s">
        <v>960</v>
      </c>
      <c r="C164" s="1015"/>
      <c r="D164" s="1016"/>
      <c r="E164" s="1481">
        <f ca="1">ROUND(Upstream_CO2_tax/1000*Upstream_GHG_total*output_kgyear,2)</f>
        <v>0</v>
      </c>
      <c r="F164" s="808"/>
      <c r="G164" s="1488"/>
    </row>
    <row r="165" spans="1:7" s="35" customFormat="1" ht="23.25" customHeight="1" thickBot="1" x14ac:dyDescent="0.25">
      <c r="A165" s="465" t="s">
        <v>260</v>
      </c>
      <c r="B165" s="336" t="s">
        <v>258</v>
      </c>
      <c r="C165" s="1013"/>
      <c r="D165" s="1014"/>
      <c r="E165" s="813">
        <f ca="1">ROUND(total_feedstock+total_utilities+total_other_raw-total_byproducts+var_misc+waste_treat+solidwaste_treat+royalties+operator_profit-tax_credit+CO2_OandMcost+Proc_CO2_taxpYear + Upstream_CO2_taxpYear,-2)</f>
        <v>71183100</v>
      </c>
      <c r="F165" s="1011"/>
      <c r="G165" s="1489"/>
    </row>
    <row r="166" spans="1:7" s="35" customFormat="1" x14ac:dyDescent="0.2">
      <c r="A166" s="464"/>
    </row>
    <row r="167" spans="1:7" s="35" customFormat="1" x14ac:dyDescent="0.2">
      <c r="A167" s="464"/>
    </row>
    <row r="168" spans="1:7" s="35" customFormat="1" x14ac:dyDescent="0.2">
      <c r="A168" s="464"/>
    </row>
    <row r="169" spans="1:7" s="35" customFormat="1" x14ac:dyDescent="0.2">
      <c r="A169" s="464"/>
    </row>
    <row r="170" spans="1:7" s="35" customFormat="1" x14ac:dyDescent="0.2">
      <c r="A170" s="464"/>
    </row>
    <row r="171" spans="1:7" s="35" customFormat="1" x14ac:dyDescent="0.2">
      <c r="A171" s="464"/>
    </row>
    <row r="172" spans="1:7" s="35" customFormat="1" x14ac:dyDescent="0.2">
      <c r="A172" s="464"/>
    </row>
    <row r="173" spans="1:7" s="35" customFormat="1" x14ac:dyDescent="0.2">
      <c r="A173" s="464"/>
    </row>
    <row r="174" spans="1:7" s="35" customFormat="1" x14ac:dyDescent="0.2">
      <c r="A174" s="464"/>
    </row>
    <row r="175" spans="1:7" s="35" customFormat="1" x14ac:dyDescent="0.2">
      <c r="A175" s="464"/>
    </row>
    <row r="176" spans="1:7" s="35" customFormat="1" x14ac:dyDescent="0.2">
      <c r="A176" s="464"/>
    </row>
    <row r="177" spans="1:4" s="35" customFormat="1" x14ac:dyDescent="0.2">
      <c r="A177" s="464"/>
    </row>
    <row r="178" spans="1:4" s="35" customFormat="1" x14ac:dyDescent="0.2">
      <c r="A178" s="464"/>
    </row>
    <row r="179" spans="1:4" s="35" customFormat="1" x14ac:dyDescent="0.2">
      <c r="A179" s="464"/>
    </row>
    <row r="180" spans="1:4" s="35" customFormat="1" x14ac:dyDescent="0.2">
      <c r="A180" s="464"/>
    </row>
    <row r="181" spans="1:4" s="35" customFormat="1" x14ac:dyDescent="0.2">
      <c r="A181" s="464"/>
    </row>
    <row r="182" spans="1:4" s="35" customFormat="1" x14ac:dyDescent="0.2">
      <c r="A182" s="464"/>
    </row>
    <row r="183" spans="1:4" s="35" customFormat="1" x14ac:dyDescent="0.2">
      <c r="A183" s="464"/>
    </row>
    <row r="184" spans="1:4" s="35" customFormat="1" x14ac:dyDescent="0.2">
      <c r="A184" s="464"/>
    </row>
    <row r="185" spans="1:4" s="35" customFormat="1" x14ac:dyDescent="0.2">
      <c r="A185" s="464"/>
    </row>
    <row r="186" spans="1:4" s="35" customFormat="1" x14ac:dyDescent="0.2">
      <c r="A186" s="464"/>
    </row>
    <row r="187" spans="1:4" s="35" customFormat="1" x14ac:dyDescent="0.2">
      <c r="A187" s="464"/>
    </row>
    <row r="188" spans="1:4" s="35" customFormat="1" x14ac:dyDescent="0.2">
      <c r="A188" s="464"/>
    </row>
    <row r="189" spans="1:4" s="35" customFormat="1" x14ac:dyDescent="0.2">
      <c r="A189" s="464"/>
    </row>
    <row r="190" spans="1:4" s="35" customFormat="1" x14ac:dyDescent="0.2">
      <c r="A190" s="464"/>
    </row>
    <row r="191" spans="1:4" s="35" customFormat="1" x14ac:dyDescent="0.2">
      <c r="A191" s="464"/>
    </row>
    <row r="192" spans="1:4" s="35" customFormat="1" x14ac:dyDescent="0.2">
      <c r="A192" s="464"/>
      <c r="B192" s="29"/>
      <c r="C192" s="34"/>
      <c r="D192" s="29"/>
    </row>
    <row r="193" spans="1:4" s="35" customFormat="1" x14ac:dyDescent="0.2">
      <c r="A193" s="464"/>
      <c r="B193" s="29"/>
      <c r="C193" s="34"/>
      <c r="D193" s="29"/>
    </row>
    <row r="194" spans="1:4" s="35" customFormat="1" x14ac:dyDescent="0.2">
      <c r="A194" s="464"/>
      <c r="B194" s="29"/>
      <c r="C194" s="34"/>
      <c r="D194" s="29"/>
    </row>
    <row r="195" spans="1:4" s="35" customFormat="1" x14ac:dyDescent="0.2">
      <c r="A195" s="464"/>
      <c r="B195" s="29"/>
      <c r="C195" s="34"/>
      <c r="D195" s="29"/>
    </row>
    <row r="196" spans="1:4" s="35" customFormat="1" x14ac:dyDescent="0.2">
      <c r="A196" s="464"/>
      <c r="B196" s="29"/>
      <c r="C196" s="34"/>
      <c r="D196" s="29"/>
    </row>
    <row r="197" spans="1:4" s="35" customFormat="1" x14ac:dyDescent="0.2">
      <c r="A197" s="464"/>
      <c r="B197" s="29"/>
      <c r="C197" s="34"/>
      <c r="D197" s="29"/>
    </row>
    <row r="198" spans="1:4" s="35" customFormat="1" x14ac:dyDescent="0.2">
      <c r="A198" s="464"/>
      <c r="B198" s="29"/>
      <c r="C198" s="34"/>
      <c r="D198" s="29"/>
    </row>
    <row r="199" spans="1:4" s="35" customFormat="1" x14ac:dyDescent="0.2">
      <c r="A199" s="464"/>
      <c r="B199" s="29"/>
      <c r="C199" s="34"/>
      <c r="D199" s="29"/>
    </row>
    <row r="200" spans="1:4" s="35" customFormat="1" x14ac:dyDescent="0.2">
      <c r="A200" s="464"/>
      <c r="B200" s="29"/>
      <c r="C200" s="34"/>
      <c r="D200" s="29"/>
    </row>
    <row r="201" spans="1:4" s="35" customFormat="1" x14ac:dyDescent="0.2">
      <c r="A201" s="464"/>
      <c r="B201" s="29"/>
      <c r="C201" s="34"/>
      <c r="D201" s="29"/>
    </row>
    <row r="202" spans="1:4" s="35" customFormat="1" x14ac:dyDescent="0.2">
      <c r="A202" s="464"/>
      <c r="B202" s="29"/>
      <c r="C202" s="34"/>
      <c r="D202" s="29"/>
    </row>
    <row r="203" spans="1:4" s="35" customFormat="1" x14ac:dyDescent="0.2">
      <c r="A203" s="464"/>
      <c r="B203" s="29"/>
      <c r="C203" s="34"/>
      <c r="D203" s="29"/>
    </row>
    <row r="204" spans="1:4" s="35" customFormat="1" x14ac:dyDescent="0.2">
      <c r="A204" s="464"/>
      <c r="B204" s="29"/>
      <c r="C204" s="34"/>
      <c r="D204" s="29"/>
    </row>
    <row r="205" spans="1:4" s="35" customFormat="1" x14ac:dyDescent="0.2">
      <c r="A205" s="464"/>
      <c r="B205" s="29"/>
      <c r="C205" s="34"/>
      <c r="D205" s="29"/>
    </row>
    <row r="206" spans="1:4" s="35" customFormat="1" x14ac:dyDescent="0.2">
      <c r="A206" s="464"/>
      <c r="B206" s="29"/>
      <c r="C206" s="34"/>
      <c r="D206" s="29"/>
    </row>
    <row r="207" spans="1:4" s="35" customFormat="1" x14ac:dyDescent="0.2">
      <c r="A207" s="464"/>
      <c r="B207" s="29"/>
      <c r="C207" s="34"/>
      <c r="D207" s="29"/>
    </row>
    <row r="208" spans="1:4" s="35" customFormat="1" x14ac:dyDescent="0.2">
      <c r="A208" s="464"/>
      <c r="B208" s="29"/>
      <c r="C208" s="34"/>
      <c r="D208" s="29"/>
    </row>
    <row r="209" spans="1:4" s="35" customFormat="1" x14ac:dyDescent="0.2">
      <c r="A209" s="464"/>
      <c r="B209" s="29"/>
      <c r="C209" s="34"/>
      <c r="D209" s="29"/>
    </row>
    <row r="210" spans="1:4" s="35" customFormat="1" x14ac:dyDescent="0.2">
      <c r="A210" s="464"/>
      <c r="B210" s="29"/>
      <c r="C210" s="34"/>
      <c r="D210" s="29"/>
    </row>
    <row r="211" spans="1:4" s="35" customFormat="1" x14ac:dyDescent="0.2">
      <c r="A211" s="464"/>
      <c r="B211" s="29"/>
      <c r="C211" s="34"/>
      <c r="D211" s="29"/>
    </row>
    <row r="212" spans="1:4" s="35" customFormat="1" x14ac:dyDescent="0.2">
      <c r="A212" s="464"/>
      <c r="B212" s="29"/>
      <c r="C212" s="34"/>
      <c r="D212" s="29"/>
    </row>
    <row r="213" spans="1:4" s="35" customFormat="1" x14ac:dyDescent="0.2">
      <c r="A213" s="464"/>
      <c r="B213" s="29"/>
      <c r="C213" s="34"/>
      <c r="D213" s="29"/>
    </row>
    <row r="214" spans="1:4" s="35" customFormat="1" x14ac:dyDescent="0.2">
      <c r="A214" s="464"/>
      <c r="B214" s="29"/>
      <c r="C214" s="34"/>
      <c r="D214" s="29"/>
    </row>
    <row r="215" spans="1:4" s="35" customFormat="1" x14ac:dyDescent="0.2">
      <c r="A215" s="464"/>
      <c r="B215" s="29"/>
      <c r="C215" s="34"/>
      <c r="D215" s="29"/>
    </row>
    <row r="216" spans="1:4" s="35" customFormat="1" x14ac:dyDescent="0.2">
      <c r="A216" s="464"/>
      <c r="B216" s="29"/>
      <c r="C216" s="34"/>
      <c r="D216" s="29"/>
    </row>
    <row r="217" spans="1:4" s="35" customFormat="1" x14ac:dyDescent="0.2">
      <c r="A217" s="464"/>
      <c r="B217" s="29"/>
      <c r="C217" s="34"/>
      <c r="D217" s="29"/>
    </row>
    <row r="218" spans="1:4" s="35" customFormat="1" x14ac:dyDescent="0.2">
      <c r="A218" s="464"/>
      <c r="B218" s="29"/>
      <c r="C218" s="34"/>
      <c r="D218" s="29"/>
    </row>
    <row r="219" spans="1:4" s="35" customFormat="1" x14ac:dyDescent="0.2">
      <c r="A219" s="464"/>
      <c r="B219" s="29"/>
      <c r="C219" s="34"/>
      <c r="D219" s="29"/>
    </row>
    <row r="220" spans="1:4" s="35" customFormat="1" x14ac:dyDescent="0.2">
      <c r="A220" s="464"/>
      <c r="B220" s="29"/>
      <c r="C220" s="34"/>
      <c r="D220" s="29"/>
    </row>
    <row r="221" spans="1:4" s="35" customFormat="1" x14ac:dyDescent="0.2">
      <c r="A221" s="464"/>
      <c r="B221" s="29"/>
      <c r="C221" s="34"/>
      <c r="D221" s="29"/>
    </row>
    <row r="222" spans="1:4" s="35" customFormat="1" x14ac:dyDescent="0.2">
      <c r="A222" s="464"/>
      <c r="B222" s="29"/>
      <c r="C222" s="34"/>
      <c r="D222" s="29"/>
    </row>
    <row r="223" spans="1:4" s="35" customFormat="1" x14ac:dyDescent="0.2">
      <c r="A223" s="464"/>
      <c r="B223" s="29"/>
      <c r="C223" s="34"/>
      <c r="D223" s="29"/>
    </row>
    <row r="224" spans="1:4" s="35" customFormat="1" x14ac:dyDescent="0.2">
      <c r="A224" s="464"/>
      <c r="B224" s="29"/>
      <c r="C224" s="34"/>
      <c r="D224" s="29"/>
    </row>
    <row r="225" spans="1:4" s="35" customFormat="1" x14ac:dyDescent="0.2">
      <c r="A225" s="464"/>
      <c r="B225" s="29"/>
      <c r="C225" s="34"/>
      <c r="D225" s="29"/>
    </row>
    <row r="226" spans="1:4" s="35" customFormat="1" x14ac:dyDescent="0.2">
      <c r="A226" s="464"/>
      <c r="B226" s="29"/>
      <c r="C226" s="34"/>
      <c r="D226" s="29"/>
    </row>
    <row r="227" spans="1:4" s="35" customFormat="1" x14ac:dyDescent="0.2">
      <c r="A227" s="464"/>
      <c r="B227" s="29"/>
      <c r="C227" s="34"/>
      <c r="D227" s="29"/>
    </row>
  </sheetData>
  <mergeCells count="50">
    <mergeCell ref="E48:G48"/>
    <mergeCell ref="E89:G89"/>
    <mergeCell ref="F59:F68"/>
    <mergeCell ref="E56:G56"/>
    <mergeCell ref="E91:G91"/>
    <mergeCell ref="E53:G53"/>
    <mergeCell ref="E52:G52"/>
    <mergeCell ref="E51:G51"/>
    <mergeCell ref="E55:G55"/>
    <mergeCell ref="E87:G87"/>
    <mergeCell ref="E88:G88"/>
    <mergeCell ref="E26:G26"/>
    <mergeCell ref="E28:G28"/>
    <mergeCell ref="E35:G35"/>
    <mergeCell ref="E29:G29"/>
    <mergeCell ref="E44:G44"/>
    <mergeCell ref="E37:G37"/>
    <mergeCell ref="E30:G30"/>
    <mergeCell ref="E31:G31"/>
    <mergeCell ref="E34:G34"/>
    <mergeCell ref="E33:G33"/>
    <mergeCell ref="E40:G40"/>
    <mergeCell ref="E38:G38"/>
    <mergeCell ref="E39:G39"/>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G160:G165"/>
    <mergeCell ref="C133:D133"/>
    <mergeCell ref="E148:G148"/>
    <mergeCell ref="D102:D103"/>
    <mergeCell ref="E90:G90"/>
    <mergeCell ref="E145:G147"/>
    <mergeCell ref="E156:G156"/>
    <mergeCell ref="F152:G152"/>
    <mergeCell ref="E149:G149"/>
    <mergeCell ref="E150:G150"/>
  </mergeCells>
  <phoneticPr fontId="2" type="noConversion"/>
  <conditionalFormatting sqref="H16:H17">
    <cfRule type="expression" dxfId="3" priority="10">
      <formula>$H$17 &gt; 0.3</formula>
    </cfRule>
  </conditionalFormatting>
  <dataValidations xWindow="543" yWindow="734" count="17">
    <dataValidation allowBlank="1" showInputMessage="1" showErrorMessage="1" prompt="Tax covers all fuel and utilities.  Result may be negative (credit) for biomass derived feed." sqref="E163" xr:uid="{00000000-0002-0000-0300-000000000000}"/>
    <dataValidation allowBlank="1" showInputMessage="1" showErrorMessage="1" prompt="Enter specific year replacement costs on Replacement Costs sheet" sqref="C156" xr:uid="{00000000-0002-0000-0300-000001000000}"/>
    <dataValidation allowBlank="1" showInputMessage="1" showErrorMessage="1" prompt="View or change values for the original design estimate on the &quot;Capital Cost&quot; sheet only. Plant scaling values will use the original design estimate as the basis for scaling" sqref="C90"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91:C92" xr:uid="{00000000-0002-0000-0300-000003000000}"/>
    <dataValidation type="list" allowBlank="1" showInputMessage="1" showErrorMessage="1" sqref="B132"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16." sqref="C32" xr:uid="{00000000-0002-0000-0300-00000E000000}">
      <formula1>1992</formula1>
      <formula2>2016</formula2>
    </dataValidation>
    <dataValidation type="whole" showInputMessage="1" showErrorMessage="1" error="This cell cannot be left blank.  Enter a value between 1992 and 2016" prompt="The reference year must be between 1992 and 2016." sqref="C30" xr:uid="{00000000-0002-0000-0300-00000F000000}">
      <formula1>1992</formula1>
      <formula2>2016</formula2>
    </dataValidation>
    <dataValidation type="whole" allowBlank="1" showInputMessage="1" showErrorMessage="1" error="Debt period may not exceed analysis period" sqref="C45" xr:uid="{7024E34C-72B1-4178-9412-6390C22C190A}">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5" r:id="rId4" name="Check Box 201">
              <controlPr defaultSize="0" autoFill="0" autoLine="0" autoPict="0" macro="[0]!CheckBox201_Click" altText="H2A default">
                <anchor moveWithCells="1">
                  <from>
                    <xdr:col>3</xdr:col>
                    <xdr:colOff>152400</xdr:colOff>
                    <xdr:row>29</xdr:row>
                    <xdr:rowOff>0</xdr:rowOff>
                  </from>
                  <to>
                    <xdr:col>3</xdr:col>
                    <xdr:colOff>1066800</xdr:colOff>
                    <xdr:row>30</xdr:row>
                    <xdr:rowOff>0</xdr:rowOff>
                  </to>
                </anchor>
              </controlPr>
            </control>
          </mc:Choice>
        </mc:AlternateContent>
        <mc:AlternateContent xmlns:mc="http://schemas.openxmlformats.org/markup-compatibility/2006">
          <mc:Choice Requires="x14">
            <control shapeId="1226" r:id="rId5" name="Check Box 202">
              <controlPr defaultSize="0" autoFill="0" autoLine="0" autoPict="0" macro="[0]!CheckBox202_Click" altText="H2A default">
                <anchor moveWithCells="1">
                  <from>
                    <xdr:col>3</xdr:col>
                    <xdr:colOff>152400</xdr:colOff>
                    <xdr:row>40</xdr:row>
                    <xdr:rowOff>200025</xdr:rowOff>
                  </from>
                  <to>
                    <xdr:col>3</xdr:col>
                    <xdr:colOff>1066800</xdr:colOff>
                    <xdr:row>41</xdr:row>
                    <xdr:rowOff>200025</xdr:rowOff>
                  </to>
                </anchor>
              </controlPr>
            </control>
          </mc:Choice>
        </mc:AlternateContent>
        <mc:AlternateContent xmlns:mc="http://schemas.openxmlformats.org/markup-compatibility/2006">
          <mc:Choice Requires="x14">
            <control shapeId="1231" r:id="rId6" name="Check Box 203">
              <controlPr defaultSize="0" autoFill="0" autoLine="0" autoPict="0" macro="[0]!CheckBox203_Click" altText="H2A default">
                <anchor moveWithCells="1">
                  <from>
                    <xdr:col>3</xdr:col>
                    <xdr:colOff>152400</xdr:colOff>
                    <xdr:row>42</xdr:row>
                    <xdr:rowOff>0</xdr:rowOff>
                  </from>
                  <to>
                    <xdr:col>3</xdr:col>
                    <xdr:colOff>1066800</xdr:colOff>
                    <xdr:row>43</xdr:row>
                    <xdr:rowOff>0</xdr:rowOff>
                  </to>
                </anchor>
              </controlPr>
            </control>
          </mc:Choice>
        </mc:AlternateContent>
        <mc:AlternateContent xmlns:mc="http://schemas.openxmlformats.org/markup-compatibility/2006">
          <mc:Choice Requires="x14">
            <control shapeId="1233" r:id="rId7" name="Check Box 204">
              <controlPr defaultSize="0" autoFill="0" autoLine="0" autoPict="0" macro="[0]!CheckBox204_Click" altText="H2A default">
                <anchor moveWithCells="1">
                  <from>
                    <xdr:col>3</xdr:col>
                    <xdr:colOff>152400</xdr:colOff>
                    <xdr:row>47</xdr:row>
                    <xdr:rowOff>209550</xdr:rowOff>
                  </from>
                  <to>
                    <xdr:col>3</xdr:col>
                    <xdr:colOff>1066800</xdr:colOff>
                    <xdr:row>48</xdr:row>
                    <xdr:rowOff>209550</xdr:rowOff>
                  </to>
                </anchor>
              </controlPr>
            </control>
          </mc:Choice>
        </mc:AlternateContent>
        <mc:AlternateContent xmlns:mc="http://schemas.openxmlformats.org/markup-compatibility/2006">
          <mc:Choice Requires="x14">
            <control shapeId="1234" r:id="rId8" name="Check Box 205">
              <controlPr defaultSize="0" autoFill="0" autoLine="0" autoPict="0" macro="[0]!CheckBox205_Click" altText="H2A default">
                <anchor moveWithCells="1">
                  <from>
                    <xdr:col>3</xdr:col>
                    <xdr:colOff>152400</xdr:colOff>
                    <xdr:row>49</xdr:row>
                    <xdr:rowOff>0</xdr:rowOff>
                  </from>
                  <to>
                    <xdr:col>3</xdr:col>
                    <xdr:colOff>1066800</xdr:colOff>
                    <xdr:row>50</xdr:row>
                    <xdr:rowOff>0</xdr:rowOff>
                  </to>
                </anchor>
              </controlPr>
            </control>
          </mc:Choice>
        </mc:AlternateContent>
        <mc:AlternateContent xmlns:mc="http://schemas.openxmlformats.org/markup-compatibility/2006">
          <mc:Choice Requires="x14">
            <control shapeId="1235" r:id="rId9" name="Check Box 206">
              <controlPr defaultSize="0" autoFill="0" autoLine="0" autoPict="0" macro="[0]!CheckBox206_Click" altText="H2A default">
                <anchor moveWithCells="1">
                  <from>
                    <xdr:col>3</xdr:col>
                    <xdr:colOff>152400</xdr:colOff>
                    <xdr:row>50</xdr:row>
                    <xdr:rowOff>0</xdr:rowOff>
                  </from>
                  <to>
                    <xdr:col>3</xdr:col>
                    <xdr:colOff>1066800</xdr:colOff>
                    <xdr:row>51</xdr:row>
                    <xdr:rowOff>0</xdr:rowOff>
                  </to>
                </anchor>
              </controlPr>
            </control>
          </mc:Choice>
        </mc:AlternateContent>
        <mc:AlternateContent xmlns:mc="http://schemas.openxmlformats.org/markup-compatibility/2006">
          <mc:Choice Requires="x14">
            <control shapeId="1236" r:id="rId10" name="Check Box 207">
              <controlPr defaultSize="0" autoFill="0" autoLine="0" autoPict="0" macro="[0]!CheckBox207_Click" altText="H2A default">
                <anchor moveWithCells="1">
                  <from>
                    <xdr:col>3</xdr:col>
                    <xdr:colOff>152400</xdr:colOff>
                    <xdr:row>51</xdr:row>
                    <xdr:rowOff>0</xdr:rowOff>
                  </from>
                  <to>
                    <xdr:col>3</xdr:col>
                    <xdr:colOff>1066800</xdr:colOff>
                    <xdr:row>52</xdr:row>
                    <xdr:rowOff>0</xdr:rowOff>
                  </to>
                </anchor>
              </controlPr>
            </control>
          </mc:Choice>
        </mc:AlternateContent>
        <mc:AlternateContent xmlns:mc="http://schemas.openxmlformats.org/markup-compatibility/2006">
          <mc:Choice Requires="x14">
            <control shapeId="1237" r:id="rId11" name="Check Box 208">
              <controlPr defaultSize="0" autoFill="0" autoLine="0" autoPict="0" macro="[0]!CheckBox208_Click" altText="H2A default">
                <anchor moveWithCells="1">
                  <from>
                    <xdr:col>3</xdr:col>
                    <xdr:colOff>152400</xdr:colOff>
                    <xdr:row>52</xdr:row>
                    <xdr:rowOff>0</xdr:rowOff>
                  </from>
                  <to>
                    <xdr:col>3</xdr:col>
                    <xdr:colOff>1066800</xdr:colOff>
                    <xdr:row>53</xdr:row>
                    <xdr:rowOff>0</xdr:rowOff>
                  </to>
                </anchor>
              </controlPr>
            </control>
          </mc:Choice>
        </mc:AlternateContent>
        <mc:AlternateContent xmlns:mc="http://schemas.openxmlformats.org/markup-compatibility/2006">
          <mc:Choice Requires="x14">
            <control shapeId="1238" r:id="rId12" name="Check Box 209">
              <controlPr defaultSize="0" autoFill="0" autoLine="0" autoPict="0" macro="[0]!CheckBox209_Click" altText="H2A default">
                <anchor moveWithCells="1">
                  <from>
                    <xdr:col>3</xdr:col>
                    <xdr:colOff>152400</xdr:colOff>
                    <xdr:row>53</xdr:row>
                    <xdr:rowOff>0</xdr:rowOff>
                  </from>
                  <to>
                    <xdr:col>3</xdr:col>
                    <xdr:colOff>1066800</xdr:colOff>
                    <xdr:row>54</xdr:row>
                    <xdr:rowOff>0</xdr:rowOff>
                  </to>
                </anchor>
              </controlPr>
            </control>
          </mc:Choice>
        </mc:AlternateContent>
        <mc:AlternateContent xmlns:mc="http://schemas.openxmlformats.org/markup-compatibility/2006">
          <mc:Choice Requires="x14">
            <control shapeId="1239" r:id="rId13" name="Check Box 210">
              <controlPr defaultSize="0" autoFill="0" autoLine="0" autoPict="0" macro="[0]!CheckBox210_Click" altText="H2A default">
                <anchor moveWithCells="1">
                  <from>
                    <xdr:col>3</xdr:col>
                    <xdr:colOff>152400</xdr:colOff>
                    <xdr:row>54</xdr:row>
                    <xdr:rowOff>190500</xdr:rowOff>
                  </from>
                  <to>
                    <xdr:col>3</xdr:col>
                    <xdr:colOff>1066800</xdr:colOff>
                    <xdr:row>55</xdr:row>
                    <xdr:rowOff>190500</xdr:rowOff>
                  </to>
                </anchor>
              </controlPr>
            </control>
          </mc:Choice>
        </mc:AlternateContent>
        <mc:AlternateContent xmlns:mc="http://schemas.openxmlformats.org/markup-compatibility/2006">
          <mc:Choice Requires="x14">
            <control shapeId="1242" r:id="rId14" name="Check Box 211">
              <controlPr defaultSize="0" autoFill="0" autoLine="0" autoPict="0" macro="[0]!CheckBox211_Click" altText="H2A default">
                <anchor moveWithCells="1">
                  <from>
                    <xdr:col>3</xdr:col>
                    <xdr:colOff>152400</xdr:colOff>
                    <xdr:row>115</xdr:row>
                    <xdr:rowOff>0</xdr:rowOff>
                  </from>
                  <to>
                    <xdr:col>3</xdr:col>
                    <xdr:colOff>1066800</xdr:colOff>
                    <xdr:row>116</xdr:row>
                    <xdr:rowOff>0</xdr:rowOff>
                  </to>
                </anchor>
              </controlPr>
            </control>
          </mc:Choice>
        </mc:AlternateContent>
        <mc:AlternateContent xmlns:mc="http://schemas.openxmlformats.org/markup-compatibility/2006">
          <mc:Choice Requires="x14">
            <control shapeId="1243" r:id="rId15" name="Check Box 212">
              <controlPr defaultSize="0" autoFill="0" autoLine="0" autoPict="0" macro="[0]!CheckBox212_Click" altText="H2A default">
                <anchor moveWithCells="1">
                  <from>
                    <xdr:col>3</xdr:col>
                    <xdr:colOff>152400</xdr:colOff>
                    <xdr:row>118</xdr:row>
                    <xdr:rowOff>9525</xdr:rowOff>
                  </from>
                  <to>
                    <xdr:col>3</xdr:col>
                    <xdr:colOff>1066800</xdr:colOff>
                    <xdr:row>118</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AA83B17-A414-4DDC-8FFF-337C73061990}">
            <xm:f>$C$30=Lists!$P$4</xm:f>
            <x14:dxf>
              <font>
                <b val="0"/>
                <i val="0"/>
                <color auto="1"/>
              </font>
              <numFmt numFmtId="0" formatCode="General"/>
            </x14:dxf>
          </x14:cfRule>
          <xm:sqref>D30</xm:sqref>
        </x14:conditionalFormatting>
      </x14:conditionalFormattings>
    </ex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zoomScaleNormal="100" workbookViewId="0"/>
  </sheetViews>
  <sheetFormatPr defaultColWidth="9.140625" defaultRowHeight="12.75" x14ac:dyDescent="0.2"/>
  <cols>
    <col min="1" max="1" width="16.28515625" style="210" customWidth="1"/>
    <col min="2" max="2" width="17.42578125" style="210" customWidth="1"/>
    <col min="3" max="5" width="19.5703125" style="210" customWidth="1"/>
    <col min="6" max="6" width="19.42578125" style="210" customWidth="1"/>
    <col min="7" max="7" width="21.85546875" style="210" customWidth="1"/>
    <col min="8" max="8" width="23.28515625" style="210" customWidth="1"/>
    <col min="9" max="10" width="19.140625" style="210" customWidth="1"/>
    <col min="11" max="11" width="47.28515625" style="210" customWidth="1"/>
    <col min="12" max="12" width="30.28515625" style="210" customWidth="1"/>
    <col min="13" max="13" width="40.140625" style="210" customWidth="1"/>
    <col min="14" max="14" width="20" style="210" customWidth="1"/>
    <col min="15" max="16384" width="9.140625" style="210"/>
  </cols>
  <sheetData>
    <row r="1" spans="1:12" x14ac:dyDescent="0.2">
      <c r="B1" s="38"/>
      <c r="C1" s="38"/>
      <c r="D1" s="38"/>
      <c r="E1" s="38"/>
      <c r="F1" s="38"/>
      <c r="G1" s="38"/>
    </row>
    <row r="2" spans="1:12" ht="22.5" x14ac:dyDescent="0.45">
      <c r="A2" s="797" t="s">
        <v>1028</v>
      </c>
      <c r="B2" s="38"/>
      <c r="C2" s="38"/>
      <c r="D2" s="38"/>
      <c r="E2" s="38"/>
      <c r="F2" s="38"/>
      <c r="G2" s="38"/>
    </row>
    <row r="3" spans="1:12" x14ac:dyDescent="0.2">
      <c r="B3" s="41"/>
      <c r="C3" s="41"/>
      <c r="D3" s="41"/>
      <c r="E3" s="41"/>
      <c r="F3" s="41"/>
      <c r="G3" s="44"/>
      <c r="H3" s="211"/>
      <c r="I3" s="211"/>
      <c r="J3" s="211"/>
    </row>
    <row r="4" spans="1:12" x14ac:dyDescent="0.2">
      <c r="B4" s="41"/>
      <c r="C4" s="41"/>
      <c r="D4" s="41"/>
      <c r="E4" s="41"/>
      <c r="F4" s="41"/>
      <c r="G4" s="44"/>
      <c r="H4" s="211"/>
      <c r="I4" s="211"/>
      <c r="J4" s="211"/>
    </row>
    <row r="5" spans="1:12" customFormat="1" ht="15.75" x14ac:dyDescent="0.25">
      <c r="C5" s="799" t="s">
        <v>233</v>
      </c>
      <c r="D5" s="799"/>
      <c r="E5" s="799"/>
    </row>
    <row r="6" spans="1:12" customFormat="1" x14ac:dyDescent="0.2"/>
    <row r="7" spans="1:12" customFormat="1" x14ac:dyDescent="0.2"/>
    <row r="8" spans="1:12" customFormat="1" x14ac:dyDescent="0.2"/>
    <row r="9" spans="1:12" customFormat="1" x14ac:dyDescent="0.2">
      <c r="A9" s="798" t="str">
        <f>"NOTE: Enter costs in year "&amp;TEXT(BasisYear,"0")&amp;" $ - Do not inflate"</f>
        <v>NOTE: Enter costs in year 2005 $ - Do not inflate</v>
      </c>
    </row>
    <row r="10" spans="1:12" customFormat="1" x14ac:dyDescent="0.2">
      <c r="A10" s="798" t="s">
        <v>1029</v>
      </c>
    </row>
    <row r="11" spans="1:12" customFormat="1" x14ac:dyDescent="0.2"/>
    <row r="12" spans="1:12" ht="13.5" thickBot="1" x14ac:dyDescent="0.25">
      <c r="A12" s="212"/>
      <c r="B12" s="212"/>
      <c r="C12" s="212"/>
      <c r="D12" s="212"/>
      <c r="E12" s="212"/>
      <c r="F12" s="212"/>
      <c r="G12" s="212"/>
      <c r="H12" s="213"/>
      <c r="I12" s="213"/>
      <c r="J12" s="213"/>
    </row>
    <row r="13" spans="1:12" ht="14.25" thickTop="1" thickBot="1" x14ac:dyDescent="0.25">
      <c r="A13" s="337" t="s">
        <v>1030</v>
      </c>
      <c r="B13" s="338"/>
      <c r="C13" s="339"/>
      <c r="D13" s="339"/>
      <c r="E13" s="339"/>
      <c r="F13" s="340"/>
      <c r="G13" s="341"/>
    </row>
    <row r="14" spans="1:12" ht="14.25" thickTop="1" thickBot="1" x14ac:dyDescent="0.25">
      <c r="A14" s="342"/>
      <c r="B14" s="343"/>
      <c r="C14" s="344" t="s">
        <v>1031</v>
      </c>
      <c r="D14" s="344"/>
      <c r="E14" s="344"/>
      <c r="F14" s="344" t="s">
        <v>1032</v>
      </c>
      <c r="G14" s="345" t="s">
        <v>1033</v>
      </c>
    </row>
    <row r="15" spans="1:12" s="209" customFormat="1" ht="90.75" thickTop="1" thickBot="1" x14ac:dyDescent="0.25">
      <c r="A15" s="346" t="s">
        <v>183</v>
      </c>
      <c r="B15" s="529">
        <f>replace_factor</f>
        <v>5.0000000000000001E-3</v>
      </c>
      <c r="C15" s="347"/>
      <c r="D15" s="347"/>
      <c r="E15" s="347"/>
      <c r="F15" s="348"/>
      <c r="G15" s="349" t="s">
        <v>1034</v>
      </c>
      <c r="I15" s="221"/>
      <c r="J15" s="210"/>
      <c r="K15" s="214"/>
    </row>
    <row r="16" spans="1:12" ht="52.5" thickTop="1" thickBot="1" x14ac:dyDescent="0.25">
      <c r="A16" s="350" t="s">
        <v>1035</v>
      </c>
      <c r="B16" s="351" t="s">
        <v>40</v>
      </c>
      <c r="C16" s="352" t="s">
        <v>1036</v>
      </c>
      <c r="D16" s="352" t="s">
        <v>1037</v>
      </c>
      <c r="E16" s="352" t="s">
        <v>1293</v>
      </c>
      <c r="F16" s="352" t="s">
        <v>1037</v>
      </c>
      <c r="G16" s="352" t="s">
        <v>1038</v>
      </c>
      <c r="H16" s="352" t="s">
        <v>1076</v>
      </c>
      <c r="I16" s="352" t="s">
        <v>1077</v>
      </c>
      <c r="J16" s="352" t="s">
        <v>1078</v>
      </c>
      <c r="K16" s="353" t="s">
        <v>1079</v>
      </c>
      <c r="L16" s="354" t="s">
        <v>1080</v>
      </c>
    </row>
    <row r="17" spans="1:12" ht="14.25" thickTop="1" thickBot="1" x14ac:dyDescent="0.25">
      <c r="A17" s="355"/>
      <c r="B17" s="356"/>
      <c r="C17" s="356"/>
      <c r="D17" s="356" t="str">
        <f>"Year "&amp;TEXT(BasisYear,"0")&amp;" $"</f>
        <v>Year 2005 $</v>
      </c>
      <c r="E17" s="356" t="str">
        <f>"Year "&amp;TEXT(ref_year,"0")&amp;" $"</f>
        <v>Year 2016 $</v>
      </c>
      <c r="F17" s="356" t="str">
        <f>"Year "&amp;TEXT(ref_year,"0")&amp;" $"</f>
        <v>Year 2016 $</v>
      </c>
      <c r="G17" s="356" t="str">
        <f>"Year "&amp;TEXT(ref_year,"0")&amp;" $"</f>
        <v>Year 2016 $</v>
      </c>
      <c r="H17" s="356" t="s">
        <v>1081</v>
      </c>
      <c r="I17" s="356"/>
      <c r="J17" s="356"/>
      <c r="K17" s="357"/>
      <c r="L17" s="358"/>
    </row>
    <row r="18" spans="1:12" ht="13.5" thickTop="1" x14ac:dyDescent="0.2">
      <c r="A18" s="92">
        <f>IF(C18&lt;&gt;"",'Cash Flow Analysis'!A65,"")</f>
        <v>2012</v>
      </c>
      <c r="B18" s="313">
        <f>construct+1</f>
        <v>4</v>
      </c>
      <c r="C18" s="313">
        <v>1</v>
      </c>
      <c r="D18" s="482"/>
      <c r="E18" s="215">
        <f>+'Carbon Sequestration'!$C$100*(C18&lt;=anal_period)</f>
        <v>0</v>
      </c>
      <c r="F18" s="215">
        <f t="shared" ref="F18:F57" si="0">(D18)*CPIinflator*CEPCIinflator+E18</f>
        <v>0</v>
      </c>
      <c r="G18" s="215">
        <f ca="1">IF(C18&gt;anal_period,0,IF(replace_factor&lt;&gt;"",replace_factor*depr_cap,0))</f>
        <v>1028612.9023721826</v>
      </c>
      <c r="H18" s="216">
        <f ca="1">(F18+G18)*((1+inflation_rate)^(startup_year-ref_year))</f>
        <v>1009433.6627793746</v>
      </c>
      <c r="I18" s="359"/>
      <c r="J18" s="360"/>
      <c r="K18" s="361"/>
      <c r="L18" s="362"/>
    </row>
    <row r="19" spans="1:12" x14ac:dyDescent="0.2">
      <c r="A19" s="94">
        <f>IF(C19&lt;&gt;"",'Cash Flow Analysis'!A66,"")</f>
        <v>2013</v>
      </c>
      <c r="B19" s="314">
        <f t="shared" ref="B19:B57" si="1">IF(B18&lt;anal_period+construct,B18+1,"")</f>
        <v>5</v>
      </c>
      <c r="C19" s="314">
        <f t="shared" ref="C19:C57" si="2">IF(B19="","",C18+1)</f>
        <v>2</v>
      </c>
      <c r="D19" s="483"/>
      <c r="E19" s="217">
        <f>+'Carbon Sequestration'!$C$100*(C19&lt;=anal_period)</f>
        <v>0</v>
      </c>
      <c r="F19" s="217">
        <f t="shared" si="0"/>
        <v>0</v>
      </c>
      <c r="G19" s="217">
        <f t="shared" ref="G19:G57" ca="1" si="3">IF(C19&gt;anal_period,0,IF(replace_factor&lt;&gt;"",replace_factor*depr_cap,0))</f>
        <v>1028612.9023721826</v>
      </c>
      <c r="H19" s="218">
        <f t="shared" ref="H19:H57" ca="1" si="4">(F19+G19)*((1+inflation_rate)^(startup_year-ref_year))</f>
        <v>1009433.6627793746</v>
      </c>
      <c r="I19" s="363"/>
      <c r="J19" s="364"/>
      <c r="K19" s="365"/>
      <c r="L19" s="366"/>
    </row>
    <row r="20" spans="1:12" x14ac:dyDescent="0.2">
      <c r="A20" s="94">
        <f>IF(C20&lt;&gt;"",'Cash Flow Analysis'!A67,"")</f>
        <v>2014</v>
      </c>
      <c r="B20" s="314">
        <f t="shared" si="1"/>
        <v>6</v>
      </c>
      <c r="C20" s="314">
        <f t="shared" si="2"/>
        <v>3</v>
      </c>
      <c r="D20" s="483"/>
      <c r="E20" s="217">
        <f>+'Carbon Sequestration'!$C$100*(C20&lt;=anal_period)</f>
        <v>0</v>
      </c>
      <c r="F20" s="217">
        <f t="shared" si="0"/>
        <v>0</v>
      </c>
      <c r="G20" s="217">
        <f t="shared" ca="1" si="3"/>
        <v>1028612.9023721826</v>
      </c>
      <c r="H20" s="218">
        <f t="shared" ca="1" si="4"/>
        <v>1009433.6627793746</v>
      </c>
      <c r="I20" s="363"/>
      <c r="J20" s="364"/>
      <c r="K20" s="365"/>
      <c r="L20" s="366"/>
    </row>
    <row r="21" spans="1:12" x14ac:dyDescent="0.2">
      <c r="A21" s="94">
        <f>IF(C21&lt;&gt;"",'Cash Flow Analysis'!A68,"")</f>
        <v>2015</v>
      </c>
      <c r="B21" s="314">
        <f t="shared" si="1"/>
        <v>7</v>
      </c>
      <c r="C21" s="314">
        <f t="shared" si="2"/>
        <v>4</v>
      </c>
      <c r="D21" s="483"/>
      <c r="E21" s="217">
        <f>+'Carbon Sequestration'!$C$100*(C21&lt;=anal_period)</f>
        <v>0</v>
      </c>
      <c r="F21" s="217">
        <f t="shared" si="0"/>
        <v>0</v>
      </c>
      <c r="G21" s="217">
        <f t="shared" ca="1" si="3"/>
        <v>1028612.9023721826</v>
      </c>
      <c r="H21" s="218">
        <f t="shared" ca="1" si="4"/>
        <v>1009433.6627793746</v>
      </c>
      <c r="I21" s="363"/>
      <c r="J21" s="364"/>
      <c r="K21" s="365"/>
      <c r="L21" s="366"/>
    </row>
    <row r="22" spans="1:12" x14ac:dyDescent="0.2">
      <c r="A22" s="94">
        <f>IF(C22&lt;&gt;"",'Cash Flow Analysis'!A69,"")</f>
        <v>2016</v>
      </c>
      <c r="B22" s="314">
        <f t="shared" si="1"/>
        <v>8</v>
      </c>
      <c r="C22" s="314">
        <f t="shared" si="2"/>
        <v>5</v>
      </c>
      <c r="D22" s="483"/>
      <c r="E22" s="217">
        <f>+'Carbon Sequestration'!$C$100*(C22&lt;=anal_period)</f>
        <v>0</v>
      </c>
      <c r="F22" s="217">
        <f t="shared" si="0"/>
        <v>0</v>
      </c>
      <c r="G22" s="217">
        <f t="shared" ca="1" si="3"/>
        <v>1028612.9023721826</v>
      </c>
      <c r="H22" s="218">
        <f t="shared" ca="1" si="4"/>
        <v>1009433.6627793746</v>
      </c>
      <c r="I22" s="363"/>
      <c r="J22" s="364"/>
      <c r="K22" s="884"/>
      <c r="L22" s="885"/>
    </row>
    <row r="23" spans="1:12" x14ac:dyDescent="0.2">
      <c r="A23" s="94">
        <f>IF(C23&lt;&gt;"",'Cash Flow Analysis'!A70,"")</f>
        <v>2017</v>
      </c>
      <c r="B23" s="314">
        <f t="shared" si="1"/>
        <v>9</v>
      </c>
      <c r="C23" s="314">
        <f t="shared" si="2"/>
        <v>6</v>
      </c>
      <c r="D23" s="483"/>
      <c r="E23" s="217">
        <f>+'Carbon Sequestration'!$C$100*(C23&lt;=anal_period)</f>
        <v>0</v>
      </c>
      <c r="F23" s="217">
        <f t="shared" si="0"/>
        <v>0</v>
      </c>
      <c r="G23" s="217">
        <f t="shared" ca="1" si="3"/>
        <v>1028612.9023721826</v>
      </c>
      <c r="H23" s="218">
        <f t="shared" ca="1" si="4"/>
        <v>1009433.6627793746</v>
      </c>
      <c r="I23" s="363"/>
      <c r="J23" s="364"/>
      <c r="K23" s="365"/>
      <c r="L23" s="366"/>
    </row>
    <row r="24" spans="1:12" x14ac:dyDescent="0.2">
      <c r="A24" s="94">
        <f>IF(C24&lt;&gt;"",'Cash Flow Analysis'!A71,"")</f>
        <v>2018</v>
      </c>
      <c r="B24" s="314">
        <f t="shared" si="1"/>
        <v>10</v>
      </c>
      <c r="C24" s="314">
        <f t="shared" si="2"/>
        <v>7</v>
      </c>
      <c r="D24" s="483"/>
      <c r="E24" s="217">
        <f>+'Carbon Sequestration'!$C$100*(C24&lt;=anal_period)</f>
        <v>0</v>
      </c>
      <c r="F24" s="217">
        <f t="shared" si="0"/>
        <v>0</v>
      </c>
      <c r="G24" s="217">
        <f t="shared" ca="1" si="3"/>
        <v>1028612.9023721826</v>
      </c>
      <c r="H24" s="218">
        <f t="shared" ca="1" si="4"/>
        <v>1009433.6627793746</v>
      </c>
      <c r="I24" s="363"/>
      <c r="J24" s="364"/>
      <c r="K24" s="365"/>
      <c r="L24" s="366"/>
    </row>
    <row r="25" spans="1:12" x14ac:dyDescent="0.2">
      <c r="A25" s="94">
        <f>IF(C25&lt;&gt;"",'Cash Flow Analysis'!A72,"")</f>
        <v>2019</v>
      </c>
      <c r="B25" s="314">
        <f t="shared" si="1"/>
        <v>11</v>
      </c>
      <c r="C25" s="314">
        <f t="shared" si="2"/>
        <v>8</v>
      </c>
      <c r="D25" s="483"/>
      <c r="E25" s="217">
        <f>+'Carbon Sequestration'!$C$100*(C25&lt;=anal_period)</f>
        <v>0</v>
      </c>
      <c r="F25" s="217">
        <f t="shared" si="0"/>
        <v>0</v>
      </c>
      <c r="G25" s="217">
        <f t="shared" ca="1" si="3"/>
        <v>1028612.9023721826</v>
      </c>
      <c r="H25" s="218">
        <f t="shared" ca="1" si="4"/>
        <v>1009433.6627793746</v>
      </c>
      <c r="I25" s="363"/>
      <c r="J25" s="364"/>
      <c r="K25" s="365"/>
      <c r="L25" s="366"/>
    </row>
    <row r="26" spans="1:12" x14ac:dyDescent="0.2">
      <c r="A26" s="94">
        <f>IF(C26&lt;&gt;"",'Cash Flow Analysis'!A73,"")</f>
        <v>2020</v>
      </c>
      <c r="B26" s="314">
        <f t="shared" si="1"/>
        <v>12</v>
      </c>
      <c r="C26" s="314">
        <f t="shared" si="2"/>
        <v>9</v>
      </c>
      <c r="D26" s="483"/>
      <c r="E26" s="217">
        <f>+'Carbon Sequestration'!$C$100*(C26&lt;=anal_period)</f>
        <v>0</v>
      </c>
      <c r="F26" s="217">
        <f t="shared" si="0"/>
        <v>0</v>
      </c>
      <c r="G26" s="217">
        <f t="shared" ca="1" si="3"/>
        <v>1028612.9023721826</v>
      </c>
      <c r="H26" s="218">
        <f t="shared" ca="1" si="4"/>
        <v>1009433.6627793746</v>
      </c>
      <c r="I26" s="363"/>
      <c r="J26" s="364"/>
      <c r="K26" s="365"/>
      <c r="L26" s="366"/>
    </row>
    <row r="27" spans="1:12" x14ac:dyDescent="0.2">
      <c r="A27" s="94">
        <f>IF(C27&lt;&gt;"",'Cash Flow Analysis'!A74,"")</f>
        <v>2021</v>
      </c>
      <c r="B27" s="314">
        <f t="shared" si="1"/>
        <v>13</v>
      </c>
      <c r="C27" s="314">
        <f t="shared" si="2"/>
        <v>10</v>
      </c>
      <c r="D27" s="483"/>
      <c r="E27" s="217">
        <f>+'Carbon Sequestration'!$C$100*(C27&lt;=anal_period)</f>
        <v>0</v>
      </c>
      <c r="F27" s="217">
        <f t="shared" si="0"/>
        <v>0</v>
      </c>
      <c r="G27" s="217">
        <f t="shared" ca="1" si="3"/>
        <v>1028612.9023721826</v>
      </c>
      <c r="H27" s="218">
        <f t="shared" ca="1" si="4"/>
        <v>1009433.6627793746</v>
      </c>
      <c r="I27" s="363"/>
      <c r="J27" s="364"/>
      <c r="K27" s="365"/>
      <c r="L27" s="366"/>
    </row>
    <row r="28" spans="1:12" x14ac:dyDescent="0.2">
      <c r="A28" s="94">
        <f>IF(C28&lt;&gt;"",'Cash Flow Analysis'!A75,"")</f>
        <v>2022</v>
      </c>
      <c r="B28" s="314">
        <f t="shared" si="1"/>
        <v>14</v>
      </c>
      <c r="C28" s="314">
        <f t="shared" si="2"/>
        <v>11</v>
      </c>
      <c r="D28" s="483"/>
      <c r="E28" s="217">
        <f>+'Carbon Sequestration'!$C$100*(C28&lt;=anal_period)</f>
        <v>0</v>
      </c>
      <c r="F28" s="217">
        <f t="shared" si="0"/>
        <v>0</v>
      </c>
      <c r="G28" s="217">
        <f t="shared" ca="1" si="3"/>
        <v>1028612.9023721826</v>
      </c>
      <c r="H28" s="218">
        <f t="shared" ca="1" si="4"/>
        <v>1009433.6627793746</v>
      </c>
      <c r="I28" s="363"/>
      <c r="J28" s="364"/>
      <c r="K28" s="365"/>
      <c r="L28" s="366"/>
    </row>
    <row r="29" spans="1:12" x14ac:dyDescent="0.2">
      <c r="A29" s="94">
        <f>IF(C29&lt;&gt;"",'Cash Flow Analysis'!A76,"")</f>
        <v>2023</v>
      </c>
      <c r="B29" s="314">
        <f t="shared" si="1"/>
        <v>15</v>
      </c>
      <c r="C29" s="314">
        <f t="shared" si="2"/>
        <v>12</v>
      </c>
      <c r="D29" s="483"/>
      <c r="E29" s="217">
        <f>+'Carbon Sequestration'!$C$100*(C29&lt;=anal_period)</f>
        <v>0</v>
      </c>
      <c r="F29" s="217">
        <f t="shared" si="0"/>
        <v>0</v>
      </c>
      <c r="G29" s="217">
        <f t="shared" ca="1" si="3"/>
        <v>1028612.9023721826</v>
      </c>
      <c r="H29" s="218">
        <f t="shared" ca="1" si="4"/>
        <v>1009433.6627793746</v>
      </c>
      <c r="I29" s="363"/>
      <c r="J29" s="364"/>
      <c r="K29" s="365"/>
      <c r="L29" s="366"/>
    </row>
    <row r="30" spans="1:12" x14ac:dyDescent="0.2">
      <c r="A30" s="94">
        <f>IF(C30&lt;&gt;"",'Cash Flow Analysis'!A77,"")</f>
        <v>2024</v>
      </c>
      <c r="B30" s="314">
        <f t="shared" si="1"/>
        <v>16</v>
      </c>
      <c r="C30" s="314">
        <f t="shared" si="2"/>
        <v>13</v>
      </c>
      <c r="D30" s="483"/>
      <c r="E30" s="217">
        <f>+'Carbon Sequestration'!$C$100*(C30&lt;=anal_period)</f>
        <v>0</v>
      </c>
      <c r="F30" s="217">
        <f t="shared" si="0"/>
        <v>0</v>
      </c>
      <c r="G30" s="217">
        <f t="shared" ca="1" si="3"/>
        <v>1028612.9023721826</v>
      </c>
      <c r="H30" s="218">
        <f t="shared" ca="1" si="4"/>
        <v>1009433.6627793746</v>
      </c>
      <c r="I30" s="363"/>
      <c r="J30" s="364"/>
      <c r="K30" s="365"/>
      <c r="L30" s="366"/>
    </row>
    <row r="31" spans="1:12" x14ac:dyDescent="0.2">
      <c r="A31" s="94">
        <f>IF(C31&lt;&gt;"",'Cash Flow Analysis'!A78,"")</f>
        <v>2025</v>
      </c>
      <c r="B31" s="314">
        <f t="shared" si="1"/>
        <v>17</v>
      </c>
      <c r="C31" s="314">
        <f t="shared" si="2"/>
        <v>14</v>
      </c>
      <c r="D31" s="483"/>
      <c r="E31" s="217">
        <f>+'Carbon Sequestration'!$C$100*(C31&lt;=anal_period)</f>
        <v>0</v>
      </c>
      <c r="F31" s="217">
        <f t="shared" si="0"/>
        <v>0</v>
      </c>
      <c r="G31" s="217">
        <f t="shared" ca="1" si="3"/>
        <v>1028612.9023721826</v>
      </c>
      <c r="H31" s="218">
        <f t="shared" ca="1" si="4"/>
        <v>1009433.6627793746</v>
      </c>
      <c r="I31" s="363"/>
      <c r="J31" s="364"/>
      <c r="K31" s="365"/>
      <c r="L31" s="366"/>
    </row>
    <row r="32" spans="1:12" x14ac:dyDescent="0.2">
      <c r="A32" s="94">
        <f>IF(C32&lt;&gt;"",'Cash Flow Analysis'!A79,"")</f>
        <v>2026</v>
      </c>
      <c r="B32" s="314">
        <f t="shared" si="1"/>
        <v>18</v>
      </c>
      <c r="C32" s="314">
        <f t="shared" si="2"/>
        <v>15</v>
      </c>
      <c r="D32" s="483"/>
      <c r="E32" s="217">
        <f>+'Carbon Sequestration'!$C$100*(C32&lt;=anal_period)</f>
        <v>0</v>
      </c>
      <c r="F32" s="217">
        <f t="shared" si="0"/>
        <v>0</v>
      </c>
      <c r="G32" s="217">
        <f t="shared" ca="1" si="3"/>
        <v>1028612.9023721826</v>
      </c>
      <c r="H32" s="218">
        <f t="shared" ca="1" si="4"/>
        <v>1009433.6627793746</v>
      </c>
      <c r="I32" s="363"/>
      <c r="J32" s="364"/>
      <c r="K32" s="365"/>
      <c r="L32" s="366"/>
    </row>
    <row r="33" spans="1:12" x14ac:dyDescent="0.2">
      <c r="A33" s="94">
        <f>IF(C33&lt;&gt;"",'Cash Flow Analysis'!A80,"")</f>
        <v>2027</v>
      </c>
      <c r="B33" s="314">
        <f t="shared" si="1"/>
        <v>19</v>
      </c>
      <c r="C33" s="314">
        <f t="shared" si="2"/>
        <v>16</v>
      </c>
      <c r="D33" s="483"/>
      <c r="E33" s="217">
        <f>+'Carbon Sequestration'!$C$100*(C33&lt;=anal_period)</f>
        <v>0</v>
      </c>
      <c r="F33" s="217">
        <f t="shared" si="0"/>
        <v>0</v>
      </c>
      <c r="G33" s="217">
        <f t="shared" ca="1" si="3"/>
        <v>1028612.9023721826</v>
      </c>
      <c r="H33" s="218">
        <f t="shared" ca="1" si="4"/>
        <v>1009433.6627793746</v>
      </c>
      <c r="I33" s="363"/>
      <c r="J33" s="364"/>
      <c r="K33" s="365"/>
      <c r="L33" s="366"/>
    </row>
    <row r="34" spans="1:12" x14ac:dyDescent="0.2">
      <c r="A34" s="94">
        <f>IF(C34&lt;&gt;"",'Cash Flow Analysis'!A81,"")</f>
        <v>2028</v>
      </c>
      <c r="B34" s="314">
        <f t="shared" si="1"/>
        <v>20</v>
      </c>
      <c r="C34" s="314">
        <f t="shared" si="2"/>
        <v>17</v>
      </c>
      <c r="D34" s="483"/>
      <c r="E34" s="217">
        <f>+'Carbon Sequestration'!$C$100*(C34&lt;=anal_period)</f>
        <v>0</v>
      </c>
      <c r="F34" s="217">
        <f t="shared" si="0"/>
        <v>0</v>
      </c>
      <c r="G34" s="217">
        <f t="shared" ca="1" si="3"/>
        <v>1028612.9023721826</v>
      </c>
      <c r="H34" s="218">
        <f t="shared" ca="1" si="4"/>
        <v>1009433.6627793746</v>
      </c>
      <c r="I34" s="363"/>
      <c r="J34" s="364"/>
      <c r="K34" s="365"/>
      <c r="L34" s="366"/>
    </row>
    <row r="35" spans="1:12" x14ac:dyDescent="0.2">
      <c r="A35" s="94">
        <f>IF(C35&lt;&gt;"",'Cash Flow Analysis'!A82,"")</f>
        <v>2029</v>
      </c>
      <c r="B35" s="314">
        <f t="shared" si="1"/>
        <v>21</v>
      </c>
      <c r="C35" s="314">
        <f t="shared" si="2"/>
        <v>18</v>
      </c>
      <c r="D35" s="483"/>
      <c r="E35" s="217">
        <f>+'Carbon Sequestration'!$C$100*(C35&lt;=anal_period)</f>
        <v>0</v>
      </c>
      <c r="F35" s="217">
        <f t="shared" si="0"/>
        <v>0</v>
      </c>
      <c r="G35" s="217">
        <f t="shared" ca="1" si="3"/>
        <v>1028612.9023721826</v>
      </c>
      <c r="H35" s="218">
        <f t="shared" ca="1" si="4"/>
        <v>1009433.6627793746</v>
      </c>
      <c r="I35" s="363"/>
      <c r="J35" s="364"/>
      <c r="K35" s="365"/>
      <c r="L35" s="366"/>
    </row>
    <row r="36" spans="1:12" x14ac:dyDescent="0.2">
      <c r="A36" s="94">
        <f>IF(C36&lt;&gt;"",'Cash Flow Analysis'!A83,"")</f>
        <v>2030</v>
      </c>
      <c r="B36" s="314">
        <f t="shared" si="1"/>
        <v>22</v>
      </c>
      <c r="C36" s="314">
        <f t="shared" si="2"/>
        <v>19</v>
      </c>
      <c r="D36" s="483"/>
      <c r="E36" s="217">
        <f>+'Carbon Sequestration'!$C$100*(C36&lt;=anal_period)</f>
        <v>0</v>
      </c>
      <c r="F36" s="217">
        <f t="shared" si="0"/>
        <v>0</v>
      </c>
      <c r="G36" s="217">
        <f t="shared" ca="1" si="3"/>
        <v>1028612.9023721826</v>
      </c>
      <c r="H36" s="218">
        <f t="shared" ca="1" si="4"/>
        <v>1009433.6627793746</v>
      </c>
      <c r="I36" s="363"/>
      <c r="J36" s="364"/>
      <c r="K36" s="365"/>
      <c r="L36" s="366"/>
    </row>
    <row r="37" spans="1:12" x14ac:dyDescent="0.2">
      <c r="A37" s="94">
        <f>IF(C37&lt;&gt;"",'Cash Flow Analysis'!A84,"")</f>
        <v>2031</v>
      </c>
      <c r="B37" s="314">
        <f t="shared" si="1"/>
        <v>23</v>
      </c>
      <c r="C37" s="314">
        <f t="shared" si="2"/>
        <v>20</v>
      </c>
      <c r="D37" s="483"/>
      <c r="E37" s="217">
        <f>+'Carbon Sequestration'!$C$100*(C37&lt;=anal_period)</f>
        <v>0</v>
      </c>
      <c r="F37" s="217">
        <f t="shared" si="0"/>
        <v>0</v>
      </c>
      <c r="G37" s="217">
        <f t="shared" ca="1" si="3"/>
        <v>1028612.9023721826</v>
      </c>
      <c r="H37" s="218">
        <f t="shared" ca="1" si="4"/>
        <v>1009433.6627793746</v>
      </c>
      <c r="I37" s="363"/>
      <c r="J37" s="364"/>
      <c r="K37" s="365"/>
      <c r="L37" s="366"/>
    </row>
    <row r="38" spans="1:12" x14ac:dyDescent="0.2">
      <c r="A38" s="94">
        <f>IF(C38&lt;&gt;"",'Cash Flow Analysis'!A85,"")</f>
        <v>2032</v>
      </c>
      <c r="B38" s="314">
        <f t="shared" si="1"/>
        <v>24</v>
      </c>
      <c r="C38" s="314">
        <f t="shared" si="2"/>
        <v>21</v>
      </c>
      <c r="D38" s="483"/>
      <c r="E38" s="217">
        <f>+'Carbon Sequestration'!$C$100*(C38&lt;=anal_period)</f>
        <v>0</v>
      </c>
      <c r="F38" s="217">
        <f t="shared" si="0"/>
        <v>0</v>
      </c>
      <c r="G38" s="217">
        <f t="shared" ca="1" si="3"/>
        <v>1028612.9023721826</v>
      </c>
      <c r="H38" s="218">
        <f t="shared" ca="1" si="4"/>
        <v>1009433.6627793746</v>
      </c>
      <c r="I38" s="363"/>
      <c r="J38" s="364"/>
      <c r="K38" s="365"/>
      <c r="L38" s="366"/>
    </row>
    <row r="39" spans="1:12" x14ac:dyDescent="0.2">
      <c r="A39" s="94">
        <f>IF(C39&lt;&gt;"",'Cash Flow Analysis'!A86,"")</f>
        <v>2033</v>
      </c>
      <c r="B39" s="314">
        <f t="shared" si="1"/>
        <v>25</v>
      </c>
      <c r="C39" s="314">
        <f t="shared" si="2"/>
        <v>22</v>
      </c>
      <c r="D39" s="483"/>
      <c r="E39" s="217">
        <f>+'Carbon Sequestration'!$C$100*(C39&lt;=anal_period)</f>
        <v>0</v>
      </c>
      <c r="F39" s="217">
        <f t="shared" si="0"/>
        <v>0</v>
      </c>
      <c r="G39" s="217">
        <f t="shared" ca="1" si="3"/>
        <v>1028612.9023721826</v>
      </c>
      <c r="H39" s="218">
        <f t="shared" ca="1" si="4"/>
        <v>1009433.6627793746</v>
      </c>
      <c r="I39" s="363"/>
      <c r="J39" s="364"/>
      <c r="K39" s="365"/>
      <c r="L39" s="366"/>
    </row>
    <row r="40" spans="1:12" x14ac:dyDescent="0.2">
      <c r="A40" s="94">
        <f>IF(C40&lt;&gt;"",'Cash Flow Analysis'!A87,"")</f>
        <v>2034</v>
      </c>
      <c r="B40" s="314">
        <f t="shared" si="1"/>
        <v>26</v>
      </c>
      <c r="C40" s="314">
        <f t="shared" si="2"/>
        <v>23</v>
      </c>
      <c r="D40" s="483"/>
      <c r="E40" s="217">
        <f>+'Carbon Sequestration'!$C$100*(C40&lt;=anal_period)</f>
        <v>0</v>
      </c>
      <c r="F40" s="217">
        <f t="shared" si="0"/>
        <v>0</v>
      </c>
      <c r="G40" s="217">
        <f t="shared" ca="1" si="3"/>
        <v>1028612.9023721826</v>
      </c>
      <c r="H40" s="218">
        <f t="shared" ca="1" si="4"/>
        <v>1009433.6627793746</v>
      </c>
      <c r="I40" s="363"/>
      <c r="J40" s="364"/>
      <c r="K40" s="365"/>
      <c r="L40" s="366"/>
    </row>
    <row r="41" spans="1:12" x14ac:dyDescent="0.2">
      <c r="A41" s="94">
        <f>IF(C41&lt;&gt;"",'Cash Flow Analysis'!A88,"")</f>
        <v>2035</v>
      </c>
      <c r="B41" s="314">
        <f t="shared" si="1"/>
        <v>27</v>
      </c>
      <c r="C41" s="314">
        <f t="shared" si="2"/>
        <v>24</v>
      </c>
      <c r="D41" s="483"/>
      <c r="E41" s="217">
        <f>+'Carbon Sequestration'!$C$100*(C41&lt;=anal_period)</f>
        <v>0</v>
      </c>
      <c r="F41" s="217">
        <f t="shared" si="0"/>
        <v>0</v>
      </c>
      <c r="G41" s="217">
        <f t="shared" ca="1" si="3"/>
        <v>1028612.9023721826</v>
      </c>
      <c r="H41" s="218">
        <f t="shared" ca="1" si="4"/>
        <v>1009433.6627793746</v>
      </c>
      <c r="I41" s="363"/>
      <c r="J41" s="364"/>
      <c r="K41" s="365"/>
      <c r="L41" s="366"/>
    </row>
    <row r="42" spans="1:12" x14ac:dyDescent="0.2">
      <c r="A42" s="94">
        <f>IF(C42&lt;&gt;"",'Cash Flow Analysis'!A89,"")</f>
        <v>2036</v>
      </c>
      <c r="B42" s="314">
        <f t="shared" si="1"/>
        <v>28</v>
      </c>
      <c r="C42" s="314">
        <f t="shared" si="2"/>
        <v>25</v>
      </c>
      <c r="D42" s="483"/>
      <c r="E42" s="217">
        <f>+'Carbon Sequestration'!$C$100*(C42&lt;=anal_period)</f>
        <v>0</v>
      </c>
      <c r="F42" s="217">
        <f t="shared" si="0"/>
        <v>0</v>
      </c>
      <c r="G42" s="217">
        <f t="shared" ca="1" si="3"/>
        <v>1028612.9023721826</v>
      </c>
      <c r="H42" s="218">
        <f t="shared" ca="1" si="4"/>
        <v>1009433.6627793746</v>
      </c>
      <c r="I42" s="363"/>
      <c r="J42" s="364"/>
      <c r="K42" s="365"/>
      <c r="L42" s="366"/>
    </row>
    <row r="43" spans="1:12" x14ac:dyDescent="0.2">
      <c r="A43" s="94">
        <f>IF(C43&lt;&gt;"",'Cash Flow Analysis'!A90,"")</f>
        <v>2037</v>
      </c>
      <c r="B43" s="314">
        <f t="shared" si="1"/>
        <v>29</v>
      </c>
      <c r="C43" s="314">
        <f t="shared" si="2"/>
        <v>26</v>
      </c>
      <c r="D43" s="483"/>
      <c r="E43" s="217">
        <f>+'Carbon Sequestration'!$C$100*(C43&lt;=anal_period)</f>
        <v>0</v>
      </c>
      <c r="F43" s="217">
        <f t="shared" si="0"/>
        <v>0</v>
      </c>
      <c r="G43" s="217">
        <f t="shared" ca="1" si="3"/>
        <v>1028612.9023721826</v>
      </c>
      <c r="H43" s="218">
        <f t="shared" ca="1" si="4"/>
        <v>1009433.6627793746</v>
      </c>
      <c r="I43" s="363"/>
      <c r="J43" s="364"/>
      <c r="K43" s="365"/>
      <c r="L43" s="366"/>
    </row>
    <row r="44" spans="1:12" x14ac:dyDescent="0.2">
      <c r="A44" s="94">
        <f>IF(C44&lt;&gt;"",'Cash Flow Analysis'!A91,"")</f>
        <v>2038</v>
      </c>
      <c r="B44" s="314">
        <f t="shared" si="1"/>
        <v>30</v>
      </c>
      <c r="C44" s="314">
        <f t="shared" si="2"/>
        <v>27</v>
      </c>
      <c r="D44" s="483"/>
      <c r="E44" s="217">
        <f>+'Carbon Sequestration'!$C$100*(C44&lt;=anal_period)</f>
        <v>0</v>
      </c>
      <c r="F44" s="217">
        <f t="shared" si="0"/>
        <v>0</v>
      </c>
      <c r="G44" s="217">
        <f t="shared" ca="1" si="3"/>
        <v>1028612.9023721826</v>
      </c>
      <c r="H44" s="218">
        <f t="shared" ca="1" si="4"/>
        <v>1009433.6627793746</v>
      </c>
      <c r="I44" s="363"/>
      <c r="J44" s="364"/>
      <c r="K44" s="365"/>
      <c r="L44" s="366"/>
    </row>
    <row r="45" spans="1:12" x14ac:dyDescent="0.2">
      <c r="A45" s="94">
        <f>IF(C45&lt;&gt;"",'Cash Flow Analysis'!A92,"")</f>
        <v>2039</v>
      </c>
      <c r="B45" s="314">
        <f t="shared" si="1"/>
        <v>31</v>
      </c>
      <c r="C45" s="314">
        <f t="shared" si="2"/>
        <v>28</v>
      </c>
      <c r="D45" s="483"/>
      <c r="E45" s="217">
        <f>+'Carbon Sequestration'!$C$100*(C45&lt;=anal_period)</f>
        <v>0</v>
      </c>
      <c r="F45" s="217">
        <f t="shared" si="0"/>
        <v>0</v>
      </c>
      <c r="G45" s="217">
        <f t="shared" ca="1" si="3"/>
        <v>1028612.9023721826</v>
      </c>
      <c r="H45" s="218">
        <f t="shared" ca="1" si="4"/>
        <v>1009433.6627793746</v>
      </c>
      <c r="I45" s="363"/>
      <c r="J45" s="364"/>
      <c r="K45" s="365"/>
      <c r="L45" s="366"/>
    </row>
    <row r="46" spans="1:12" x14ac:dyDescent="0.2">
      <c r="A46" s="94">
        <f>IF(C46&lt;&gt;"",'Cash Flow Analysis'!A93,"")</f>
        <v>2040</v>
      </c>
      <c r="B46" s="314">
        <f t="shared" si="1"/>
        <v>32</v>
      </c>
      <c r="C46" s="314">
        <f t="shared" si="2"/>
        <v>29</v>
      </c>
      <c r="D46" s="483"/>
      <c r="E46" s="217">
        <f>+'Carbon Sequestration'!$C$100*(C46&lt;=anal_period)</f>
        <v>0</v>
      </c>
      <c r="F46" s="217">
        <f t="shared" si="0"/>
        <v>0</v>
      </c>
      <c r="G46" s="217">
        <f t="shared" ca="1" si="3"/>
        <v>1028612.9023721826</v>
      </c>
      <c r="H46" s="218">
        <f t="shared" ca="1" si="4"/>
        <v>1009433.6627793746</v>
      </c>
      <c r="I46" s="363"/>
      <c r="J46" s="364"/>
      <c r="K46" s="365"/>
      <c r="L46" s="366"/>
    </row>
    <row r="47" spans="1:12" x14ac:dyDescent="0.2">
      <c r="A47" s="94">
        <f>IF(C47&lt;&gt;"",'Cash Flow Analysis'!A94,"")</f>
        <v>2041</v>
      </c>
      <c r="B47" s="314">
        <f t="shared" si="1"/>
        <v>33</v>
      </c>
      <c r="C47" s="314">
        <f t="shared" si="2"/>
        <v>30</v>
      </c>
      <c r="D47" s="483"/>
      <c r="E47" s="217">
        <f>+'Carbon Sequestration'!$C$100*(C47&lt;=anal_period)</f>
        <v>0</v>
      </c>
      <c r="F47" s="217">
        <f t="shared" si="0"/>
        <v>0</v>
      </c>
      <c r="G47" s="217">
        <f t="shared" ca="1" si="3"/>
        <v>1028612.9023721826</v>
      </c>
      <c r="H47" s="218">
        <f t="shared" ca="1" si="4"/>
        <v>1009433.6627793746</v>
      </c>
      <c r="I47" s="363"/>
      <c r="J47" s="364"/>
      <c r="K47" s="365"/>
      <c r="L47" s="366"/>
    </row>
    <row r="48" spans="1:12" x14ac:dyDescent="0.2">
      <c r="A48" s="94">
        <f>IF(C48&lt;&gt;"",'Cash Flow Analysis'!A95,"")</f>
        <v>2042</v>
      </c>
      <c r="B48" s="314">
        <f t="shared" si="1"/>
        <v>34</v>
      </c>
      <c r="C48" s="314">
        <f t="shared" si="2"/>
        <v>31</v>
      </c>
      <c r="D48" s="483"/>
      <c r="E48" s="217">
        <f>+'Carbon Sequestration'!$C$100*(C48&lt;=anal_period)</f>
        <v>0</v>
      </c>
      <c r="F48" s="217">
        <f t="shared" si="0"/>
        <v>0</v>
      </c>
      <c r="G48" s="217">
        <f t="shared" ca="1" si="3"/>
        <v>1028612.9023721826</v>
      </c>
      <c r="H48" s="218">
        <f t="shared" ca="1" si="4"/>
        <v>1009433.6627793746</v>
      </c>
      <c r="I48" s="363"/>
      <c r="J48" s="364"/>
      <c r="K48" s="365"/>
      <c r="L48" s="366"/>
    </row>
    <row r="49" spans="1:12" x14ac:dyDescent="0.2">
      <c r="A49" s="94">
        <f>IF(C49&lt;&gt;"",'Cash Flow Analysis'!A96,"")</f>
        <v>2043</v>
      </c>
      <c r="B49" s="314">
        <f t="shared" si="1"/>
        <v>35</v>
      </c>
      <c r="C49" s="314">
        <f t="shared" si="2"/>
        <v>32</v>
      </c>
      <c r="D49" s="483"/>
      <c r="E49" s="217">
        <f>+'Carbon Sequestration'!$C$100*(C49&lt;=anal_period)</f>
        <v>0</v>
      </c>
      <c r="F49" s="217">
        <f t="shared" si="0"/>
        <v>0</v>
      </c>
      <c r="G49" s="217">
        <f t="shared" ca="1" si="3"/>
        <v>1028612.9023721826</v>
      </c>
      <c r="H49" s="218">
        <f t="shared" ca="1" si="4"/>
        <v>1009433.6627793746</v>
      </c>
      <c r="I49" s="363"/>
      <c r="J49" s="364"/>
      <c r="K49" s="365"/>
      <c r="L49" s="366"/>
    </row>
    <row r="50" spans="1:12" x14ac:dyDescent="0.2">
      <c r="A50" s="94">
        <f>IF(C50&lt;&gt;"",'Cash Flow Analysis'!A97,"")</f>
        <v>2044</v>
      </c>
      <c r="B50" s="314">
        <f t="shared" si="1"/>
        <v>36</v>
      </c>
      <c r="C50" s="314">
        <f t="shared" si="2"/>
        <v>33</v>
      </c>
      <c r="D50" s="483"/>
      <c r="E50" s="217">
        <f>+'Carbon Sequestration'!$C$100*(C50&lt;=anal_period)</f>
        <v>0</v>
      </c>
      <c r="F50" s="217">
        <f t="shared" si="0"/>
        <v>0</v>
      </c>
      <c r="G50" s="217">
        <f t="shared" ca="1" si="3"/>
        <v>1028612.9023721826</v>
      </c>
      <c r="H50" s="218">
        <f t="shared" ca="1" si="4"/>
        <v>1009433.6627793746</v>
      </c>
      <c r="I50" s="363"/>
      <c r="J50" s="364"/>
      <c r="K50" s="365"/>
      <c r="L50" s="366"/>
    </row>
    <row r="51" spans="1:12" x14ac:dyDescent="0.2">
      <c r="A51" s="94">
        <f>IF(C51&lt;&gt;"",'Cash Flow Analysis'!A98,"")</f>
        <v>2045</v>
      </c>
      <c r="B51" s="314">
        <f t="shared" si="1"/>
        <v>37</v>
      </c>
      <c r="C51" s="314">
        <f t="shared" si="2"/>
        <v>34</v>
      </c>
      <c r="D51" s="483"/>
      <c r="E51" s="217">
        <f>+'Carbon Sequestration'!$C$100*(C51&lt;=anal_period)</f>
        <v>0</v>
      </c>
      <c r="F51" s="217">
        <f t="shared" si="0"/>
        <v>0</v>
      </c>
      <c r="G51" s="217">
        <f t="shared" ca="1" si="3"/>
        <v>1028612.9023721826</v>
      </c>
      <c r="H51" s="218">
        <f t="shared" ca="1" si="4"/>
        <v>1009433.6627793746</v>
      </c>
      <c r="I51" s="363"/>
      <c r="J51" s="364"/>
      <c r="K51" s="365"/>
      <c r="L51" s="366"/>
    </row>
    <row r="52" spans="1:12" x14ac:dyDescent="0.2">
      <c r="A52" s="94">
        <f>IF(C52&lt;&gt;"",'Cash Flow Analysis'!A99,"")</f>
        <v>2046</v>
      </c>
      <c r="B52" s="314">
        <f t="shared" si="1"/>
        <v>38</v>
      </c>
      <c r="C52" s="314">
        <f t="shared" si="2"/>
        <v>35</v>
      </c>
      <c r="D52" s="483"/>
      <c r="E52" s="217">
        <f>+'Carbon Sequestration'!$C$100*(C52&lt;=anal_period)</f>
        <v>0</v>
      </c>
      <c r="F52" s="217">
        <f t="shared" si="0"/>
        <v>0</v>
      </c>
      <c r="G52" s="217">
        <f t="shared" ca="1" si="3"/>
        <v>1028612.9023721826</v>
      </c>
      <c r="H52" s="218">
        <f t="shared" ca="1" si="4"/>
        <v>1009433.6627793746</v>
      </c>
      <c r="I52" s="363"/>
      <c r="J52" s="364"/>
      <c r="K52" s="365"/>
      <c r="L52" s="366"/>
    </row>
    <row r="53" spans="1:12" x14ac:dyDescent="0.2">
      <c r="A53" s="94">
        <f>IF(C53&lt;&gt;"",'Cash Flow Analysis'!A100,"")</f>
        <v>2047</v>
      </c>
      <c r="B53" s="314">
        <f t="shared" si="1"/>
        <v>39</v>
      </c>
      <c r="C53" s="314">
        <f t="shared" si="2"/>
        <v>36</v>
      </c>
      <c r="D53" s="483"/>
      <c r="E53" s="217">
        <f>+'Carbon Sequestration'!$C$100*(C53&lt;=anal_period)</f>
        <v>0</v>
      </c>
      <c r="F53" s="217">
        <f t="shared" si="0"/>
        <v>0</v>
      </c>
      <c r="G53" s="217">
        <f t="shared" ca="1" si="3"/>
        <v>1028612.9023721826</v>
      </c>
      <c r="H53" s="218">
        <f t="shared" ca="1" si="4"/>
        <v>1009433.6627793746</v>
      </c>
      <c r="I53" s="363"/>
      <c r="J53" s="364"/>
      <c r="K53" s="365"/>
      <c r="L53" s="366"/>
    </row>
    <row r="54" spans="1:12" x14ac:dyDescent="0.2">
      <c r="A54" s="94">
        <f>IF(C54&lt;&gt;"",'Cash Flow Analysis'!A101,"")</f>
        <v>2048</v>
      </c>
      <c r="B54" s="314">
        <f t="shared" si="1"/>
        <v>40</v>
      </c>
      <c r="C54" s="314">
        <f t="shared" si="2"/>
        <v>37</v>
      </c>
      <c r="D54" s="483"/>
      <c r="E54" s="217">
        <f>+'Carbon Sequestration'!$C$100*(C54&lt;=anal_period)</f>
        <v>0</v>
      </c>
      <c r="F54" s="217">
        <f t="shared" si="0"/>
        <v>0</v>
      </c>
      <c r="G54" s="217">
        <f t="shared" ca="1" si="3"/>
        <v>1028612.9023721826</v>
      </c>
      <c r="H54" s="218">
        <f t="shared" ca="1" si="4"/>
        <v>1009433.6627793746</v>
      </c>
      <c r="I54" s="363"/>
      <c r="J54" s="364"/>
      <c r="K54" s="365"/>
      <c r="L54" s="366"/>
    </row>
    <row r="55" spans="1:12" x14ac:dyDescent="0.2">
      <c r="A55" s="94">
        <f>IF(C55&lt;&gt;"",'Cash Flow Analysis'!A102,"")</f>
        <v>2049</v>
      </c>
      <c r="B55" s="314">
        <f t="shared" si="1"/>
        <v>41</v>
      </c>
      <c r="C55" s="314">
        <f t="shared" si="2"/>
        <v>38</v>
      </c>
      <c r="D55" s="483"/>
      <c r="E55" s="217">
        <f>+'Carbon Sequestration'!$C$100*(C55&lt;=anal_period)</f>
        <v>0</v>
      </c>
      <c r="F55" s="217">
        <f t="shared" si="0"/>
        <v>0</v>
      </c>
      <c r="G55" s="217">
        <f t="shared" ca="1" si="3"/>
        <v>1028612.9023721826</v>
      </c>
      <c r="H55" s="218">
        <f t="shared" ca="1" si="4"/>
        <v>1009433.6627793746</v>
      </c>
      <c r="I55" s="363"/>
      <c r="J55" s="364"/>
      <c r="K55" s="365"/>
      <c r="L55" s="366"/>
    </row>
    <row r="56" spans="1:12" x14ac:dyDescent="0.2">
      <c r="A56" s="94">
        <f>IF(C56&lt;&gt;"",'Cash Flow Analysis'!A103,"")</f>
        <v>2050</v>
      </c>
      <c r="B56" s="314">
        <f t="shared" si="1"/>
        <v>42</v>
      </c>
      <c r="C56" s="314">
        <f t="shared" si="2"/>
        <v>39</v>
      </c>
      <c r="D56" s="483"/>
      <c r="E56" s="217">
        <f>+'Carbon Sequestration'!$C$100*(C56&lt;=anal_period)</f>
        <v>0</v>
      </c>
      <c r="F56" s="217">
        <f t="shared" si="0"/>
        <v>0</v>
      </c>
      <c r="G56" s="217">
        <f t="shared" ca="1" si="3"/>
        <v>1028612.9023721826</v>
      </c>
      <c r="H56" s="218">
        <f t="shared" ca="1" si="4"/>
        <v>1009433.6627793746</v>
      </c>
      <c r="I56" s="363"/>
      <c r="J56" s="364"/>
      <c r="K56" s="365"/>
      <c r="L56" s="366"/>
    </row>
    <row r="57" spans="1:12" ht="13.5" thickBot="1" x14ac:dyDescent="0.25">
      <c r="A57" s="96">
        <f>IF(C57&lt;&gt;"",'Cash Flow Analysis'!A104,"")</f>
        <v>2051</v>
      </c>
      <c r="B57" s="315">
        <f t="shared" si="1"/>
        <v>43</v>
      </c>
      <c r="C57" s="315">
        <f t="shared" si="2"/>
        <v>40</v>
      </c>
      <c r="D57" s="484"/>
      <c r="E57" s="219">
        <f>+'Carbon Sequestration'!$C$100*(C57&lt;=anal_period)</f>
        <v>0</v>
      </c>
      <c r="F57" s="219">
        <f t="shared" si="0"/>
        <v>0</v>
      </c>
      <c r="G57" s="219">
        <f t="shared" ca="1" si="3"/>
        <v>1028612.9023721826</v>
      </c>
      <c r="H57" s="220">
        <f t="shared" ca="1" si="4"/>
        <v>1009433.6627793746</v>
      </c>
      <c r="I57" s="367"/>
      <c r="J57" s="368"/>
      <c r="K57" s="369"/>
      <c r="L57" s="370"/>
    </row>
    <row r="58" spans="1:12" ht="13.5" thickTop="1" x14ac:dyDescent="0.2"/>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37"/>
  <sheetViews>
    <sheetView workbookViewId="0"/>
  </sheetViews>
  <sheetFormatPr defaultRowHeight="12.75" x14ac:dyDescent="0.2"/>
  <cols>
    <col min="2" max="2" width="35" customWidth="1"/>
    <col min="3" max="3" width="19.7109375" customWidth="1"/>
    <col min="4" max="5" width="18.7109375" customWidth="1"/>
    <col min="6" max="6" width="22.5703125" customWidth="1"/>
    <col min="7" max="7" width="51.140625" customWidth="1"/>
    <col min="8" max="8" width="27.140625" customWidth="1"/>
  </cols>
  <sheetData>
    <row r="2" spans="2:8" ht="22.5" customHeight="1" x14ac:dyDescent="0.45">
      <c r="B2" s="800" t="s">
        <v>83</v>
      </c>
      <c r="F2" s="1534"/>
      <c r="G2" s="1534"/>
      <c r="H2" s="1534"/>
    </row>
    <row r="3" spans="2:8" x14ac:dyDescent="0.2">
      <c r="F3" s="1534"/>
      <c r="G3" s="1534"/>
      <c r="H3" s="1534"/>
    </row>
    <row r="4" spans="2:8" ht="15.75" x14ac:dyDescent="0.25">
      <c r="C4" s="799" t="s">
        <v>233</v>
      </c>
      <c r="F4" s="1534"/>
      <c r="G4" s="1534"/>
      <c r="H4" s="1534"/>
    </row>
    <row r="5" spans="2:8" ht="15.75" x14ac:dyDescent="0.25">
      <c r="C5" s="799"/>
    </row>
    <row r="6" spans="2:8" ht="16.5" thickBot="1" x14ac:dyDescent="0.3">
      <c r="C6" s="799"/>
    </row>
    <row r="7" spans="2:8" ht="26.25" thickBot="1" x14ac:dyDescent="0.25">
      <c r="B7" s="969" t="s">
        <v>827</v>
      </c>
      <c r="C7" s="970">
        <v>155235.807769804</v>
      </c>
      <c r="D7" s="1535" t="s">
        <v>828</v>
      </c>
      <c r="E7" s="1536"/>
      <c r="F7" s="1536"/>
      <c r="G7" s="1536"/>
      <c r="H7" s="1537"/>
    </row>
    <row r="8" spans="2:8" ht="13.5" thickBot="1" x14ac:dyDescent="0.25">
      <c r="D8" s="1533" t="s">
        <v>1031</v>
      </c>
      <c r="E8" s="1531"/>
      <c r="F8" s="1531"/>
      <c r="G8" s="1531"/>
      <c r="H8" s="1531"/>
    </row>
    <row r="9" spans="2:8" x14ac:dyDescent="0.2">
      <c r="B9" s="1" t="s">
        <v>843</v>
      </c>
      <c r="C9" s="992">
        <f>BasisYear</f>
        <v>2005</v>
      </c>
      <c r="D9" s="1538"/>
      <c r="E9" s="1539"/>
      <c r="F9" s="1539"/>
      <c r="G9" s="1539"/>
      <c r="H9" s="1540"/>
    </row>
    <row r="10" spans="2:8" x14ac:dyDescent="0.2">
      <c r="B10" s="1" t="s">
        <v>773</v>
      </c>
      <c r="C10" s="967">
        <v>2010</v>
      </c>
      <c r="D10" s="1527"/>
      <c r="E10" s="1528"/>
      <c r="F10" s="1528"/>
      <c r="G10" s="1528"/>
      <c r="H10" s="1529"/>
    </row>
    <row r="11" spans="2:8" x14ac:dyDescent="0.2">
      <c r="B11" s="1" t="str">
        <f>"CEPCI Inflator ("&amp;BasisYear&amp;" to "&amp;CurrentYear&amp;")"</f>
        <v>CEPCI Inflator (2005 to 2010)</v>
      </c>
      <c r="C11" s="990">
        <f>VLOOKUP(CurrentYear,Tbl_PlantCostIndexes,2,FALSE)/VLOOKUP(BasisYear,Tbl_PlantCostIndexes,2,FALSE)</f>
        <v>1.176420333190944</v>
      </c>
      <c r="D11" s="1527" t="s">
        <v>820</v>
      </c>
      <c r="E11" s="1528"/>
      <c r="F11" s="1528"/>
      <c r="G11" s="1528"/>
      <c r="H11" s="1529"/>
    </row>
    <row r="12" spans="2:8" ht="13.5" thickBot="1" x14ac:dyDescent="0.25">
      <c r="B12" s="1" t="str">
        <f>"Consumer Price Inflator ("&amp;CurrentYear&amp;" to "&amp;ref_year&amp;")"</f>
        <v>Consumer Price Inflator (2010 to 2016)</v>
      </c>
      <c r="C12" s="991">
        <f>VLOOKUP(ref_year,DeflatorTable,2,FALSE)/VLOOKUP(CurrentYear,DeflatorTable,2,FALSE)</f>
        <v>1.100724186648488</v>
      </c>
      <c r="D12" s="1530" t="s">
        <v>821</v>
      </c>
      <c r="E12" s="1531"/>
      <c r="F12" s="1531"/>
      <c r="G12" s="1531"/>
      <c r="H12" s="1532"/>
    </row>
    <row r="13" spans="2:8" ht="13.5" thickBot="1" x14ac:dyDescent="0.25"/>
    <row r="14" spans="2:8" ht="17.25" thickTop="1" thickBot="1" x14ac:dyDescent="0.3">
      <c r="B14" s="952" t="str">
        <f xml:space="preserve"> "CAPITAL INVESTMENT (Inputs REQUIRED in Basis Year, (" &amp; BasisYear &amp; ") $)"</f>
        <v>CAPITAL INVESTMENT (Inputs REQUIRED in Basis Year, (2005) $)</v>
      </c>
      <c r="C14" s="953"/>
      <c r="D14" s="953"/>
      <c r="E14" s="953"/>
      <c r="F14" s="953"/>
      <c r="G14" s="953"/>
      <c r="H14" s="954"/>
    </row>
    <row r="15" spans="2:8" ht="40.5" thickTop="1" thickBot="1" x14ac:dyDescent="0.3">
      <c r="B15" s="513" t="s">
        <v>667</v>
      </c>
      <c r="C15" s="514" t="str">
        <f>"Baseline Uninstalled Costs $"&amp;BasisYear&amp;" Dollars"</f>
        <v>Baseline Uninstalled Costs $2005 Dollars</v>
      </c>
      <c r="D15" s="514" t="str">
        <f>"Baseline Uninstalled Costs $"&amp;ref_year&amp;" Dollars"</f>
        <v>Baseline Uninstalled Costs $2016 Dollars</v>
      </c>
      <c r="E15" s="514" t="s">
        <v>668</v>
      </c>
      <c r="F15" s="489" t="s">
        <v>1061</v>
      </c>
      <c r="G15" s="514" t="s">
        <v>1031</v>
      </c>
      <c r="H15" s="519" t="s">
        <v>670</v>
      </c>
    </row>
    <row r="16" spans="2:8" x14ac:dyDescent="0.2">
      <c r="B16" s="1253" t="s">
        <v>1393</v>
      </c>
      <c r="C16" s="1453">
        <v>8122251</v>
      </c>
      <c r="D16" s="517">
        <f>C16*CEPCIinflator*CPIinflator</f>
        <v>10517619.085117497</v>
      </c>
      <c r="E16" s="1255">
        <v>2.4700000000000002</v>
      </c>
      <c r="F16" s="517">
        <f>D16*E16</f>
        <v>25978519.140240218</v>
      </c>
      <c r="G16" s="526"/>
      <c r="H16" s="736"/>
    </row>
    <row r="17" spans="2:8" ht="25.5" x14ac:dyDescent="0.2">
      <c r="B17" s="1254" t="s">
        <v>1394</v>
      </c>
      <c r="C17" s="1454">
        <v>7219779</v>
      </c>
      <c r="D17" s="517">
        <f t="shared" ref="D17:D35" si="0">C17*CEPCIinflator*CPIinflator</f>
        <v>9348995.1739647668</v>
      </c>
      <c r="E17" s="1256">
        <v>2.4700000000000002</v>
      </c>
      <c r="F17" s="517">
        <f t="shared" ref="F17:F35" si="1">D17*E17</f>
        <v>23092018.079692975</v>
      </c>
      <c r="G17" s="527"/>
      <c r="H17" s="737"/>
    </row>
    <row r="18" spans="2:8" x14ac:dyDescent="0.2">
      <c r="B18" s="1254" t="s">
        <v>1395</v>
      </c>
      <c r="C18" s="1454">
        <v>6704080</v>
      </c>
      <c r="D18" s="517">
        <f t="shared" si="0"/>
        <v>8681209.1569386981</v>
      </c>
      <c r="E18" s="1256">
        <v>2.4700000000000002</v>
      </c>
      <c r="F18" s="517">
        <f t="shared" si="1"/>
        <v>21442586.617638588</v>
      </c>
      <c r="G18" s="527"/>
      <c r="H18" s="737"/>
    </row>
    <row r="19" spans="2:8" ht="25.5" x14ac:dyDescent="0.2">
      <c r="B19" s="1254" t="s">
        <v>1396</v>
      </c>
      <c r="C19" s="1454">
        <v>13021386</v>
      </c>
      <c r="D19" s="517">
        <f t="shared" si="0"/>
        <v>16861579.124836423</v>
      </c>
      <c r="E19" s="1256">
        <v>2.4700000000000002</v>
      </c>
      <c r="F19" s="517">
        <f t="shared" si="1"/>
        <v>41648100.438345969</v>
      </c>
      <c r="G19" s="527"/>
      <c r="H19" s="737"/>
    </row>
    <row r="20" spans="2:8" ht="25.5" x14ac:dyDescent="0.2">
      <c r="B20" s="1254" t="s">
        <v>1397</v>
      </c>
      <c r="C20" s="1454">
        <v>6188382</v>
      </c>
      <c r="D20" s="517">
        <f t="shared" si="0"/>
        <v>8013424.4348269431</v>
      </c>
      <c r="E20" s="1256">
        <v>2.4700000000000002</v>
      </c>
      <c r="F20" s="517">
        <f t="shared" si="1"/>
        <v>19793158.354022551</v>
      </c>
      <c r="G20" s="527"/>
      <c r="H20" s="737"/>
    </row>
    <row r="21" spans="2:8" x14ac:dyDescent="0.2">
      <c r="B21" s="1254" t="s">
        <v>1398</v>
      </c>
      <c r="C21" s="1454">
        <v>1461146</v>
      </c>
      <c r="D21" s="517">
        <f t="shared" si="0"/>
        <v>1892058.8708404959</v>
      </c>
      <c r="E21" s="1256">
        <v>2.4700000000000002</v>
      </c>
      <c r="F21" s="517">
        <f t="shared" si="1"/>
        <v>4673385.4109760253</v>
      </c>
      <c r="G21" s="527"/>
      <c r="H21" s="737"/>
    </row>
    <row r="22" spans="2:8" x14ac:dyDescent="0.2">
      <c r="B22" s="1254" t="s">
        <v>1399</v>
      </c>
      <c r="C22" s="1454">
        <v>6368876</v>
      </c>
      <c r="D22" s="517">
        <f t="shared" si="0"/>
        <v>8247148.6990917632</v>
      </c>
      <c r="E22" s="1256">
        <v>1</v>
      </c>
      <c r="F22" s="517">
        <f t="shared" si="1"/>
        <v>8247148.6990917632</v>
      </c>
      <c r="G22" s="527"/>
      <c r="H22" s="737"/>
    </row>
    <row r="23" spans="2:8" x14ac:dyDescent="0.2">
      <c r="B23" s="1254"/>
      <c r="C23" s="1454"/>
      <c r="D23" s="517">
        <f t="shared" si="0"/>
        <v>0</v>
      </c>
      <c r="E23" s="1256"/>
      <c r="F23" s="517">
        <f t="shared" si="1"/>
        <v>0</v>
      </c>
      <c r="G23" s="527"/>
      <c r="H23" s="737"/>
    </row>
    <row r="24" spans="2:8" x14ac:dyDescent="0.2">
      <c r="B24" s="1254"/>
      <c r="C24" s="1455"/>
      <c r="D24" s="517">
        <f t="shared" si="0"/>
        <v>0</v>
      </c>
      <c r="E24" s="1256"/>
      <c r="F24" s="517">
        <f t="shared" si="1"/>
        <v>0</v>
      </c>
      <c r="G24" s="527"/>
      <c r="H24" s="737"/>
    </row>
    <row r="25" spans="2:8" x14ac:dyDescent="0.2">
      <c r="B25" s="1254"/>
      <c r="C25" s="1455"/>
      <c r="D25" s="517">
        <f t="shared" si="0"/>
        <v>0</v>
      </c>
      <c r="E25" s="1256"/>
      <c r="F25" s="517">
        <f t="shared" si="1"/>
        <v>0</v>
      </c>
      <c r="G25" s="527"/>
      <c r="H25" s="737"/>
    </row>
    <row r="26" spans="2:8" x14ac:dyDescent="0.2">
      <c r="B26" s="1254"/>
      <c r="C26" s="1455"/>
      <c r="D26" s="517">
        <f t="shared" si="0"/>
        <v>0</v>
      </c>
      <c r="E26" s="1256"/>
      <c r="F26" s="517">
        <f t="shared" si="1"/>
        <v>0</v>
      </c>
      <c r="G26" s="527"/>
      <c r="H26" s="737"/>
    </row>
    <row r="27" spans="2:8" x14ac:dyDescent="0.2">
      <c r="B27" s="1254"/>
      <c r="C27" s="1455"/>
      <c r="D27" s="517">
        <f t="shared" si="0"/>
        <v>0</v>
      </c>
      <c r="E27" s="1256"/>
      <c r="F27" s="517">
        <f t="shared" si="1"/>
        <v>0</v>
      </c>
      <c r="G27" s="527"/>
      <c r="H27" s="737"/>
    </row>
    <row r="28" spans="2:8" x14ac:dyDescent="0.2">
      <c r="B28" s="1254"/>
      <c r="C28" s="1455"/>
      <c r="D28" s="517">
        <f t="shared" si="0"/>
        <v>0</v>
      </c>
      <c r="E28" s="961"/>
      <c r="F28" s="517">
        <f t="shared" si="1"/>
        <v>0</v>
      </c>
      <c r="G28" s="527"/>
      <c r="H28" s="737"/>
    </row>
    <row r="29" spans="2:8" x14ac:dyDescent="0.2">
      <c r="B29" s="879"/>
      <c r="C29" s="964"/>
      <c r="D29" s="517">
        <f t="shared" si="0"/>
        <v>0</v>
      </c>
      <c r="E29" s="961"/>
      <c r="F29" s="517">
        <f t="shared" si="1"/>
        <v>0</v>
      </c>
      <c r="G29" s="527"/>
      <c r="H29" s="737"/>
    </row>
    <row r="30" spans="2:8" x14ac:dyDescent="0.2">
      <c r="B30" s="879"/>
      <c r="C30" s="963"/>
      <c r="D30" s="517">
        <f t="shared" si="0"/>
        <v>0</v>
      </c>
      <c r="E30" s="960"/>
      <c r="F30" s="517">
        <f t="shared" si="1"/>
        <v>0</v>
      </c>
      <c r="G30" s="527"/>
      <c r="H30" s="737"/>
    </row>
    <row r="31" spans="2:8" x14ac:dyDescent="0.2">
      <c r="B31" s="879"/>
      <c r="C31" s="963"/>
      <c r="D31" s="517">
        <f t="shared" si="0"/>
        <v>0</v>
      </c>
      <c r="E31" s="960"/>
      <c r="F31" s="517">
        <f t="shared" si="1"/>
        <v>0</v>
      </c>
      <c r="G31" s="527"/>
      <c r="H31" s="737"/>
    </row>
    <row r="32" spans="2:8" x14ac:dyDescent="0.2">
      <c r="B32" s="879"/>
      <c r="C32" s="963"/>
      <c r="D32" s="517">
        <f t="shared" si="0"/>
        <v>0</v>
      </c>
      <c r="E32" s="960"/>
      <c r="F32" s="517">
        <f t="shared" si="1"/>
        <v>0</v>
      </c>
      <c r="G32" s="527"/>
      <c r="H32" s="737"/>
    </row>
    <row r="33" spans="2:8" x14ac:dyDescent="0.2">
      <c r="B33" s="879"/>
      <c r="C33" s="963"/>
      <c r="D33" s="517">
        <f t="shared" si="0"/>
        <v>0</v>
      </c>
      <c r="E33" s="960"/>
      <c r="F33" s="517">
        <f t="shared" si="1"/>
        <v>0</v>
      </c>
      <c r="G33" s="527"/>
      <c r="H33" s="737"/>
    </row>
    <row r="34" spans="2:8" x14ac:dyDescent="0.2">
      <c r="B34" s="879"/>
      <c r="C34" s="963"/>
      <c r="D34" s="517">
        <f t="shared" si="0"/>
        <v>0</v>
      </c>
      <c r="E34" s="960"/>
      <c r="F34" s="517">
        <f t="shared" si="1"/>
        <v>0</v>
      </c>
      <c r="G34" s="527"/>
      <c r="H34" s="737"/>
    </row>
    <row r="35" spans="2:8" ht="13.5" thickBot="1" x14ac:dyDescent="0.25">
      <c r="B35" s="880"/>
      <c r="C35" s="965"/>
      <c r="D35" s="517">
        <f t="shared" si="0"/>
        <v>0</v>
      </c>
      <c r="E35" s="962"/>
      <c r="F35" s="517">
        <f t="shared" si="1"/>
        <v>0</v>
      </c>
      <c r="G35" s="528"/>
      <c r="H35" s="738"/>
    </row>
    <row r="36" spans="2:8" ht="13.5" thickBot="1" x14ac:dyDescent="0.25">
      <c r="B36" s="515"/>
      <c r="C36" s="877">
        <f>SUM(C16:C35)</f>
        <v>49085900</v>
      </c>
      <c r="D36" s="469">
        <f>SUM(D16:D35)</f>
        <v>63562034.545616589</v>
      </c>
      <c r="E36" s="518"/>
      <c r="F36" s="469">
        <f>SUM(F16:F35)</f>
        <v>144874916.74000809</v>
      </c>
      <c r="G36" s="348"/>
      <c r="H36" s="521"/>
    </row>
    <row r="37" spans="2:8" ht="13.5" thickTop="1" x14ac:dyDescent="0.2">
      <c r="C37" s="878"/>
    </row>
  </sheetData>
  <mergeCells count="7">
    <mergeCell ref="D11:H11"/>
    <mergeCell ref="D12:H12"/>
    <mergeCell ref="D8:H8"/>
    <mergeCell ref="F2:H4"/>
    <mergeCell ref="D7:H7"/>
    <mergeCell ref="D9:H9"/>
    <mergeCell ref="D10:H10"/>
  </mergeCells>
  <phoneticPr fontId="2" type="noConversion"/>
  <dataValidations count="1">
    <dataValidation type="whole" allowBlank="1" showInputMessage="1" showErrorMessage="1" sqref="C10" xr:uid="{00000000-0002-0000-0500-000000000000}">
      <formula1>1992</formula1>
      <formula2>2025</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28"/>
  <sheetViews>
    <sheetView workbookViewId="0"/>
  </sheetViews>
  <sheetFormatPr defaultColWidth="9.140625" defaultRowHeight="12.75" x14ac:dyDescent="0.2"/>
  <cols>
    <col min="1" max="1" width="9.140625" style="210"/>
    <col min="2" max="2" width="50.7109375" style="210" customWidth="1"/>
    <col min="3" max="3" width="19.7109375" style="210" customWidth="1"/>
    <col min="4" max="4" width="17" style="210" customWidth="1"/>
    <col min="5" max="7" width="18.7109375" style="210" customWidth="1"/>
    <col min="8" max="8" width="16.42578125" style="210" customWidth="1"/>
    <col min="9" max="9" width="38" style="210" customWidth="1"/>
    <col min="10" max="10" width="40.140625" style="210" customWidth="1"/>
    <col min="11" max="11" width="27.140625" style="210" customWidth="1"/>
    <col min="12" max="16384" width="9.140625" style="210"/>
  </cols>
  <sheetData>
    <row r="1" spans="2:11" ht="13.5" thickBot="1" x14ac:dyDescent="0.25">
      <c r="B1" s="210" t="s">
        <v>321</v>
      </c>
    </row>
    <row r="2" spans="2:11" ht="19.5" thickTop="1" thickBot="1" x14ac:dyDescent="0.3">
      <c r="B2" s="758" t="s">
        <v>850</v>
      </c>
      <c r="C2" s="759"/>
      <c r="D2" s="759"/>
      <c r="E2" s="759"/>
      <c r="F2" s="759"/>
      <c r="G2" s="759"/>
      <c r="H2" s="759"/>
      <c r="I2" s="759"/>
      <c r="J2" s="759"/>
      <c r="K2" s="760"/>
    </row>
    <row r="3" spans="2:11" ht="24" customHeight="1" thickBot="1" x14ac:dyDescent="0.25">
      <c r="B3" s="761" t="s">
        <v>673</v>
      </c>
      <c r="C3" s="762">
        <f>Baseline_Design_Capacity</f>
        <v>155235.807769804</v>
      </c>
      <c r="D3" s="1543" t="s">
        <v>829</v>
      </c>
      <c r="E3" s="1543"/>
      <c r="F3" s="1543"/>
      <c r="G3" s="763"/>
      <c r="H3" s="763"/>
      <c r="I3" s="763"/>
      <c r="J3" s="763"/>
      <c r="K3" s="764"/>
    </row>
    <row r="4" spans="2:11" ht="29.25" customHeight="1" thickBot="1" x14ac:dyDescent="0.25">
      <c r="B4" s="761" t="s">
        <v>671</v>
      </c>
      <c r="C4" s="765">
        <f ca="1">design_cap/Baseline_Design_Capacity</f>
        <v>1.0000012383109205</v>
      </c>
      <c r="D4" s="1544" t="s">
        <v>677</v>
      </c>
      <c r="E4" s="1544"/>
      <c r="F4" s="1544"/>
      <c r="G4" s="763"/>
      <c r="H4" s="763"/>
      <c r="I4" s="763"/>
      <c r="J4" s="763"/>
      <c r="K4" s="764"/>
    </row>
    <row r="5" spans="2:11" ht="29.25" customHeight="1" thickBot="1" x14ac:dyDescent="0.25">
      <c r="B5" s="761" t="s">
        <v>847</v>
      </c>
      <c r="C5" s="765">
        <f ca="1">$G$27/Det_direct_cap</f>
        <v>1.0000009658823863</v>
      </c>
      <c r="D5" s="1544" t="s">
        <v>849</v>
      </c>
      <c r="E5" s="1544"/>
      <c r="F5" s="1544"/>
      <c r="G5" s="763"/>
      <c r="H5" s="763"/>
      <c r="I5" s="763"/>
      <c r="J5" s="763"/>
      <c r="K5" s="764"/>
    </row>
    <row r="6" spans="2:11" ht="29.25" customHeight="1" thickBot="1" x14ac:dyDescent="0.25">
      <c r="B6" s="761" t="s">
        <v>1065</v>
      </c>
      <c r="C6" s="767">
        <v>0.78</v>
      </c>
      <c r="D6" s="1544" t="s">
        <v>846</v>
      </c>
      <c r="E6" s="1544"/>
      <c r="F6" s="1544"/>
      <c r="G6" s="763"/>
      <c r="H6" s="763"/>
      <c r="I6" s="763"/>
      <c r="J6" s="763"/>
      <c r="K6" s="764"/>
    </row>
    <row r="7" spans="2:11" ht="41.25" customHeight="1" thickBot="1" x14ac:dyDescent="0.25">
      <c r="B7" s="761" t="s">
        <v>947</v>
      </c>
      <c r="C7" s="768">
        <v>20000</v>
      </c>
      <c r="D7" s="1545" t="s">
        <v>923</v>
      </c>
      <c r="E7" s="1546"/>
      <c r="F7" s="1546"/>
      <c r="G7" s="763"/>
      <c r="H7" s="763"/>
      <c r="I7" s="763"/>
      <c r="J7" s="763"/>
      <c r="K7" s="764"/>
    </row>
    <row r="8" spans="2:11" ht="42.75" customHeight="1" thickBot="1" x14ac:dyDescent="0.25">
      <c r="B8" s="761" t="s">
        <v>948</v>
      </c>
      <c r="C8" s="768">
        <v>200000</v>
      </c>
      <c r="D8" s="1541" t="s">
        <v>922</v>
      </c>
      <c r="E8" s="1542"/>
      <c r="F8" s="1542"/>
      <c r="G8" s="763"/>
      <c r="H8" s="763"/>
      <c r="I8" s="763"/>
      <c r="J8" s="763"/>
      <c r="K8" s="764"/>
    </row>
    <row r="9" spans="2:11" ht="15" customHeight="1" x14ac:dyDescent="0.2">
      <c r="B9" s="761"/>
      <c r="C9" s="769"/>
      <c r="D9" s="766"/>
      <c r="E9" s="766"/>
      <c r="F9" s="766"/>
      <c r="G9" s="763"/>
      <c r="H9" s="763"/>
      <c r="I9" s="763"/>
      <c r="J9" s="763"/>
      <c r="K9" s="764"/>
    </row>
    <row r="10" spans="2:11" x14ac:dyDescent="0.2">
      <c r="B10" s="770"/>
      <c r="C10" s="763"/>
      <c r="D10" s="763"/>
      <c r="E10" s="763"/>
      <c r="F10" s="763"/>
      <c r="G10" s="763"/>
      <c r="H10" s="763"/>
      <c r="I10" s="763"/>
      <c r="J10" s="763"/>
      <c r="K10" s="764"/>
    </row>
    <row r="11" spans="2:11" ht="16.5" thickBot="1" x14ac:dyDescent="0.3">
      <c r="B11" s="485" t="str">
        <f xml:space="preserve"> "CAPITAL INVESTMENT (Inputs REQUIRED in Reference Year, (" &amp; ref_year &amp; ") $)"</f>
        <v>CAPITAL INVESTMENT (Inputs REQUIRED in Reference Year, (2016) $)</v>
      </c>
      <c r="C11" s="486"/>
      <c r="D11" s="486"/>
      <c r="E11" s="486"/>
      <c r="F11" s="486"/>
      <c r="G11" s="487"/>
      <c r="H11" s="487"/>
      <c r="I11" s="487"/>
      <c r="J11" s="488"/>
      <c r="K11" s="771"/>
    </row>
    <row r="12" spans="2:11" ht="27.75" thickTop="1" thickBot="1" x14ac:dyDescent="0.3">
      <c r="B12" s="513" t="s">
        <v>667</v>
      </c>
      <c r="C12" s="514" t="s">
        <v>675</v>
      </c>
      <c r="D12" s="514" t="s">
        <v>669</v>
      </c>
      <c r="E12" s="514" t="s">
        <v>676</v>
      </c>
      <c r="F12" s="514" t="s">
        <v>668</v>
      </c>
      <c r="G12" s="514" t="s">
        <v>848</v>
      </c>
      <c r="H12" s="514" t="s">
        <v>1064</v>
      </c>
      <c r="I12" s="514" t="s">
        <v>1031</v>
      </c>
      <c r="J12" s="519" t="s">
        <v>670</v>
      </c>
    </row>
    <row r="13" spans="2:11" x14ac:dyDescent="0.2">
      <c r="B13" s="753" t="str">
        <f>'Capital Costs'!B16</f>
        <v xml:space="preserve">      Feed Handling &amp; Drying</v>
      </c>
      <c r="C13" s="741">
        <f>'Capital Costs'!D16</f>
        <v>10517619.085117497</v>
      </c>
      <c r="D13" s="740"/>
      <c r="E13" s="741">
        <f ca="1">IF($D13="",$C13*Scale_Ratio^Scaling_Factor_Exponent,$C13*Scale_Ratio^$D13)</f>
        <v>10517629.243900517</v>
      </c>
      <c r="F13" s="755">
        <f>'Capital Costs'!E16</f>
        <v>2.4700000000000002</v>
      </c>
      <c r="G13" s="742">
        <f ca="1">$E13*$F13</f>
        <v>25978544.23243428</v>
      </c>
      <c r="H13" s="741">
        <f>C13*F13</f>
        <v>25978519.140240218</v>
      </c>
      <c r="I13" s="743"/>
      <c r="J13" s="522"/>
    </row>
    <row r="14" spans="2:11" x14ac:dyDescent="0.2">
      <c r="B14" s="754" t="str">
        <f>'Capital Costs'!B17</f>
        <v xml:space="preserve">      Gasification, Tar Reforming, &amp; Quench</v>
      </c>
      <c r="C14" s="745">
        <f>'Capital Costs'!D17</f>
        <v>9348995.1739647668</v>
      </c>
      <c r="D14" s="744"/>
      <c r="E14" s="745">
        <f t="shared" ref="E14:E26" ca="1" si="0">IF($D14="",$C14*Scale_Ratio^Scaling_Factor_Exponent,$C14*Scale_Ratio^$D14)</f>
        <v>9349004.2039945349</v>
      </c>
      <c r="F14" s="756">
        <f>'Capital Costs'!E17</f>
        <v>2.4700000000000002</v>
      </c>
      <c r="G14" s="746">
        <f t="shared" ref="G14:G26" ca="1" si="1">$E14*$F14</f>
        <v>23092040.383866504</v>
      </c>
      <c r="H14" s="745">
        <f t="shared" ref="H14:H26" si="2">C14*F14</f>
        <v>23092018.079692975</v>
      </c>
      <c r="I14" s="747"/>
      <c r="J14" s="523"/>
    </row>
    <row r="15" spans="2:11" x14ac:dyDescent="0.2">
      <c r="B15" s="754" t="str">
        <f>'Capital Costs'!B18</f>
        <v xml:space="preserve">      Compression &amp; Sulfur Removal</v>
      </c>
      <c r="C15" s="745">
        <f>'Capital Costs'!D18</f>
        <v>8681209.1569386981</v>
      </c>
      <c r="D15" s="744"/>
      <c r="E15" s="745">
        <f t="shared" ca="1" si="0"/>
        <v>8681217.5419657137</v>
      </c>
      <c r="F15" s="756">
        <f>'Capital Costs'!E18</f>
        <v>2.4700000000000002</v>
      </c>
      <c r="G15" s="746">
        <f t="shared" ca="1" si="1"/>
        <v>21442607.328655314</v>
      </c>
      <c r="H15" s="745">
        <f t="shared" si="2"/>
        <v>21442586.617638588</v>
      </c>
      <c r="I15" s="747"/>
      <c r="J15" s="523"/>
    </row>
    <row r="16" spans="2:11" x14ac:dyDescent="0.2">
      <c r="B16" s="754" t="str">
        <f>'Capital Costs'!B19</f>
        <v xml:space="preserve">      Steam Methane Reforming, Shift, and PSA</v>
      </c>
      <c r="C16" s="745">
        <f>'Capital Costs'!D19</f>
        <v>16861579.124836423</v>
      </c>
      <c r="D16" s="744"/>
      <c r="E16" s="745">
        <f t="shared" ca="1" si="0"/>
        <v>16861595.411138706</v>
      </c>
      <c r="F16" s="756">
        <f>'Capital Costs'!E19</f>
        <v>2.4700000000000002</v>
      </c>
      <c r="G16" s="746">
        <f t="shared" ca="1" si="1"/>
        <v>41648140.665512607</v>
      </c>
      <c r="H16" s="745">
        <f t="shared" si="2"/>
        <v>41648100.438345969</v>
      </c>
      <c r="I16" s="747"/>
      <c r="J16" s="523"/>
    </row>
    <row r="17" spans="2:10" x14ac:dyDescent="0.2">
      <c r="B17" s="754" t="str">
        <f>'Capital Costs'!B20</f>
        <v xml:space="preserve">      Steam System and Power Generation</v>
      </c>
      <c r="C17" s="745">
        <f>'Capital Costs'!D20</f>
        <v>8013424.4348269431</v>
      </c>
      <c r="D17" s="744"/>
      <c r="E17" s="745">
        <f t="shared" ca="1" si="0"/>
        <v>8013432.1748524588</v>
      </c>
      <c r="F17" s="756">
        <f>'Capital Costs'!E20</f>
        <v>2.4700000000000002</v>
      </c>
      <c r="G17" s="746">
        <f t="shared" ca="1" si="1"/>
        <v>19793177.471885573</v>
      </c>
      <c r="H17" s="745">
        <f t="shared" si="2"/>
        <v>19793158.354022551</v>
      </c>
      <c r="I17" s="747"/>
      <c r="J17" s="523"/>
    </row>
    <row r="18" spans="2:10" x14ac:dyDescent="0.2">
      <c r="B18" s="754" t="str">
        <f>'Capital Costs'!B21</f>
        <v xml:space="preserve">      Cooling Water and Other Utilities</v>
      </c>
      <c r="C18" s="745">
        <f>'Capital Costs'!D21</f>
        <v>1892058.8708404959</v>
      </c>
      <c r="D18" s="744"/>
      <c r="E18" s="745">
        <f t="shared" ca="1" si="0"/>
        <v>1892060.698346833</v>
      </c>
      <c r="F18" s="756">
        <f>'Capital Costs'!E21</f>
        <v>2.4700000000000002</v>
      </c>
      <c r="G18" s="746">
        <f t="shared" ca="1" si="1"/>
        <v>4673389.9249166781</v>
      </c>
      <c r="H18" s="745">
        <f t="shared" si="2"/>
        <v>4673385.4109760253</v>
      </c>
      <c r="I18" s="747"/>
      <c r="J18" s="523"/>
    </row>
    <row r="19" spans="2:10" x14ac:dyDescent="0.2">
      <c r="B19" s="754" t="str">
        <f>'Capital Costs'!B22</f>
        <v xml:space="preserve">      Buildings &amp; Structures</v>
      </c>
      <c r="C19" s="745">
        <f>'Capital Costs'!D22</f>
        <v>8247148.6990917632</v>
      </c>
      <c r="D19" s="744"/>
      <c r="E19" s="745">
        <f t="shared" ca="1" si="0"/>
        <v>8247156.6648674291</v>
      </c>
      <c r="F19" s="756">
        <f>'Capital Costs'!E22</f>
        <v>1</v>
      </c>
      <c r="G19" s="746">
        <f t="shared" ca="1" si="1"/>
        <v>8247156.6648674291</v>
      </c>
      <c r="H19" s="745">
        <f t="shared" si="2"/>
        <v>8247148.6990917632</v>
      </c>
      <c r="I19" s="747"/>
      <c r="J19" s="523"/>
    </row>
    <row r="20" spans="2:10" x14ac:dyDescent="0.2">
      <c r="B20" s="754">
        <f>'Capital Costs'!B23</f>
        <v>0</v>
      </c>
      <c r="C20" s="745">
        <f>'Capital Costs'!D23</f>
        <v>0</v>
      </c>
      <c r="D20" s="744"/>
      <c r="E20" s="745">
        <f t="shared" ca="1" si="0"/>
        <v>0</v>
      </c>
      <c r="F20" s="756">
        <f>'Capital Costs'!E23</f>
        <v>0</v>
      </c>
      <c r="G20" s="746">
        <f t="shared" ca="1" si="1"/>
        <v>0</v>
      </c>
      <c r="H20" s="745">
        <f t="shared" si="2"/>
        <v>0</v>
      </c>
      <c r="I20" s="747"/>
      <c r="J20" s="523"/>
    </row>
    <row r="21" spans="2:10" x14ac:dyDescent="0.2">
      <c r="B21" s="754">
        <f>'Capital Costs'!B24</f>
        <v>0</v>
      </c>
      <c r="C21" s="745">
        <f>'Capital Costs'!D24</f>
        <v>0</v>
      </c>
      <c r="D21" s="744"/>
      <c r="E21" s="745">
        <f t="shared" ca="1" si="0"/>
        <v>0</v>
      </c>
      <c r="F21" s="756">
        <f>'Capital Costs'!E24</f>
        <v>0</v>
      </c>
      <c r="G21" s="746">
        <f t="shared" ca="1" si="1"/>
        <v>0</v>
      </c>
      <c r="H21" s="745">
        <f t="shared" si="2"/>
        <v>0</v>
      </c>
      <c r="I21" s="747"/>
      <c r="J21" s="523"/>
    </row>
    <row r="22" spans="2:10" x14ac:dyDescent="0.2">
      <c r="B22" s="754">
        <f>'Capital Costs'!B25</f>
        <v>0</v>
      </c>
      <c r="C22" s="745">
        <f>'Capital Costs'!D25</f>
        <v>0</v>
      </c>
      <c r="D22" s="744"/>
      <c r="E22" s="745">
        <f t="shared" ca="1" si="0"/>
        <v>0</v>
      </c>
      <c r="F22" s="756">
        <f>'Capital Costs'!E25</f>
        <v>0</v>
      </c>
      <c r="G22" s="746">
        <f t="shared" ca="1" si="1"/>
        <v>0</v>
      </c>
      <c r="H22" s="745">
        <f t="shared" si="2"/>
        <v>0</v>
      </c>
      <c r="I22" s="747"/>
      <c r="J22" s="523"/>
    </row>
    <row r="23" spans="2:10" x14ac:dyDescent="0.2">
      <c r="B23" s="754">
        <f>'Capital Costs'!B26</f>
        <v>0</v>
      </c>
      <c r="C23" s="745">
        <f>'Capital Costs'!D26</f>
        <v>0</v>
      </c>
      <c r="D23" s="744"/>
      <c r="E23" s="745">
        <f t="shared" ca="1" si="0"/>
        <v>0</v>
      </c>
      <c r="F23" s="756">
        <f>'Capital Costs'!E26</f>
        <v>0</v>
      </c>
      <c r="G23" s="746">
        <f t="shared" ca="1" si="1"/>
        <v>0</v>
      </c>
      <c r="H23" s="745">
        <f t="shared" si="2"/>
        <v>0</v>
      </c>
      <c r="I23" s="747"/>
      <c r="J23" s="523"/>
    </row>
    <row r="24" spans="2:10" x14ac:dyDescent="0.2">
      <c r="B24" s="754">
        <f>'Capital Costs'!B27</f>
        <v>0</v>
      </c>
      <c r="C24" s="745">
        <f>'Capital Costs'!D27</f>
        <v>0</v>
      </c>
      <c r="D24" s="748"/>
      <c r="E24" s="745">
        <f t="shared" ca="1" si="0"/>
        <v>0</v>
      </c>
      <c r="F24" s="756">
        <f>'Capital Costs'!E27</f>
        <v>0</v>
      </c>
      <c r="G24" s="746">
        <f t="shared" ca="1" si="1"/>
        <v>0</v>
      </c>
      <c r="H24" s="745">
        <f t="shared" si="2"/>
        <v>0</v>
      </c>
      <c r="I24" s="747"/>
      <c r="J24" s="523"/>
    </row>
    <row r="25" spans="2:10" x14ac:dyDescent="0.2">
      <c r="B25" s="754">
        <f>'Capital Costs'!B28</f>
        <v>0</v>
      </c>
      <c r="C25" s="745">
        <f>'Capital Costs'!D28</f>
        <v>0</v>
      </c>
      <c r="D25" s="748"/>
      <c r="E25" s="745">
        <f t="shared" ca="1" si="0"/>
        <v>0</v>
      </c>
      <c r="F25" s="756">
        <f>'Capital Costs'!E28</f>
        <v>0</v>
      </c>
      <c r="G25" s="746">
        <f t="shared" ca="1" si="1"/>
        <v>0</v>
      </c>
      <c r="H25" s="745">
        <f t="shared" si="2"/>
        <v>0</v>
      </c>
      <c r="I25" s="747"/>
      <c r="J25" s="523"/>
    </row>
    <row r="26" spans="2:10" ht="13.5" thickBot="1" x14ac:dyDescent="0.25">
      <c r="B26" s="754">
        <f>'Capital Costs'!B29</f>
        <v>0</v>
      </c>
      <c r="C26" s="745">
        <f>'Capital Costs'!D29</f>
        <v>0</v>
      </c>
      <c r="D26" s="749"/>
      <c r="E26" s="750">
        <f t="shared" ca="1" si="0"/>
        <v>0</v>
      </c>
      <c r="F26" s="756">
        <f>'Capital Costs'!E29</f>
        <v>0</v>
      </c>
      <c r="G26" s="751">
        <f t="shared" ca="1" si="1"/>
        <v>0</v>
      </c>
      <c r="H26" s="750">
        <f t="shared" si="2"/>
        <v>0</v>
      </c>
      <c r="I26" s="752"/>
      <c r="J26" s="524"/>
    </row>
    <row r="27" spans="2:10" ht="13.5" thickBot="1" x14ac:dyDescent="0.25">
      <c r="B27" s="515" t="s">
        <v>672</v>
      </c>
      <c r="C27" s="516">
        <f>SUM(C13:C26)</f>
        <v>63562034.545616589</v>
      </c>
      <c r="D27" s="520"/>
      <c r="E27" s="516">
        <f ca="1">SUM(E13:E26)</f>
        <v>63562095.939066194</v>
      </c>
      <c r="F27" s="518"/>
      <c r="G27" s="739">
        <f ca="1">SUM(G13:G26)</f>
        <v>144875056.67213839</v>
      </c>
      <c r="H27" s="757">
        <f>SUM(H13:H26)</f>
        <v>144874916.74000809</v>
      </c>
      <c r="I27" s="348"/>
      <c r="J27" s="521"/>
    </row>
    <row r="28" spans="2:10" ht="13.5" thickTop="1" x14ac:dyDescent="0.2"/>
  </sheetData>
  <mergeCells count="6">
    <mergeCell ref="D8:F8"/>
    <mergeCell ref="D3:F3"/>
    <mergeCell ref="D5:F5"/>
    <mergeCell ref="D4:F4"/>
    <mergeCell ref="D7:F7"/>
    <mergeCell ref="D6:F6"/>
  </mergeCells>
  <phoneticPr fontId="2" type="noConversion"/>
  <hyperlinks>
    <hyperlink ref="D8" r:id="rId1" xr:uid="{00000000-0004-0000-0600-000000000000}"/>
    <hyperlink ref="D7" r:id="rId2" xr:uid="{00000000-0004-0000-0600-000001000000}"/>
  </hyperlinks>
  <pageMargins left="0.75" right="0.75" top="1" bottom="1" header="0.5" footer="0.5"/>
  <pageSetup scale="68" fitToWidth="2" orientation="landscape" r:id="rId3"/>
  <headerFooter alignWithMargins="0">
    <oddHeader>&amp;L&amp;F</oddHead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11"/>
  <sheetViews>
    <sheetView zoomScaleNormal="100" workbookViewId="0"/>
  </sheetViews>
  <sheetFormatPr defaultColWidth="9.140625" defaultRowHeight="12.75" x14ac:dyDescent="0.2"/>
  <cols>
    <col min="1" max="1" width="7.5703125" style="29" customWidth="1"/>
    <col min="2" max="2" width="72.28515625" style="29" customWidth="1"/>
    <col min="3" max="3" width="15.85546875" style="29" customWidth="1"/>
    <col min="4" max="4" width="19.42578125" style="29" customWidth="1"/>
    <col min="5" max="5" width="12.140625" style="29" customWidth="1"/>
    <col min="6" max="6" width="15.85546875" style="29" customWidth="1"/>
    <col min="7" max="7" width="14.7109375" style="29" customWidth="1"/>
    <col min="8" max="8" width="17" style="29" customWidth="1"/>
    <col min="9" max="9" width="17.28515625" style="29" customWidth="1"/>
    <col min="10" max="10" width="23.42578125" style="29" customWidth="1"/>
    <col min="11" max="11" width="16.140625" style="29" customWidth="1"/>
    <col min="12" max="12" width="11.5703125" style="29" bestFit="1" customWidth="1"/>
    <col min="13" max="13" width="12.7109375" style="29" bestFit="1" customWidth="1"/>
    <col min="14" max="14" width="11.5703125" style="29" bestFit="1" customWidth="1"/>
    <col min="15" max="16384" width="9.140625" style="29"/>
  </cols>
  <sheetData>
    <row r="1" spans="1:10" x14ac:dyDescent="0.2">
      <c r="A1" s="1275"/>
    </row>
    <row r="2" spans="1:10" ht="22.5" x14ac:dyDescent="0.2">
      <c r="B2" s="801" t="s">
        <v>400</v>
      </c>
    </row>
    <row r="4" spans="1:10" ht="14.25" x14ac:dyDescent="0.2">
      <c r="B4" s="1565" t="s">
        <v>390</v>
      </c>
      <c r="C4" s="1565"/>
      <c r="D4" s="1565"/>
      <c r="E4" s="1565"/>
      <c r="F4" s="1565"/>
      <c r="G4" s="1565"/>
      <c r="H4" s="1565"/>
      <c r="I4" s="1565"/>
      <c r="J4" s="1565"/>
    </row>
    <row r="5" spans="1:10" ht="67.5" customHeight="1" x14ac:dyDescent="0.2">
      <c r="B5" s="1566" t="s">
        <v>410</v>
      </c>
      <c r="C5" s="1567"/>
      <c r="D5" s="1567"/>
      <c r="E5" s="1567"/>
      <c r="F5" s="1567"/>
      <c r="G5" s="1567"/>
      <c r="H5" s="1567"/>
      <c r="I5" s="1567"/>
      <c r="J5" s="1567"/>
    </row>
    <row r="6" spans="1:10" x14ac:dyDescent="0.2">
      <c r="B6" s="773"/>
      <c r="C6" s="773"/>
      <c r="D6" s="773"/>
      <c r="E6" s="773"/>
      <c r="F6" s="773"/>
      <c r="G6" s="773"/>
      <c r="H6" s="773"/>
      <c r="I6" s="773"/>
      <c r="J6" s="773"/>
    </row>
    <row r="7" spans="1:10" ht="22.5" x14ac:dyDescent="0.2">
      <c r="B7" s="802" t="s">
        <v>1068</v>
      </c>
      <c r="C7" s="773"/>
      <c r="D7" s="773"/>
      <c r="E7" s="773"/>
      <c r="F7" s="773"/>
      <c r="G7" s="773"/>
      <c r="H7" s="773"/>
      <c r="I7" s="773"/>
      <c r="J7" s="773"/>
    </row>
    <row r="8" spans="1:10" ht="15.75" x14ac:dyDescent="0.2">
      <c r="B8" s="803" t="s">
        <v>233</v>
      </c>
      <c r="C8" s="773"/>
      <c r="D8" s="773"/>
      <c r="E8" s="773"/>
      <c r="F8" s="773"/>
      <c r="G8" s="773"/>
      <c r="H8" s="773"/>
      <c r="I8" s="773"/>
      <c r="J8" s="773"/>
    </row>
    <row r="9" spans="1:10" x14ac:dyDescent="0.2">
      <c r="B9" s="773"/>
      <c r="C9" s="773"/>
      <c r="D9" s="773"/>
      <c r="E9" s="773"/>
      <c r="F9" s="773"/>
      <c r="G9" s="773"/>
      <c r="H9" s="773"/>
      <c r="I9" s="773"/>
      <c r="J9" s="773"/>
    </row>
    <row r="10" spans="1:10" x14ac:dyDescent="0.2">
      <c r="B10" s="773"/>
      <c r="C10" s="773"/>
      <c r="D10" s="773"/>
      <c r="E10" s="773"/>
      <c r="F10" s="773"/>
      <c r="G10" s="773"/>
      <c r="H10" s="773"/>
      <c r="I10" s="773"/>
      <c r="J10" s="773"/>
    </row>
    <row r="11" spans="1:10" ht="15.75" x14ac:dyDescent="0.2">
      <c r="B11" s="803" t="s">
        <v>234</v>
      </c>
      <c r="C11" s="773"/>
      <c r="D11" s="773"/>
      <c r="E11" s="773"/>
      <c r="F11" s="773"/>
      <c r="G11" s="773"/>
      <c r="H11" s="773"/>
      <c r="I11" s="773"/>
      <c r="J11" s="773"/>
    </row>
    <row r="12" spans="1:10" x14ac:dyDescent="0.2">
      <c r="B12" s="773"/>
      <c r="C12" s="773"/>
      <c r="D12" s="773"/>
      <c r="E12" s="773"/>
      <c r="F12" s="773"/>
      <c r="G12" s="773"/>
      <c r="H12" s="773"/>
      <c r="I12" s="773"/>
      <c r="J12" s="773"/>
    </row>
    <row r="13" spans="1:10" x14ac:dyDescent="0.2">
      <c r="B13" s="773"/>
      <c r="C13" s="773"/>
      <c r="D13" s="773"/>
      <c r="E13" s="773"/>
      <c r="F13" s="773"/>
      <c r="G13" s="773"/>
      <c r="H13" s="773"/>
      <c r="I13" s="773"/>
      <c r="J13" s="773"/>
    </row>
    <row r="14" spans="1:10" x14ac:dyDescent="0.2">
      <c r="B14" s="773"/>
      <c r="C14" s="773"/>
      <c r="D14" s="773"/>
      <c r="E14" s="773"/>
      <c r="F14" s="773"/>
      <c r="G14" s="773"/>
      <c r="H14" s="773"/>
      <c r="I14" s="773"/>
      <c r="J14" s="773"/>
    </row>
    <row r="15" spans="1:10" ht="15" x14ac:dyDescent="0.2">
      <c r="B15" s="805" t="s">
        <v>412</v>
      </c>
      <c r="C15" s="773"/>
      <c r="D15" s="773"/>
      <c r="E15" s="773"/>
      <c r="F15" s="773"/>
      <c r="G15" s="773"/>
      <c r="H15" s="773"/>
      <c r="I15" s="773"/>
      <c r="J15" s="773"/>
    </row>
    <row r="16" spans="1:10" ht="15" x14ac:dyDescent="0.2">
      <c r="B16" s="805" t="s">
        <v>425</v>
      </c>
      <c r="C16" s="773"/>
      <c r="D16" s="773"/>
      <c r="E16" s="773"/>
      <c r="F16" s="773"/>
      <c r="G16" s="773"/>
      <c r="H16" s="773"/>
      <c r="I16" s="773"/>
      <c r="J16" s="773"/>
    </row>
    <row r="17" spans="2:14" ht="15" x14ac:dyDescent="0.2">
      <c r="B17" s="805" t="s">
        <v>433</v>
      </c>
      <c r="C17" s="773"/>
      <c r="D17" s="773"/>
      <c r="E17" s="773"/>
      <c r="F17" s="773"/>
      <c r="G17" s="773"/>
      <c r="H17" s="773"/>
      <c r="I17" s="773"/>
      <c r="J17" s="773"/>
    </row>
    <row r="18" spans="2:14" ht="15.75" x14ac:dyDescent="0.2">
      <c r="B18" s="804"/>
    </row>
    <row r="19" spans="2:14" ht="13.5" thickBot="1" x14ac:dyDescent="0.25"/>
    <row r="20" spans="2:14" ht="44.25" customHeight="1" thickTop="1" x14ac:dyDescent="0.2">
      <c r="B20" s="1327" t="s">
        <v>411</v>
      </c>
      <c r="C20" s="1328"/>
      <c r="D20" s="1329"/>
      <c r="E20" s="1329"/>
      <c r="F20" s="1330"/>
      <c r="H20" s="1570" t="s">
        <v>819</v>
      </c>
      <c r="I20" s="1571"/>
      <c r="J20" s="1571"/>
      <c r="K20" s="1572"/>
    </row>
    <row r="21" spans="2:14" ht="39" customHeight="1" x14ac:dyDescent="0.2">
      <c r="B21" s="555" t="s">
        <v>956</v>
      </c>
      <c r="C21" s="560">
        <f ca="1">Feed_CO2_MTpY</f>
        <v>1316400</v>
      </c>
      <c r="D21" s="1573" t="s">
        <v>413</v>
      </c>
      <c r="E21" s="1573"/>
      <c r="F21" s="1574"/>
      <c r="H21" s="1561" t="s">
        <v>83</v>
      </c>
      <c r="I21" s="1562"/>
      <c r="J21" s="1331"/>
      <c r="K21" s="1332"/>
    </row>
    <row r="22" spans="2:14" ht="14.25" customHeight="1" x14ac:dyDescent="0.2">
      <c r="B22" s="555" t="s">
        <v>955</v>
      </c>
      <c r="C22" s="561">
        <f ca="1">Feed_CO2_kgpkgH2</f>
        <v>25.814357775672725</v>
      </c>
      <c r="D22" s="557"/>
      <c r="E22" s="557"/>
      <c r="F22" s="558"/>
      <c r="H22" s="1547" t="s">
        <v>428</v>
      </c>
      <c r="I22" s="1548"/>
      <c r="J22" s="1352" t="e">
        <f ca="1">SUM(C54:C57)</f>
        <v>#VALUE!</v>
      </c>
      <c r="K22" s="1332"/>
    </row>
    <row r="23" spans="2:14" ht="14.25" customHeight="1" x14ac:dyDescent="0.2">
      <c r="B23" s="555" t="s">
        <v>429</v>
      </c>
      <c r="C23" s="1292">
        <f ca="1">Feed_CO2_MTpY/365*CO2_Capture_Efficiency</f>
        <v>0</v>
      </c>
      <c r="D23" s="557"/>
      <c r="E23" s="557"/>
      <c r="F23" s="558"/>
      <c r="H23" s="1547" t="s">
        <v>1234</v>
      </c>
      <c r="I23" s="1548"/>
      <c r="J23" s="1352">
        <f ca="1">C71</f>
        <v>80988.893635198634</v>
      </c>
      <c r="K23" s="1332"/>
      <c r="N23" s="1275"/>
    </row>
    <row r="24" spans="2:14" ht="14.25" customHeight="1" x14ac:dyDescent="0.2">
      <c r="B24" s="555" t="s">
        <v>1287</v>
      </c>
      <c r="C24" s="1286">
        <f ca="1">CO2_flowrate*365/1000000</f>
        <v>0</v>
      </c>
      <c r="D24" s="1288"/>
      <c r="E24" s="1288"/>
      <c r="F24" s="1278"/>
      <c r="H24" s="1547" t="s">
        <v>1237</v>
      </c>
      <c r="I24" s="1548"/>
      <c r="J24" s="1352">
        <f ca="1">SUM(C82:C83)</f>
        <v>0</v>
      </c>
      <c r="K24" s="1332"/>
      <c r="N24" s="1275"/>
    </row>
    <row r="25" spans="2:14" ht="15" x14ac:dyDescent="0.2">
      <c r="B25" s="593" t="s">
        <v>431</v>
      </c>
      <c r="C25" s="594">
        <f ca="1">HLOOKUP(startup_year,INDIRECT(TMP_PriceTable),MATCH("Industrial Electricity",INDIRECT(Energy_Feed_List),0),FALSE)*VLOOKUP("kWh",CC_feedconversion,2,FALSE)</f>
        <v>6.9980611257164108E-2</v>
      </c>
      <c r="D25" s="1575" t="s">
        <v>432</v>
      </c>
      <c r="E25" s="1575"/>
      <c r="F25" s="1576"/>
      <c r="H25" s="1559" t="s">
        <v>1239</v>
      </c>
      <c r="I25" s="1560"/>
      <c r="J25" s="1352">
        <f ca="1">SUM(C93:C95)</f>
        <v>39831626.153846137</v>
      </c>
      <c r="K25" s="1334"/>
      <c r="M25" s="1281"/>
    </row>
    <row r="26" spans="2:14" ht="15.75" thickBot="1" x14ac:dyDescent="0.25">
      <c r="B26" s="559" t="s">
        <v>1000</v>
      </c>
      <c r="C26" s="562">
        <f ca="1">IF(C21=0,0,(pump_power)*cap_factor*24*365/output_kgyear)</f>
        <v>0</v>
      </c>
      <c r="D26" s="1568"/>
      <c r="E26" s="1568"/>
      <c r="F26" s="1569"/>
      <c r="H26" s="1577"/>
      <c r="I26" s="1578"/>
      <c r="J26" s="1355">
        <f>IF(CO2_Capture_Efficiency,SUM(J22:J25),0)</f>
        <v>0</v>
      </c>
      <c r="K26" s="1334" t="str">
        <f>"Total ("&amp;ref_year&amp;"$)"</f>
        <v>Total (2016$)</v>
      </c>
    </row>
    <row r="27" spans="2:14" ht="18.75" customHeight="1" thickTop="1" thickBot="1" x14ac:dyDescent="0.25">
      <c r="H27" s="1547" t="s">
        <v>1097</v>
      </c>
      <c r="I27" s="1548"/>
      <c r="J27" s="1352" t="e">
        <f ca="1">IF(CO2_inUse = "To Use Carbon Sequestration Click 'Link to Detail Sheet' in the Input Sheet Capital Cost Section",0,(J23+J24)/1.2+J25/1.5+J22)</f>
        <v>#VALUE!</v>
      </c>
      <c r="K27" s="1332"/>
    </row>
    <row r="28" spans="2:14" ht="31.5" customHeight="1" thickTop="1" thickBot="1" x14ac:dyDescent="0.25">
      <c r="B28" s="1323" t="s">
        <v>412</v>
      </c>
      <c r="C28" s="1324"/>
      <c r="D28" s="1325"/>
      <c r="E28" s="1325"/>
      <c r="F28" s="1326"/>
      <c r="H28" s="1563"/>
      <c r="I28" s="1564"/>
      <c r="J28" s="1333"/>
      <c r="K28" s="1332"/>
    </row>
    <row r="29" spans="2:14" ht="15" x14ac:dyDescent="0.2">
      <c r="B29" s="1306" t="s">
        <v>1246</v>
      </c>
      <c r="C29" s="1304"/>
      <c r="D29" s="1305"/>
      <c r="E29" s="1305"/>
      <c r="F29" s="1307"/>
      <c r="H29" s="1335"/>
      <c r="I29" s="1336"/>
      <c r="J29" s="1333"/>
      <c r="K29" s="1332"/>
    </row>
    <row r="30" spans="2:14" ht="15" x14ac:dyDescent="0.2">
      <c r="B30" s="1308" t="s">
        <v>999</v>
      </c>
      <c r="C30" s="1359">
        <v>0</v>
      </c>
      <c r="D30" s="1293"/>
      <c r="E30" s="1549" t="s">
        <v>1288</v>
      </c>
      <c r="F30" s="1550"/>
      <c r="H30" s="1561" t="s">
        <v>817</v>
      </c>
      <c r="I30" s="1562"/>
      <c r="J30" s="1333"/>
      <c r="K30" s="1332"/>
    </row>
    <row r="31" spans="2:14" ht="27.6" customHeight="1" x14ac:dyDescent="0.2">
      <c r="B31" s="1308" t="s">
        <v>549</v>
      </c>
      <c r="C31" s="1321">
        <v>14.7</v>
      </c>
      <c r="D31" s="1293"/>
      <c r="E31" s="1557" t="s">
        <v>1243</v>
      </c>
      <c r="F31" s="1558"/>
      <c r="H31" s="1547" t="s">
        <v>426</v>
      </c>
      <c r="I31" s="1548"/>
      <c r="J31" s="1352">
        <f ca="1">C74</f>
        <v>0</v>
      </c>
      <c r="K31" s="1332"/>
    </row>
    <row r="32" spans="2:14" ht="28.5" x14ac:dyDescent="0.2">
      <c r="B32" s="1308" t="s">
        <v>1218</v>
      </c>
      <c r="C32" s="1294">
        <v>1</v>
      </c>
      <c r="D32" s="1293"/>
      <c r="E32" s="1549"/>
      <c r="F32" s="1551"/>
      <c r="H32" s="1353" t="s">
        <v>427</v>
      </c>
      <c r="I32" s="1354"/>
      <c r="J32" s="1352">
        <v>0</v>
      </c>
      <c r="K32" s="1332"/>
    </row>
    <row r="33" spans="2:11" ht="14.25" x14ac:dyDescent="0.2">
      <c r="B33" s="1308" t="s">
        <v>1217</v>
      </c>
      <c r="C33" s="1295">
        <v>0.75</v>
      </c>
      <c r="D33" s="1293"/>
      <c r="E33" s="1549"/>
      <c r="F33" s="1551"/>
      <c r="H33" s="1547" t="s">
        <v>428</v>
      </c>
      <c r="I33" s="1548"/>
      <c r="J33" s="1352">
        <v>0</v>
      </c>
      <c r="K33" s="1332"/>
    </row>
    <row r="34" spans="2:11" ht="15" x14ac:dyDescent="0.2">
      <c r="B34" s="1308" t="s">
        <v>1209</v>
      </c>
      <c r="C34" s="1296" t="s">
        <v>23</v>
      </c>
      <c r="D34" s="1293"/>
      <c r="E34" s="1549"/>
      <c r="F34" s="1551"/>
      <c r="H34" s="1563"/>
      <c r="I34" s="1564"/>
      <c r="J34" s="1355">
        <f ca="1">SUM(J31:J33)</f>
        <v>0</v>
      </c>
      <c r="K34" s="1334" t="str">
        <f>"Total ("&amp;ref_year&amp;"$)"</f>
        <v>Total (2016$)</v>
      </c>
    </row>
    <row r="35" spans="2:11" ht="15" x14ac:dyDescent="0.2">
      <c r="B35" s="1308" t="s">
        <v>1211</v>
      </c>
      <c r="C35" s="1296" t="s">
        <v>23</v>
      </c>
      <c r="D35" s="1293"/>
      <c r="E35" s="1549"/>
      <c r="F35" s="1551"/>
      <c r="H35" s="1561" t="s">
        <v>818</v>
      </c>
      <c r="I35" s="1562"/>
      <c r="J35" s="1333"/>
      <c r="K35" s="1332"/>
    </row>
    <row r="36" spans="2:11" ht="14.25" x14ac:dyDescent="0.2">
      <c r="B36" s="1308" t="s">
        <v>1244</v>
      </c>
      <c r="C36" s="1294">
        <v>100</v>
      </c>
      <c r="D36" s="1293"/>
      <c r="E36" s="1549"/>
      <c r="F36" s="1551"/>
      <c r="H36" s="1547" t="s">
        <v>964</v>
      </c>
      <c r="I36" s="1548"/>
      <c r="J36" s="1352">
        <f ca="1">-Feed_CO2_MTpY*CO2_Capture_Efficiency*CO2_credit</f>
        <v>0</v>
      </c>
      <c r="K36" s="1332"/>
    </row>
    <row r="37" spans="2:11" ht="14.25" x14ac:dyDescent="0.2">
      <c r="B37" s="1308" t="s">
        <v>1245</v>
      </c>
      <c r="C37" s="1294">
        <v>0</v>
      </c>
      <c r="D37" s="1293"/>
      <c r="E37" s="1549"/>
      <c r="F37" s="1551"/>
      <c r="H37" s="1547" t="s">
        <v>428</v>
      </c>
      <c r="I37" s="1548"/>
      <c r="J37" s="1352">
        <f>+C61</f>
        <v>693420.37890424987</v>
      </c>
      <c r="K37" s="1332"/>
    </row>
    <row r="38" spans="2:11" ht="15" thickBot="1" x14ac:dyDescent="0.25">
      <c r="B38" s="1309" t="s">
        <v>1252</v>
      </c>
      <c r="C38" s="1300" t="e">
        <f ca="1">Pipe_Diameter(CO2_PipeLength,
        C67, C66,
        C37,
        0.5,
        CO2_flowrate,
        CO2_Pipeline_Temp,
        n_CO2_pumps)</f>
        <v>#VALUE!</v>
      </c>
      <c r="D38" s="1301"/>
      <c r="E38" s="1555"/>
      <c r="F38" s="1556"/>
      <c r="H38" s="1547" t="s">
        <v>1234</v>
      </c>
      <c r="I38" s="1548"/>
      <c r="J38" s="1352">
        <f ca="1">C78</f>
        <v>3239.5557454079453</v>
      </c>
      <c r="K38" s="1332"/>
    </row>
    <row r="39" spans="2:11" ht="15" x14ac:dyDescent="0.2">
      <c r="B39" s="1552" t="s">
        <v>1247</v>
      </c>
      <c r="C39" s="1553"/>
      <c r="D39" s="1553"/>
      <c r="E39" s="1553"/>
      <c r="F39" s="1554"/>
      <c r="H39" s="1547" t="s">
        <v>1237</v>
      </c>
      <c r="I39" s="1548"/>
      <c r="J39" s="1352">
        <f ca="1">C86</f>
        <v>0</v>
      </c>
      <c r="K39" s="1332"/>
    </row>
    <row r="40" spans="2:11" ht="14.25" x14ac:dyDescent="0.2">
      <c r="B40" s="1308" t="s">
        <v>1223</v>
      </c>
      <c r="C40" s="1294">
        <v>53</v>
      </c>
      <c r="D40" s="1293"/>
      <c r="E40" s="1549" t="s">
        <v>1251</v>
      </c>
      <c r="F40" s="1551"/>
      <c r="H40" s="1559" t="s">
        <v>1238</v>
      </c>
      <c r="I40" s="1560"/>
      <c r="J40" s="1356">
        <f ca="1">SUM(C103:C107)</f>
        <v>2016053.2255769228</v>
      </c>
      <c r="K40" s="1332"/>
    </row>
    <row r="41" spans="2:11" ht="35.450000000000003" customHeight="1" thickBot="1" x14ac:dyDescent="0.25">
      <c r="B41" s="1309" t="s">
        <v>1224</v>
      </c>
      <c r="C41" s="1302">
        <f>denPRCO2(0.00005,AVERAGE(C66:C67)/MPa_to_psi,CO2_Pipeline_Temp)</f>
        <v>865.79471045444359</v>
      </c>
      <c r="D41" s="1301"/>
      <c r="E41" s="1587" t="s">
        <v>1225</v>
      </c>
      <c r="F41" s="1588"/>
      <c r="H41" s="1561"/>
      <c r="I41" s="1562"/>
      <c r="J41" s="1355">
        <f>IF(CO2_Capture_Efficiency&gt;0,SUM(J36:J40),0)</f>
        <v>0</v>
      </c>
      <c r="K41" s="1334" t="str">
        <f>"Total  ("&amp;ref_year&amp;"$)"</f>
        <v>Total  (2016$)</v>
      </c>
    </row>
    <row r="42" spans="2:11" ht="15" x14ac:dyDescent="0.2">
      <c r="B42" s="1552" t="s">
        <v>1248</v>
      </c>
      <c r="C42" s="1553"/>
      <c r="D42" s="1553"/>
      <c r="E42" s="1553"/>
      <c r="F42" s="1554"/>
      <c r="H42" s="1335"/>
      <c r="I42" s="1336"/>
      <c r="J42" s="1333"/>
      <c r="K42" s="1332"/>
    </row>
    <row r="43" spans="2:11" ht="14.45" customHeight="1" x14ac:dyDescent="0.2">
      <c r="B43" s="1308" t="s">
        <v>962</v>
      </c>
      <c r="C43" s="1297">
        <v>0</v>
      </c>
      <c r="D43" s="1293"/>
      <c r="E43" s="1299"/>
      <c r="F43" s="1310"/>
      <c r="H43" s="1547" t="s">
        <v>826</v>
      </c>
      <c r="I43" s="1548"/>
      <c r="J43" s="1355">
        <f>Det_CO2_seq*tax_ins_rate</f>
        <v>0</v>
      </c>
      <c r="K43" s="1334" t="str">
        <f>+K41</f>
        <v>Total  (2016$)</v>
      </c>
    </row>
    <row r="44" spans="2:11" ht="15" customHeight="1" thickBot="1" x14ac:dyDescent="0.25">
      <c r="B44" s="1309" t="s">
        <v>1212</v>
      </c>
      <c r="C44" s="1303">
        <v>0.04</v>
      </c>
      <c r="D44" s="1301"/>
      <c r="E44" s="1589"/>
      <c r="F44" s="1590"/>
      <c r="H44" s="1337"/>
      <c r="I44" s="1338"/>
      <c r="J44" s="1339"/>
      <c r="K44" s="1340"/>
    </row>
    <row r="45" spans="2:11" ht="15" customHeight="1" x14ac:dyDescent="0.2">
      <c r="B45" s="1552" t="s">
        <v>1249</v>
      </c>
      <c r="C45" s="1553"/>
      <c r="D45" s="1553"/>
      <c r="E45" s="1553"/>
      <c r="F45" s="1554"/>
      <c r="H45" s="1581" t="s">
        <v>1240</v>
      </c>
      <c r="I45" s="1582"/>
      <c r="J45" s="1582"/>
      <c r="K45" s="1357" t="e">
        <f ca="1">ROUND(CO2_eCostpY/(Feed_CO2_MTpY*CO2_Capture_Efficiency),1)</f>
        <v>#DIV/0!</v>
      </c>
    </row>
    <row r="46" spans="2:11" ht="15" customHeight="1" x14ac:dyDescent="0.2">
      <c r="B46" s="1308" t="s">
        <v>66</v>
      </c>
      <c r="C46" s="1298">
        <f ca="1">(real_irr*(1+real_irr)^anal_period)/(((real_irr+1)^anal_period)-1)</f>
        <v>8.3860161500585326E-2</v>
      </c>
      <c r="D46" s="1293"/>
      <c r="E46" s="1549"/>
      <c r="F46" s="1551"/>
      <c r="H46" s="1547" t="s">
        <v>1241</v>
      </c>
      <c r="I46" s="1548"/>
      <c r="J46" s="1548"/>
      <c r="K46" s="1358" t="e">
        <f ca="1">ROUND((Det_CO2_OandMcost+ CCS_tax_insurance)/(Feed_CO2_MTpY*CO2_Capture_Efficiency),1)</f>
        <v>#DIV/0!</v>
      </c>
    </row>
    <row r="47" spans="2:11" ht="15" customHeight="1" thickBot="1" x14ac:dyDescent="0.25">
      <c r="B47" s="1308" t="s">
        <v>0</v>
      </c>
      <c r="C47" s="1298">
        <f ca="1">INDEX(MACRS_Table,MATCH("NPV - Real IRR",recovery_year,0),MATCH(depr_length,recovery_period,0))*(1+real_irr)</f>
        <v>0.54674112188719604</v>
      </c>
      <c r="D47" s="1293"/>
      <c r="E47" s="1549"/>
      <c r="F47" s="1551"/>
      <c r="H47" s="1585" t="s">
        <v>1242</v>
      </c>
      <c r="I47" s="1586"/>
      <c r="J47" s="1586"/>
      <c r="K47" s="1362" t="e">
        <f ca="1">ROUND((Det_CO2_seq+(-PV(nominal_irr,plant_life,C100)*(1+nominal_irr)))*CO2_cap_charge_rate/(Feed_CO2_MTpY*CO2_Capture_Efficiency),1)</f>
        <v>#DIV/0!</v>
      </c>
    </row>
    <row r="48" spans="2:11" ht="15" customHeight="1" thickTop="1" thickBot="1" x14ac:dyDescent="0.25">
      <c r="B48" s="1311" t="s">
        <v>1</v>
      </c>
      <c r="C48" s="1322">
        <f ca="1">(CO2_cap_rec*(1-total_tax_rate*CO2_depr_factor))/(1-total_tax_rate)</f>
        <v>9.7035312812405017E-2</v>
      </c>
      <c r="D48" s="1312"/>
      <c r="E48" s="1583"/>
      <c r="F48" s="1584"/>
      <c r="H48" s="1579" t="s">
        <v>1289</v>
      </c>
      <c r="I48" s="1580"/>
      <c r="J48" s="1580"/>
      <c r="K48" s="1361" t="e">
        <f ca="1">SUM(K45:K47)</f>
        <v>#DIV/0!</v>
      </c>
    </row>
    <row r="49" spans="2:11" ht="14.25" thickTop="1" thickBot="1" x14ac:dyDescent="0.25"/>
    <row r="50" spans="2:11" ht="18.75" thickTop="1" x14ac:dyDescent="0.2">
      <c r="B50" s="554" t="s">
        <v>1222</v>
      </c>
      <c r="C50" s="563"/>
      <c r="D50" s="563"/>
      <c r="E50" s="563"/>
      <c r="F50" s="563"/>
      <c r="G50" s="563"/>
      <c r="H50" s="563"/>
      <c r="I50" s="563"/>
      <c r="J50" s="563"/>
      <c r="K50" s="564"/>
    </row>
    <row r="51" spans="2:11" ht="13.9" customHeight="1" x14ac:dyDescent="0.2">
      <c r="B51" s="32" t="str">
        <f>"CO2 Pipeline Costs ("&amp;ref_year&amp;" USD)"</f>
        <v>CO2 Pipeline Costs (2016 USD)</v>
      </c>
      <c r="C51" s="1267"/>
      <c r="D51" s="1317" t="s">
        <v>1050</v>
      </c>
      <c r="E51" s="1313" t="s">
        <v>1250</v>
      </c>
      <c r="F51" s="1267"/>
      <c r="G51" s="1267"/>
      <c r="H51" s="1267"/>
      <c r="I51" s="1267"/>
      <c r="J51" s="1267"/>
      <c r="K51" s="565"/>
    </row>
    <row r="52" spans="2:11" ht="12.6" customHeight="1" x14ac:dyDescent="0.2">
      <c r="B52" s="1271" t="s">
        <v>1236</v>
      </c>
      <c r="C52" s="1267"/>
      <c r="D52" s="1267"/>
      <c r="E52" s="1267"/>
      <c r="F52" s="1267"/>
      <c r="G52" s="1267"/>
      <c r="H52" s="1267"/>
      <c r="I52" s="1267"/>
      <c r="J52" s="1267"/>
      <c r="K52" s="565"/>
    </row>
    <row r="53" spans="2:11" ht="12.6" customHeight="1" x14ac:dyDescent="0.3">
      <c r="B53" s="1341" t="s">
        <v>1208</v>
      </c>
      <c r="C53" s="1342" t="e">
        <f ca="1">IF(CO2_PipeDia&gt;20,1.25, IF(CO2_PipeDia&gt;16,1.18,IF(CO2_PipeDia&gt;12,1.12,1)))</f>
        <v>#VALUE!</v>
      </c>
      <c r="D53" s="1343"/>
      <c r="E53" s="1319" t="s">
        <v>1273</v>
      </c>
      <c r="F53" s="1267"/>
      <c r="G53" s="1267"/>
      <c r="H53" s="1267"/>
      <c r="I53" s="1267"/>
      <c r="J53" s="1267"/>
      <c r="K53" s="565"/>
    </row>
    <row r="54" spans="2:11" ht="12.6" customHeight="1" x14ac:dyDescent="0.3">
      <c r="B54" s="1341" t="s">
        <v>1259</v>
      </c>
      <c r="C54" s="1344" t="e">
        <f ca="1">(35000+CO2_PipeLength*(330.5*CO2_PipeDia^2+687*CO2_PipeDia+26960))*NG_to_CO2Pipeline*VLOOKUP(ref_year,Tbl_PlantCostIndexes,2)/VLOOKUP(2000,Tbl_PlantCostIndexes,2)</f>
        <v>#VALUE!</v>
      </c>
      <c r="D54" s="1345" t="str">
        <f>ref_year&amp;"$"</f>
        <v>2016$</v>
      </c>
      <c r="E54" s="1319" t="s">
        <v>1279</v>
      </c>
      <c r="F54" s="1267"/>
      <c r="G54" s="1267"/>
      <c r="H54" s="1267"/>
      <c r="I54" s="1267"/>
      <c r="J54" s="1267"/>
      <c r="K54" s="565"/>
    </row>
    <row r="55" spans="2:11" ht="12.6" customHeight="1" x14ac:dyDescent="0.3">
      <c r="B55" s="1341" t="s">
        <v>1269</v>
      </c>
      <c r="C55" s="1344" t="e">
        <f ca="1">(185000+CO2_PipeLength*(343*CO2_PipeDia^2+2074*CO2_PipeDia+170013))*NG_to_CO2Pipeline*VLOOKUP(ref_year,Tbl_labor_indexes,2)/VLOOKUP(2000,Tbl_labor_indexes,2)</f>
        <v>#VALUE!</v>
      </c>
      <c r="D55" s="1345" t="str">
        <f>ref_year&amp;"$"</f>
        <v>2016$</v>
      </c>
      <c r="E55" s="1319" t="s">
        <v>1280</v>
      </c>
      <c r="F55" s="1267"/>
      <c r="G55" s="1267"/>
      <c r="H55" s="1267"/>
      <c r="I55" s="1267"/>
      <c r="J55" s="1267"/>
      <c r="K55" s="565"/>
    </row>
    <row r="56" spans="2:11" ht="12.6" customHeight="1" x14ac:dyDescent="0.3">
      <c r="B56" s="1341" t="s">
        <v>1268</v>
      </c>
      <c r="C56" s="1344" t="e">
        <f ca="1">(40000+CO2_PipeLength*(0*CO2_PipeDia^2+577*CO2_PipeDia+29788))*NG_to_CO2Pipeline*(VLOOKUP(ref_year,DeflatorTable,2)/VLOOKUP(2000,DeflatorTable,2))</f>
        <v>#VALUE!</v>
      </c>
      <c r="D56" s="1345" t="str">
        <f>ref_year&amp;"$"</f>
        <v>2016$</v>
      </c>
      <c r="E56" s="1319" t="s">
        <v>1281</v>
      </c>
      <c r="F56" s="1267"/>
      <c r="G56" s="1267"/>
      <c r="H56" s="1267"/>
      <c r="I56" s="1267"/>
      <c r="J56" s="1267"/>
      <c r="K56" s="565"/>
    </row>
    <row r="57" spans="2:11" ht="12.6" customHeight="1" x14ac:dyDescent="0.3">
      <c r="B57" s="1341" t="s">
        <v>1267</v>
      </c>
      <c r="C57" s="1344" t="e">
        <f ca="1">(95000+CO2_PipeLength*(0*CO2_PipeDia^2+8417*CO2_PipeDia+7324))*NG_to_CO2Pipeline*VLOOKUP(ref_year,DeflatorTable,2)/VLOOKUP(2000,DeflatorTable,2)</f>
        <v>#VALUE!</v>
      </c>
      <c r="D57" s="1345" t="str">
        <f>ref_year&amp;"$"</f>
        <v>2016$</v>
      </c>
      <c r="E57" s="1319" t="s">
        <v>1282</v>
      </c>
      <c r="F57" s="1267"/>
      <c r="G57" s="1267"/>
      <c r="H57" s="1267"/>
      <c r="I57" s="1267"/>
      <c r="J57" s="1267"/>
      <c r="K57" s="565"/>
    </row>
    <row r="58" spans="2:11" ht="12.6" customHeight="1" x14ac:dyDescent="0.2">
      <c r="B58" s="1341" t="s">
        <v>1270</v>
      </c>
      <c r="C58" s="1344" t="e">
        <f ca="1">SUM(C54:C57)/CO2_PipeLength</f>
        <v>#VALUE!</v>
      </c>
      <c r="D58" s="1345" t="str">
        <f>ref_year&amp;"$/mile"</f>
        <v>2016$/mile</v>
      </c>
      <c r="E58" s="1273"/>
      <c r="F58" s="1291"/>
      <c r="G58" s="1291"/>
      <c r="H58" s="1291"/>
      <c r="I58" s="1291"/>
      <c r="J58" s="1291"/>
      <c r="K58" s="565"/>
    </row>
    <row r="59" spans="2:11" ht="12.6" customHeight="1" x14ac:dyDescent="0.2">
      <c r="B59" s="1269"/>
      <c r="C59" s="1283"/>
      <c r="D59" s="1267"/>
      <c r="E59" s="1273"/>
      <c r="F59" s="1267"/>
      <c r="G59" s="1267"/>
      <c r="H59" s="1267"/>
      <c r="I59" s="1267"/>
      <c r="J59" s="1267"/>
      <c r="K59" s="565"/>
    </row>
    <row r="60" spans="2:11" ht="12.6" customHeight="1" x14ac:dyDescent="0.2">
      <c r="B60" s="1271" t="s">
        <v>416</v>
      </c>
      <c r="C60" s="1283"/>
      <c r="D60" s="1267"/>
      <c r="E60" s="1273"/>
      <c r="F60" s="1267"/>
      <c r="G60" s="1267"/>
      <c r="H60" s="1267"/>
      <c r="I60" s="1267"/>
      <c r="J60" s="1267"/>
      <c r="K60" s="565"/>
    </row>
    <row r="61" spans="2:11" ht="12.6" customHeight="1" x14ac:dyDescent="0.2">
      <c r="B61" s="1341" t="s">
        <v>1266</v>
      </c>
      <c r="C61" s="1344">
        <f>5000*CO2_PipeLength*(VLOOKUP(ref_year,Tbl_PlantCostIndexes,2)/VLOOKUP(1999,Tbl_PlantCostIndexes,2))</f>
        <v>693420.37890424987</v>
      </c>
      <c r="D61" s="1345" t="str">
        <f>ref_year&amp;"$/year"</f>
        <v>2016$/year</v>
      </c>
      <c r="E61" s="1274" t="s">
        <v>1283</v>
      </c>
      <c r="F61" s="1267"/>
      <c r="G61" s="1267"/>
      <c r="H61" s="1267"/>
      <c r="I61" s="1267"/>
      <c r="J61" s="1267"/>
      <c r="K61" s="565"/>
    </row>
    <row r="62" spans="2:11" ht="12.6" customHeight="1" x14ac:dyDescent="0.2">
      <c r="B62" s="1269"/>
      <c r="C62" s="1267"/>
      <c r="D62" s="1267"/>
      <c r="E62" s="1273"/>
      <c r="F62" s="1267"/>
      <c r="G62" s="1267"/>
      <c r="H62" s="1267"/>
      <c r="I62" s="1267"/>
      <c r="J62" s="1267"/>
      <c r="K62" s="565"/>
    </row>
    <row r="63" spans="2:11" ht="12.6" customHeight="1" x14ac:dyDescent="0.2">
      <c r="B63" s="1269"/>
      <c r="C63" s="1267"/>
      <c r="D63" s="1267"/>
      <c r="E63" s="1273"/>
      <c r="F63" s="1267"/>
      <c r="G63" s="1267"/>
      <c r="H63" s="1267"/>
      <c r="I63" s="1267"/>
      <c r="J63" s="1267"/>
      <c r="K63" s="565"/>
    </row>
    <row r="64" spans="2:11" ht="13.9" customHeight="1" x14ac:dyDescent="0.2">
      <c r="B64" s="32" t="s">
        <v>1207</v>
      </c>
      <c r="C64" s="1267"/>
      <c r="D64" s="1267"/>
      <c r="E64" s="1273"/>
      <c r="F64" s="1267"/>
      <c r="G64" s="1267"/>
      <c r="H64" s="1267"/>
      <c r="I64" s="1267"/>
      <c r="J64" s="1267"/>
      <c r="K64" s="565"/>
    </row>
    <row r="65" spans="2:11" ht="12.6" customHeight="1" x14ac:dyDescent="0.2">
      <c r="B65" s="1271" t="s">
        <v>83</v>
      </c>
      <c r="C65" s="1267"/>
      <c r="D65" s="1267"/>
      <c r="E65" s="1273"/>
      <c r="F65" s="1267"/>
      <c r="G65" s="1267"/>
      <c r="H65" s="1267"/>
      <c r="I65" s="1267"/>
      <c r="J65" s="1267"/>
      <c r="K65" s="565"/>
    </row>
    <row r="66" spans="2:11" ht="12.6" customHeight="1" x14ac:dyDescent="0.2">
      <c r="B66" s="1341" t="s">
        <v>1213</v>
      </c>
      <c r="C66" s="1346">
        <f>CO2_Pin_psia</f>
        <v>14.7</v>
      </c>
      <c r="D66" s="1345" t="s">
        <v>1215</v>
      </c>
      <c r="E66" s="1273"/>
      <c r="F66" s="1267"/>
      <c r="G66" s="1267"/>
      <c r="H66" s="1267"/>
      <c r="I66" s="1267"/>
      <c r="J66" s="1267"/>
      <c r="K66" s="565"/>
    </row>
    <row r="67" spans="2:11" ht="12.6" customHeight="1" x14ac:dyDescent="0.2">
      <c r="B67" s="1341" t="s">
        <v>1214</v>
      </c>
      <c r="C67" s="1346">
        <f>15*MPa_to_psi</f>
        <v>2175.5700000000002</v>
      </c>
      <c r="D67" s="1345" t="s">
        <v>1215</v>
      </c>
      <c r="E67" s="1273"/>
      <c r="F67" s="1267"/>
      <c r="G67" s="1267"/>
      <c r="H67" s="1267"/>
      <c r="I67" s="1267"/>
      <c r="J67" s="1267"/>
      <c r="K67" s="565"/>
    </row>
    <row r="68" spans="2:11" ht="15.75" x14ac:dyDescent="0.2">
      <c r="B68" s="1341" t="s">
        <v>1216</v>
      </c>
      <c r="C68" s="1346">
        <f ca="1">(1000*1000000*0.001/ (24*3600))*(CO2_flowrate/cap_factor*(C67-C66)/MPa_to_psi)/(C41*Pump_Eff)</f>
        <v>0</v>
      </c>
      <c r="D68" s="1347" t="s">
        <v>414</v>
      </c>
      <c r="E68" s="1274" t="s">
        <v>1276</v>
      </c>
      <c r="F68" s="1267"/>
      <c r="G68" s="1267"/>
      <c r="H68" s="1267"/>
      <c r="I68" s="1267"/>
      <c r="J68" s="1267"/>
      <c r="K68" s="565"/>
    </row>
    <row r="69" spans="2:11" ht="12.6" customHeight="1" x14ac:dyDescent="0.2">
      <c r="B69" s="1341" t="s">
        <v>1262</v>
      </c>
      <c r="C69" s="1344">
        <f>70000*VLOOKUP(ref_year,Tbl_PlantCostIndexes,2)/VLOOKUP(2005,Tbl_PlantCostIndexes,2)</f>
        <v>80988.893635198634</v>
      </c>
      <c r="D69" s="1345" t="str">
        <f>ref_year&amp;"$"</f>
        <v>2016$</v>
      </c>
      <c r="E69" s="1274" t="s">
        <v>1277</v>
      </c>
      <c r="F69" s="1267"/>
      <c r="G69" s="1267"/>
      <c r="H69" s="1267"/>
      <c r="I69" s="1267"/>
      <c r="J69" s="1267"/>
      <c r="K69" s="565"/>
    </row>
    <row r="70" spans="2:11" ht="12.6" customHeight="1" x14ac:dyDescent="0.2">
      <c r="B70" s="1341" t="s">
        <v>1263</v>
      </c>
      <c r="C70" s="1344">
        <f ca="1">1110*C68*VLOOKUP(ref_year,Tbl_PlantCostIndexes,2)/VLOOKUP(2005,Tbl_PlantCostIndexes,2)</f>
        <v>0</v>
      </c>
      <c r="D70" s="1345" t="str">
        <f>ref_year&amp;"$"</f>
        <v>2016$</v>
      </c>
      <c r="E70" s="1274" t="s">
        <v>1275</v>
      </c>
      <c r="F70" s="1267"/>
      <c r="G70" s="1267"/>
      <c r="H70" s="1267"/>
      <c r="I70" s="1267"/>
      <c r="J70" s="1267"/>
      <c r="K70" s="565"/>
    </row>
    <row r="71" spans="2:11" ht="12.6" customHeight="1" x14ac:dyDescent="0.3">
      <c r="B71" s="1341" t="s">
        <v>1272</v>
      </c>
      <c r="C71" s="1344">
        <f ca="1">SUM(C69:C70)</f>
        <v>80988.893635198634</v>
      </c>
      <c r="D71" s="1345" t="str">
        <f>ref_year&amp;"$"</f>
        <v>2016$</v>
      </c>
      <c r="E71" s="1320" t="s">
        <v>1274</v>
      </c>
      <c r="F71" s="1291"/>
      <c r="G71" s="1291"/>
      <c r="H71" s="1291"/>
      <c r="I71" s="1291"/>
      <c r="J71" s="1291"/>
      <c r="K71" s="565"/>
    </row>
    <row r="72" spans="2:11" ht="12.6" customHeight="1" x14ac:dyDescent="0.2">
      <c r="B72" s="1270"/>
      <c r="C72" s="1276"/>
      <c r="D72" s="1275"/>
      <c r="E72" s="1273"/>
      <c r="F72" s="1267"/>
      <c r="G72" s="1267"/>
      <c r="H72" s="1267"/>
      <c r="I72" s="1267"/>
      <c r="J72" s="1267"/>
      <c r="K72" s="565"/>
    </row>
    <row r="73" spans="2:11" ht="12.6" customHeight="1" x14ac:dyDescent="0.2">
      <c r="B73" s="1271" t="s">
        <v>1219</v>
      </c>
      <c r="C73" s="1267"/>
      <c r="D73" s="1275"/>
      <c r="E73" s="1273"/>
      <c r="F73" s="1267"/>
      <c r="G73" s="1267"/>
      <c r="H73" s="1267"/>
      <c r="I73" s="1267"/>
      <c r="J73" s="1267"/>
      <c r="K73" s="565"/>
    </row>
    <row r="74" spans="2:11" ht="12.6" customHeight="1" x14ac:dyDescent="0.2">
      <c r="B74" s="1341" t="s">
        <v>1221</v>
      </c>
      <c r="C74" s="1344">
        <f ca="1">CO2_eCost*pump_power*cap_factor*24*365*n_CO2_pumps</f>
        <v>0</v>
      </c>
      <c r="D74" s="1348" t="str">
        <f>startup_year&amp;"$/year"</f>
        <v>2015$/year</v>
      </c>
      <c r="E74" s="1279" t="s">
        <v>1220</v>
      </c>
      <c r="F74" s="1267"/>
      <c r="G74" s="1267"/>
      <c r="H74" s="1267"/>
      <c r="I74" s="1267"/>
      <c r="J74" s="1267"/>
      <c r="K74" s="565"/>
    </row>
    <row r="75" spans="2:11" ht="12.6" customHeight="1" x14ac:dyDescent="0.2">
      <c r="B75" s="1341" t="s">
        <v>1260</v>
      </c>
      <c r="C75" s="1349">
        <f ca="1">pump_power*cap_factor*24*365*n_CO2_pumps/output_kgyear</f>
        <v>0</v>
      </c>
      <c r="D75" s="1350" t="s">
        <v>1261</v>
      </c>
      <c r="E75" s="1291"/>
      <c r="F75" s="1291"/>
      <c r="G75" s="1291"/>
      <c r="H75" s="1291"/>
      <c r="I75" s="1291"/>
      <c r="J75" s="1291"/>
      <c r="K75" s="565"/>
    </row>
    <row r="76" spans="2:11" ht="12.6" customHeight="1" x14ac:dyDescent="0.2">
      <c r="B76" s="1269"/>
      <c r="C76" s="1267"/>
      <c r="D76" s="1267"/>
      <c r="E76" s="1267"/>
      <c r="F76" s="1267"/>
      <c r="G76" s="1267"/>
      <c r="H76" s="1267"/>
      <c r="I76" s="1267"/>
      <c r="J76" s="1267"/>
      <c r="K76" s="565"/>
    </row>
    <row r="77" spans="2:11" ht="12.6" customHeight="1" x14ac:dyDescent="0.2">
      <c r="B77" s="1271" t="s">
        <v>416</v>
      </c>
      <c r="C77" s="1268"/>
      <c r="D77" s="1268"/>
      <c r="E77" s="1268"/>
      <c r="F77" s="1268"/>
      <c r="G77" s="1268"/>
      <c r="H77" s="1268"/>
      <c r="I77" s="1268"/>
      <c r="J77" s="1268"/>
      <c r="K77" s="565"/>
    </row>
    <row r="78" spans="2:11" ht="12.6" customHeight="1" x14ac:dyDescent="0.2">
      <c r="B78" s="1341" t="s">
        <v>1264</v>
      </c>
      <c r="C78" s="1351">
        <f ca="1">C71*CO2_MaintFactor</f>
        <v>3239.5557454079453</v>
      </c>
      <c r="D78" s="1345" t="str">
        <f>ref_year&amp;"$/year"</f>
        <v>2016$/year</v>
      </c>
      <c r="E78" s="1268"/>
      <c r="F78" s="1268"/>
      <c r="G78" s="1268"/>
      <c r="H78" s="1268"/>
      <c r="I78" s="1268"/>
      <c r="J78" s="1268"/>
      <c r="K78" s="565"/>
    </row>
    <row r="79" spans="2:11" ht="12.6" customHeight="1" x14ac:dyDescent="0.2">
      <c r="B79" s="1269"/>
      <c r="C79" s="1268"/>
      <c r="D79" s="1268"/>
      <c r="E79" s="1268"/>
      <c r="F79" s="1268"/>
      <c r="G79" s="1268"/>
      <c r="H79" s="1268"/>
      <c r="I79" s="1268"/>
      <c r="J79" s="1268"/>
      <c r="K79" s="565"/>
    </row>
    <row r="80" spans="2:11" ht="15" customHeight="1" x14ac:dyDescent="0.2">
      <c r="B80" s="32" t="s">
        <v>1210</v>
      </c>
      <c r="C80" s="1267"/>
      <c r="D80" s="1267"/>
      <c r="E80" s="1267"/>
      <c r="F80" s="1267"/>
      <c r="G80" s="1267"/>
      <c r="H80" s="1267"/>
      <c r="I80" s="1267"/>
      <c r="J80" s="1267"/>
      <c r="K80" s="565"/>
    </row>
    <row r="81" spans="2:13" ht="12.6" customHeight="1" x14ac:dyDescent="0.2">
      <c r="B81" s="1271" t="s">
        <v>83</v>
      </c>
      <c r="C81" s="1267"/>
      <c r="D81" s="1267"/>
      <c r="E81" s="1267"/>
      <c r="F81" s="1267"/>
      <c r="G81" s="1267"/>
      <c r="H81" s="1267"/>
      <c r="I81" s="1267"/>
      <c r="J81" s="1267"/>
      <c r="K81" s="565"/>
    </row>
    <row r="82" spans="2:13" ht="12.6" customHeight="1" x14ac:dyDescent="0.2">
      <c r="B82" s="1341" t="s">
        <v>1211</v>
      </c>
      <c r="C82" s="1344">
        <f ca="1">IF(C35="yes",701600*(CO2_flowrate_GTpY/3.2)^Scaling_Factor_Exponent*(VLOOKUP(ref_year,Tbl_PlantCostIndexes,2)/VLOOKUP(2000,Tbl_PlantCostIndexes,2)),0)</f>
        <v>0</v>
      </c>
      <c r="D82" s="1345" t="str">
        <f>ref_year&amp;"$"</f>
        <v>2016$</v>
      </c>
      <c r="E82" s="1274" t="s">
        <v>1278</v>
      </c>
      <c r="F82" s="1267"/>
      <c r="G82" s="1267"/>
      <c r="H82" s="1267"/>
      <c r="I82" s="1267"/>
      <c r="J82" s="1267"/>
      <c r="K82" s="565"/>
    </row>
    <row r="83" spans="2:13" ht="12.6" customHeight="1" x14ac:dyDescent="0.2">
      <c r="B83" s="1341" t="s">
        <v>1265</v>
      </c>
      <c r="C83" s="1344">
        <f ca="1">IF(C34="yes",94000*(CO2_flowrate_GTpY/3.2)^Scaling_Factor_Exponent*(VLOOKUP(ref_year,Tbl_PlantCostIndexes,2)/VLOOKUP(2000,Tbl_PlantCostIndexes,2)),0)</f>
        <v>0</v>
      </c>
      <c r="D83" s="1345" t="str">
        <f>ref_year&amp;"$"</f>
        <v>2016$</v>
      </c>
      <c r="E83" s="1274" t="s">
        <v>1278</v>
      </c>
      <c r="F83" s="1267"/>
      <c r="G83" s="1267"/>
      <c r="H83" s="1267"/>
      <c r="I83" s="1267"/>
      <c r="J83" s="1267"/>
      <c r="K83" s="565"/>
    </row>
    <row r="84" spans="2:13" ht="12.6" customHeight="1" x14ac:dyDescent="0.2">
      <c r="B84" s="1270"/>
      <c r="C84" s="1267"/>
      <c r="D84" s="1267"/>
      <c r="E84" s="1267"/>
      <c r="F84" s="1267"/>
      <c r="G84" s="1267"/>
      <c r="H84" s="1267"/>
      <c r="I84" s="1267"/>
      <c r="J84" s="1267"/>
      <c r="K84" s="565"/>
    </row>
    <row r="85" spans="2:13" ht="12.6" customHeight="1" x14ac:dyDescent="0.2">
      <c r="B85" s="1271" t="s">
        <v>416</v>
      </c>
      <c r="C85" s="1268"/>
      <c r="D85" s="1268"/>
      <c r="E85" s="1268"/>
      <c r="F85" s="1268"/>
      <c r="G85" s="1268"/>
      <c r="H85" s="1268"/>
      <c r="I85" s="1268"/>
      <c r="J85" s="1268"/>
      <c r="K85" s="565"/>
    </row>
    <row r="86" spans="2:13" ht="12.6" customHeight="1" x14ac:dyDescent="0.2">
      <c r="B86" s="1341" t="s">
        <v>1264</v>
      </c>
      <c r="C86" s="1344">
        <f ca="1">SUM(C82:C83)*CO2_MaintFactor</f>
        <v>0</v>
      </c>
      <c r="D86" s="1345" t="str">
        <f>ref_year&amp;"$/year"</f>
        <v>2016$/year</v>
      </c>
      <c r="E86" s="1291"/>
      <c r="F86" s="1291"/>
      <c r="G86" s="1291"/>
      <c r="H86" s="1291"/>
      <c r="I86" s="1291"/>
      <c r="J86" s="1291"/>
      <c r="K86" s="565"/>
    </row>
    <row r="87" spans="2:13" s="1267" customFormat="1" ht="12.6" customHeight="1" thickBot="1" x14ac:dyDescent="0.25">
      <c r="B87" s="1280"/>
      <c r="C87" s="566"/>
      <c r="D87" s="566"/>
      <c r="E87" s="566"/>
      <c r="F87" s="566"/>
      <c r="G87" s="566"/>
      <c r="H87" s="566"/>
      <c r="I87" s="566"/>
      <c r="J87" s="566"/>
      <c r="K87" s="567"/>
    </row>
    <row r="88" spans="2:13" s="1268" customFormat="1" ht="12.6" customHeight="1" thickTop="1" thickBot="1" x14ac:dyDescent="0.25">
      <c r="B88" s="1272"/>
    </row>
    <row r="89" spans="2:13" s="1268" customFormat="1" ht="21" customHeight="1" thickTop="1" x14ac:dyDescent="0.2">
      <c r="B89" s="554" t="s">
        <v>1230</v>
      </c>
      <c r="C89" s="563"/>
      <c r="D89" s="563"/>
      <c r="E89" s="563"/>
      <c r="F89" s="563"/>
      <c r="G89" s="563"/>
      <c r="H89" s="563"/>
      <c r="I89" s="563"/>
      <c r="J89" s="563"/>
      <c r="K89" s="564"/>
    </row>
    <row r="90" spans="2:13" s="1268" customFormat="1" ht="12.6" customHeight="1" x14ac:dyDescent="0.2">
      <c r="B90" s="32" t="s">
        <v>1235</v>
      </c>
      <c r="C90" s="1291"/>
      <c r="D90" s="1317" t="s">
        <v>1050</v>
      </c>
      <c r="E90" s="1313" t="s">
        <v>1250</v>
      </c>
      <c r="F90" s="1291"/>
      <c r="G90" s="1291"/>
      <c r="H90" s="1291"/>
      <c r="I90" s="1291"/>
      <c r="J90" s="1291"/>
      <c r="K90" s="565"/>
      <c r="L90" s="1291"/>
      <c r="M90" s="1291"/>
    </row>
    <row r="91" spans="2:13" s="1277" customFormat="1" hidden="1" x14ac:dyDescent="0.2">
      <c r="B91" s="1270" t="s">
        <v>1233</v>
      </c>
      <c r="C91" s="568">
        <f>VLOOKUP(2005,DeflatorTable,2)/VLOOKUP(2008,DeflatorTable,2)</f>
        <v>0.92676070528967247</v>
      </c>
      <c r="D91" s="1291"/>
      <c r="E91" s="1291"/>
      <c r="F91" s="1291"/>
      <c r="G91" s="1291"/>
      <c r="H91" s="1291"/>
      <c r="I91" s="1291"/>
      <c r="J91" s="1291"/>
      <c r="K91" s="565"/>
      <c r="L91" s="1291"/>
      <c r="M91" s="1291"/>
    </row>
    <row r="92" spans="2:13" s="1268" customFormat="1" ht="12.6" customHeight="1" x14ac:dyDescent="0.2">
      <c r="B92" s="1271" t="str">
        <f>"Capital Costs by Stage (Annual Cost of "&amp;plant_life&amp;" year project in "&amp;ref_year&amp;"$)"</f>
        <v>Capital Costs by Stage (Annual Cost of 40 year project in 2016$)</v>
      </c>
      <c r="C92" s="1291"/>
      <c r="D92" s="1291"/>
      <c r="E92" s="1274" t="s">
        <v>1286</v>
      </c>
      <c r="F92" s="1291"/>
      <c r="G92" s="1291"/>
      <c r="H92" s="1291"/>
      <c r="I92" s="1291"/>
      <c r="J92" s="1291"/>
      <c r="K92" s="565"/>
      <c r="L92" s="1291"/>
      <c r="M92" s="1291"/>
    </row>
    <row r="93" spans="2:13" s="1268" customFormat="1" ht="12.6" customHeight="1" x14ac:dyDescent="0.2">
      <c r="B93" s="1341" t="s">
        <v>1226</v>
      </c>
      <c r="C93" s="1344">
        <f>94000*VLOOKUP(ref_year,Tbl_labor_indexes,2)/VLOOKUP(2008,Tbl_labor_indexes,2)</f>
        <v>109497.94871794869</v>
      </c>
      <c r="D93" s="1345" t="str">
        <f>ref_year&amp;"$"</f>
        <v>2016$</v>
      </c>
      <c r="F93" s="1291"/>
      <c r="G93" s="1291"/>
      <c r="H93" s="1291"/>
      <c r="I93" s="1291"/>
      <c r="J93" s="1291"/>
      <c r="K93" s="565"/>
      <c r="L93" s="1291"/>
      <c r="M93" s="1291"/>
    </row>
    <row r="94" spans="2:13" s="1268" customFormat="1" ht="12.6" customHeight="1" x14ac:dyDescent="0.2">
      <c r="B94" s="1341" t="s">
        <v>1227</v>
      </c>
      <c r="C94" s="1344">
        <f ca="1">(-16600*CO2_flowrate_GTpY^2+53500*CO2_flowrate_GTpY+20300)*1000*VLOOKUP(ref_year,Tbl_labor_indexes,2)/VLOOKUP(2008,Tbl_labor_indexes,2)</f>
        <v>23646897.435897429</v>
      </c>
      <c r="D94" s="1345" t="str">
        <f>ref_year&amp;"$"</f>
        <v>2016$</v>
      </c>
      <c r="E94" s="1291"/>
      <c r="F94" s="1291"/>
      <c r="G94" s="1291"/>
      <c r="H94" s="1291"/>
      <c r="I94" s="1291"/>
      <c r="J94" s="1291"/>
      <c r="K94" s="565"/>
      <c r="L94" s="1291"/>
      <c r="M94" s="1291"/>
    </row>
    <row r="95" spans="2:13" s="1268" customFormat="1" ht="12.6" customHeight="1" x14ac:dyDescent="0.2">
      <c r="B95" s="1341" t="s">
        <v>169</v>
      </c>
      <c r="C95" s="1344">
        <f ca="1" xml:space="preserve"> (-400*CO2_flowrate_GTpY^2 + 2200*CO2_flowrate_GTpY + 13800)*1000*VLOOKUP(ref_year,Tbl_labor_indexes,2)/VLOOKUP(2008,Tbl_labor_indexes,2)</f>
        <v>16075230.769230762</v>
      </c>
      <c r="D95" s="1345" t="str">
        <f>ref_year&amp;"$"</f>
        <v>2016$</v>
      </c>
      <c r="E95" s="1291"/>
      <c r="F95" s="1291"/>
      <c r="G95" s="1291"/>
      <c r="H95" s="1291"/>
      <c r="I95" s="1291"/>
      <c r="J95" s="1291"/>
      <c r="K95" s="565"/>
      <c r="L95" s="1291"/>
      <c r="M95" s="1291"/>
    </row>
    <row r="96" spans="2:13" s="1291" customFormat="1" ht="12.6" customHeight="1" x14ac:dyDescent="0.2">
      <c r="B96" s="1270"/>
      <c r="C96" s="1289"/>
      <c r="K96" s="565"/>
    </row>
    <row r="97" spans="2:13" s="1291" customFormat="1" ht="12.6" customHeight="1" x14ac:dyDescent="0.2">
      <c r="B97" s="1271" t="s">
        <v>1258</v>
      </c>
      <c r="C97" s="1289"/>
      <c r="E97" s="1274"/>
      <c r="K97" s="565"/>
    </row>
    <row r="98" spans="2:13" s="1268" customFormat="1" ht="12.6" customHeight="1" x14ac:dyDescent="0.2">
      <c r="B98" s="1341" t="s">
        <v>1284</v>
      </c>
      <c r="C98" s="1344">
        <f ca="1">(-36000*CO2_flowrate_GTpY^2+224000*CO2_flowrate_GTpY+47000)*1000*(VLOOKUP(ref_year,Tbl_labor_indexes,2)/VLOOKUP(2008,Tbl_labor_indexes,2))/plant_life</f>
        <v>1368724.3589743585</v>
      </c>
      <c r="D98" s="1345" t="str">
        <f>ref_year&amp;"$/year"</f>
        <v>2016$/year</v>
      </c>
      <c r="E98" s="1291"/>
      <c r="F98" s="1291"/>
      <c r="G98" s="1291"/>
      <c r="H98" s="1291"/>
      <c r="I98" s="1291"/>
      <c r="J98" s="1291"/>
      <c r="K98" s="565"/>
      <c r="L98" s="1291"/>
      <c r="M98" s="1291"/>
    </row>
    <row r="99" spans="2:13" s="1268" customFormat="1" ht="12.6" customHeight="1" x14ac:dyDescent="0.2">
      <c r="B99" s="1341" t="s">
        <v>1229</v>
      </c>
      <c r="C99" s="1344">
        <f ca="1">(-18000*CO2_flowrate_GTpY^2 + 183000*CO2_flowrate_GTpY+ 40000)*1000*(VLOOKUP(ref_year,Tbl_labor_indexes,2)/VLOOKUP(2008,Tbl_labor_indexes,2))/plant_life</f>
        <v>1164871.7948717945</v>
      </c>
      <c r="D99" s="1345" t="str">
        <f>ref_year&amp;"$/year"</f>
        <v>2016$/year</v>
      </c>
      <c r="E99" s="1291"/>
      <c r="F99" s="1291"/>
      <c r="G99" s="1291"/>
      <c r="H99" s="1291"/>
      <c r="I99" s="1291"/>
      <c r="J99" s="1291"/>
      <c r="K99" s="565"/>
      <c r="L99" s="1291"/>
      <c r="M99" s="1291"/>
    </row>
    <row r="100" spans="2:13" s="1291" customFormat="1" ht="12.6" customHeight="1" x14ac:dyDescent="0.2">
      <c r="B100" s="1341" t="s">
        <v>1285</v>
      </c>
      <c r="C100" s="1363">
        <f>+IF(CO2_Capture_Efficiency,SUM(C98:C99),0)</f>
        <v>0</v>
      </c>
      <c r="D100" s="1345" t="str">
        <f>ref_year&amp;"$/year"</f>
        <v>2016$/year</v>
      </c>
      <c r="K100" s="565"/>
    </row>
    <row r="101" spans="2:13" s="1268" customFormat="1" ht="12.6" customHeight="1" x14ac:dyDescent="0.2">
      <c r="B101" s="1271"/>
      <c r="C101" s="1289"/>
      <c r="D101" s="1291"/>
      <c r="E101" s="1291"/>
      <c r="F101" s="1291"/>
      <c r="G101" s="1291"/>
      <c r="H101" s="1291"/>
      <c r="I101" s="1291"/>
      <c r="J101" s="1291"/>
      <c r="K101" s="565"/>
      <c r="L101" s="1291"/>
      <c r="M101" s="1291"/>
    </row>
    <row r="102" spans="2:13" s="1268" customFormat="1" ht="12.6" customHeight="1" x14ac:dyDescent="0.2">
      <c r="B102" s="1271" t="s">
        <v>1231</v>
      </c>
      <c r="C102" s="1289"/>
      <c r="D102" s="1291"/>
      <c r="E102" s="1274"/>
      <c r="F102" s="1291"/>
      <c r="G102" s="1291"/>
      <c r="H102" s="1291"/>
      <c r="I102" s="1291"/>
      <c r="J102" s="1291"/>
      <c r="K102" s="565"/>
      <c r="L102" s="1291"/>
      <c r="M102" s="1291"/>
    </row>
    <row r="103" spans="2:13" s="1267" customFormat="1" ht="12.6" customHeight="1" x14ac:dyDescent="0.2">
      <c r="B103" s="1341" t="s">
        <v>1226</v>
      </c>
      <c r="C103" s="1344">
        <f>0*(VLOOKUP(ref_year,Tbl_labor_indexes,2)/VLOOKUP(2008,Tbl_labor_indexes,2))</f>
        <v>0</v>
      </c>
      <c r="D103" s="1345" t="str">
        <f>ref_year&amp;"$/year"</f>
        <v>2016$/year</v>
      </c>
      <c r="E103" s="1291"/>
      <c r="F103" s="1291"/>
      <c r="G103" s="1291"/>
      <c r="H103" s="1291"/>
      <c r="I103" s="1291"/>
      <c r="J103" s="1291"/>
      <c r="K103" s="565"/>
      <c r="L103" s="1291"/>
      <c r="M103" s="1291"/>
    </row>
    <row r="104" spans="2:13" s="1268" customFormat="1" ht="12.6" customHeight="1" x14ac:dyDescent="0.2">
      <c r="B104" s="1341" t="s">
        <v>1227</v>
      </c>
      <c r="C104" s="1344">
        <f>395000*(VLOOKUP(ref_year,Tbl_labor_indexes,2)/VLOOKUP(2008,Tbl_labor_indexes,2))/plant_life</f>
        <v>11503.108974358973</v>
      </c>
      <c r="D104" s="1345" t="str">
        <f>ref_year&amp;"$/year"</f>
        <v>2016$/year</v>
      </c>
      <c r="E104" s="1291"/>
      <c r="F104" s="1291"/>
      <c r="G104" s="1291"/>
      <c r="H104" s="1291"/>
      <c r="I104" s="1291"/>
      <c r="J104" s="1291"/>
      <c r="K104" s="565"/>
      <c r="L104" s="1291"/>
      <c r="M104" s="1291"/>
    </row>
    <row r="105" spans="2:13" s="1268" customFormat="1" ht="12.6" customHeight="1" x14ac:dyDescent="0.2">
      <c r="B105" s="1341" t="s">
        <v>169</v>
      </c>
      <c r="C105" s="1344">
        <f>100000*(VLOOKUP(ref_year,Tbl_labor_indexes,2)/VLOOKUP(2008,Tbl_labor_indexes,2))/plant_life</f>
        <v>2912.1794871794864</v>
      </c>
      <c r="D105" s="1345" t="str">
        <f>ref_year&amp;"$/year"</f>
        <v>2016$/year</v>
      </c>
      <c r="E105" s="1291"/>
      <c r="F105" s="1291"/>
      <c r="G105" s="1291"/>
      <c r="H105" s="1291"/>
      <c r="I105" s="1291"/>
      <c r="J105" s="1291"/>
      <c r="K105" s="565"/>
      <c r="L105" s="1291"/>
      <c r="M105" s="1291"/>
    </row>
    <row r="106" spans="2:13" s="1268" customFormat="1" ht="12.6" customHeight="1" x14ac:dyDescent="0.2">
      <c r="B106" s="1341" t="s">
        <v>1228</v>
      </c>
      <c r="C106" s="1344">
        <f ca="1" xml:space="preserve"> (-30000*CO2_flowrate_GTpY^2 + 143000*CO2_flowrate_GTpY + 41000)*1000*(VLOOKUP(ref_year,Tbl_labor_indexes,2)/VLOOKUP(2008,Tbl_labor_indexes,2))/plant_life</f>
        <v>1193993.5897435895</v>
      </c>
      <c r="D106" s="1345" t="str">
        <f>ref_year&amp;"$/year"</f>
        <v>2016$/year</v>
      </c>
      <c r="E106" s="1291"/>
      <c r="F106" s="1291"/>
      <c r="G106" s="1291"/>
      <c r="H106" s="1291"/>
      <c r="I106" s="1291"/>
      <c r="J106" s="1291"/>
      <c r="K106" s="565"/>
      <c r="L106" s="1291"/>
      <c r="M106" s="1291"/>
    </row>
    <row r="107" spans="2:13" s="1268" customFormat="1" ht="12.6" customHeight="1" x14ac:dyDescent="0.2">
      <c r="B107" s="1341" t="s">
        <v>1229</v>
      </c>
      <c r="C107" s="1344">
        <f ca="1">(111200*CO2_flowrate_GTpY+27733.33)*1000*(VLOOKUP(ref_year,Tbl_labor_indexes,2)/VLOOKUP(2008,Tbl_labor_indexes,2))/plant_life</f>
        <v>807644.34737179463</v>
      </c>
      <c r="D107" s="1345" t="str">
        <f>ref_year&amp;"$/year"</f>
        <v>2016$/year</v>
      </c>
      <c r="E107" s="1291"/>
      <c r="F107" s="1291"/>
      <c r="G107" s="1291"/>
      <c r="H107" s="1291"/>
      <c r="I107" s="1291"/>
      <c r="J107" s="1291"/>
      <c r="K107" s="565"/>
      <c r="L107" s="1291"/>
      <c r="M107" s="1291"/>
    </row>
    <row r="108" spans="2:13" s="1268" customFormat="1" ht="12.6" customHeight="1" thickBot="1" x14ac:dyDescent="0.25">
      <c r="B108" s="1280"/>
      <c r="C108" s="566"/>
      <c r="D108" s="566"/>
      <c r="E108" s="566"/>
      <c r="F108" s="566"/>
      <c r="G108" s="566"/>
      <c r="H108" s="566"/>
      <c r="I108" s="566"/>
      <c r="J108" s="566"/>
      <c r="K108" s="567"/>
      <c r="L108" s="1291"/>
      <c r="M108" s="1291"/>
    </row>
    <row r="109" spans="2:13" s="1268" customFormat="1" ht="12.6" customHeight="1" thickTop="1" x14ac:dyDescent="0.2">
      <c r="B109" s="1272"/>
      <c r="C109" s="1290"/>
      <c r="D109" s="1273"/>
      <c r="L109" s="1291"/>
      <c r="M109" s="1291"/>
    </row>
    <row r="110" spans="2:13" x14ac:dyDescent="0.2">
      <c r="L110" s="1291"/>
      <c r="M110" s="1291"/>
    </row>
    <row r="111" spans="2:13" x14ac:dyDescent="0.2">
      <c r="L111" s="1291"/>
      <c r="M111" s="1291"/>
    </row>
  </sheetData>
  <mergeCells count="48">
    <mergeCell ref="E47:F47"/>
    <mergeCell ref="H48:J48"/>
    <mergeCell ref="H45:J45"/>
    <mergeCell ref="E48:F48"/>
    <mergeCell ref="H41:I41"/>
    <mergeCell ref="H43:I43"/>
    <mergeCell ref="H47:J47"/>
    <mergeCell ref="E41:F41"/>
    <mergeCell ref="E46:F46"/>
    <mergeCell ref="E44:F4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33:F33"/>
    <mergeCell ref="H46:J46"/>
    <mergeCell ref="H38:I38"/>
    <mergeCell ref="H40:I40"/>
    <mergeCell ref="H35:I35"/>
    <mergeCell ref="H39:I39"/>
    <mergeCell ref="H34:I34"/>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s>
  <phoneticPr fontId="2" type="noConversion"/>
  <dataValidations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596" r:id="rId4" name="Check Box 301">
              <controlPr defaultSize="0" autoFill="0" autoLine="0" autoPict="0" macro="[0]!CheckBox301_Click" altText="H2A default">
                <anchor moveWithCells="1">
                  <from>
                    <xdr:col>3</xdr:col>
                    <xdr:colOff>180975</xdr:colOff>
                    <xdr:row>28</xdr:row>
                    <xdr:rowOff>180975</xdr:rowOff>
                  </from>
                  <to>
                    <xdr:col>3</xdr:col>
                    <xdr:colOff>1095375</xdr:colOff>
                    <xdr:row>30</xdr:row>
                    <xdr:rowOff>9525</xdr:rowOff>
                  </to>
                </anchor>
              </controlPr>
            </control>
          </mc:Choice>
        </mc:AlternateContent>
        <mc:AlternateContent xmlns:mc="http://schemas.openxmlformats.org/markup-compatibility/2006">
          <mc:Choice Requires="x14">
            <control shapeId="17597" r:id="rId5" name="Check Box 302">
              <controlPr defaultSize="0" autoFill="0" autoLine="0" autoPict="0" macro="[0]!CheckBox302_Click" altText="H2A default">
                <anchor moveWithCells="1">
                  <from>
                    <xdr:col>3</xdr:col>
                    <xdr:colOff>180975</xdr:colOff>
                    <xdr:row>30</xdr:row>
                    <xdr:rowOff>47625</xdr:rowOff>
                  </from>
                  <to>
                    <xdr:col>3</xdr:col>
                    <xdr:colOff>1095375</xdr:colOff>
                    <xdr:row>30</xdr:row>
                    <xdr:rowOff>257175</xdr:rowOff>
                  </to>
                </anchor>
              </controlPr>
            </control>
          </mc:Choice>
        </mc:AlternateContent>
        <mc:AlternateContent xmlns:mc="http://schemas.openxmlformats.org/markup-compatibility/2006">
          <mc:Choice Requires="x14">
            <control shapeId="17598" r:id="rId6" name="Check Box 303">
              <controlPr defaultSize="0" autoFill="0" autoLine="0" autoPict="0" macro="[0]!CheckBox303_Click" altText="H2A default">
                <anchor moveWithCells="1">
                  <from>
                    <xdr:col>3</xdr:col>
                    <xdr:colOff>180975</xdr:colOff>
                    <xdr:row>31</xdr:row>
                    <xdr:rowOff>47625</xdr:rowOff>
                  </from>
                  <to>
                    <xdr:col>3</xdr:col>
                    <xdr:colOff>1095375</xdr:colOff>
                    <xdr:row>31</xdr:row>
                    <xdr:rowOff>257175</xdr:rowOff>
                  </to>
                </anchor>
              </controlPr>
            </control>
          </mc:Choice>
        </mc:AlternateContent>
        <mc:AlternateContent xmlns:mc="http://schemas.openxmlformats.org/markup-compatibility/2006">
          <mc:Choice Requires="x14">
            <control shapeId="17599" r:id="rId7" name="Check Box 304">
              <controlPr defaultSize="0" autoFill="0" autoLine="0" autoPict="0" macro="[0]!CheckBox304_Click" altText="H2A default">
                <anchor moveWithCells="1">
                  <from>
                    <xdr:col>3</xdr:col>
                    <xdr:colOff>180975</xdr:colOff>
                    <xdr:row>31</xdr:row>
                    <xdr:rowOff>342900</xdr:rowOff>
                  </from>
                  <to>
                    <xdr:col>3</xdr:col>
                    <xdr:colOff>1095375</xdr:colOff>
                    <xdr:row>33</xdr:row>
                    <xdr:rowOff>9525</xdr:rowOff>
                  </to>
                </anchor>
              </controlPr>
            </control>
          </mc:Choice>
        </mc:AlternateContent>
        <mc:AlternateContent xmlns:mc="http://schemas.openxmlformats.org/markup-compatibility/2006">
          <mc:Choice Requires="x14">
            <control shapeId="17600" r:id="rId8" name="Check Box 305">
              <controlPr defaultSize="0" autoFill="0" autoLine="0" autoPict="0" macro="[0]!CheckBox305_Click" altText="H2A default">
                <anchor moveWithCells="1">
                  <from>
                    <xdr:col>3</xdr:col>
                    <xdr:colOff>180975</xdr:colOff>
                    <xdr:row>32</xdr:row>
                    <xdr:rowOff>171450</xdr:rowOff>
                  </from>
                  <to>
                    <xdr:col>3</xdr:col>
                    <xdr:colOff>1095375</xdr:colOff>
                    <xdr:row>34</xdr:row>
                    <xdr:rowOff>9525</xdr:rowOff>
                  </to>
                </anchor>
              </controlPr>
            </control>
          </mc:Choice>
        </mc:AlternateContent>
        <mc:AlternateContent xmlns:mc="http://schemas.openxmlformats.org/markup-compatibility/2006">
          <mc:Choice Requires="x14">
            <control shapeId="17601" r:id="rId9" name="Check Box 306">
              <controlPr defaultSize="0" autoFill="0" autoLine="0" autoPict="0" macro="[0]!CheckBox306_Click" altText="H2A default">
                <anchor moveWithCells="1">
                  <from>
                    <xdr:col>3</xdr:col>
                    <xdr:colOff>180975</xdr:colOff>
                    <xdr:row>33</xdr:row>
                    <xdr:rowOff>180975</xdr:rowOff>
                  </from>
                  <to>
                    <xdr:col>3</xdr:col>
                    <xdr:colOff>1095375</xdr:colOff>
                    <xdr:row>35</xdr:row>
                    <xdr:rowOff>9525</xdr:rowOff>
                  </to>
                </anchor>
              </controlPr>
            </control>
          </mc:Choice>
        </mc:AlternateContent>
        <mc:AlternateContent xmlns:mc="http://schemas.openxmlformats.org/markup-compatibility/2006">
          <mc:Choice Requires="x14">
            <control shapeId="17602" r:id="rId10" name="Check Box 307">
              <controlPr defaultSize="0" autoFill="0" autoLine="0" autoPict="0" macro="[0]!CheckBox307_Click" altText="H2A default">
                <anchor moveWithCells="1">
                  <from>
                    <xdr:col>3</xdr:col>
                    <xdr:colOff>180975</xdr:colOff>
                    <xdr:row>34</xdr:row>
                    <xdr:rowOff>171450</xdr:rowOff>
                  </from>
                  <to>
                    <xdr:col>3</xdr:col>
                    <xdr:colOff>1095375</xdr:colOff>
                    <xdr:row>36</xdr:row>
                    <xdr:rowOff>9525</xdr:rowOff>
                  </to>
                </anchor>
              </controlPr>
            </control>
          </mc:Choice>
        </mc:AlternateContent>
        <mc:AlternateContent xmlns:mc="http://schemas.openxmlformats.org/markup-compatibility/2006">
          <mc:Choice Requires="x14">
            <control shapeId="17603" r:id="rId11" name="Check Box 308">
              <controlPr defaultSize="0" autoFill="0" autoLine="0" autoPict="0" macro="[0]!CheckBox308_Click" altText="H2A default">
                <anchor moveWithCells="1">
                  <from>
                    <xdr:col>3</xdr:col>
                    <xdr:colOff>180975</xdr:colOff>
                    <xdr:row>35</xdr:row>
                    <xdr:rowOff>152400</xdr:rowOff>
                  </from>
                  <to>
                    <xdr:col>3</xdr:col>
                    <xdr:colOff>1095375</xdr:colOff>
                    <xdr:row>37</xdr:row>
                    <xdr:rowOff>9525</xdr:rowOff>
                  </to>
                </anchor>
              </controlPr>
            </control>
          </mc:Choice>
        </mc:AlternateContent>
        <mc:AlternateContent xmlns:mc="http://schemas.openxmlformats.org/markup-compatibility/2006">
          <mc:Choice Requires="x14">
            <control shapeId="17604" r:id="rId12" name="Check Box 309">
              <controlPr defaultSize="0" autoFill="0" autoLine="0" autoPict="0" macro="[0]!CheckBox309_Click" altText="H2A default">
                <anchor moveWithCells="1">
                  <from>
                    <xdr:col>3</xdr:col>
                    <xdr:colOff>180975</xdr:colOff>
                    <xdr:row>38</xdr:row>
                    <xdr:rowOff>171450</xdr:rowOff>
                  </from>
                  <to>
                    <xdr:col>3</xdr:col>
                    <xdr:colOff>1095375</xdr:colOff>
                    <xdr:row>40</xdr:row>
                    <xdr:rowOff>9525</xdr:rowOff>
                  </to>
                </anchor>
              </controlPr>
            </control>
          </mc:Choice>
        </mc:AlternateContent>
        <mc:AlternateContent xmlns:mc="http://schemas.openxmlformats.org/markup-compatibility/2006">
          <mc:Choice Requires="x14">
            <control shapeId="17605" r:id="rId13" name="Check Box 310">
              <controlPr defaultSize="0" autoFill="0" autoLine="0" autoPict="0" macro="[0]!CheckBox310_Click" altText="H2A default">
                <anchor moveWithCells="1">
                  <from>
                    <xdr:col>3</xdr:col>
                    <xdr:colOff>180975</xdr:colOff>
                    <xdr:row>41</xdr:row>
                    <xdr:rowOff>171450</xdr:rowOff>
                  </from>
                  <to>
                    <xdr:col>3</xdr:col>
                    <xdr:colOff>1095375</xdr:colOff>
                    <xdr:row>43</xdr:row>
                    <xdr:rowOff>9525</xdr:rowOff>
                  </to>
                </anchor>
              </controlPr>
            </control>
          </mc:Choice>
        </mc:AlternateContent>
        <mc:AlternateContent xmlns:mc="http://schemas.openxmlformats.org/markup-compatibility/2006">
          <mc:Choice Requires="x14">
            <control shapeId="17606" r:id="rId14" name="Check Box 311">
              <controlPr defaultSize="0" autoFill="0" autoLine="0" autoPict="0" macro="[0]!CheckBox311_Click" altText="H2A default">
                <anchor moveWithCells="1">
                  <from>
                    <xdr:col>3</xdr:col>
                    <xdr:colOff>180975</xdr:colOff>
                    <xdr:row>42</xdr:row>
                    <xdr:rowOff>161925</xdr:rowOff>
                  </from>
                  <to>
                    <xdr:col>3</xdr:col>
                    <xdr:colOff>1095375</xdr:colOff>
                    <xdr:row>44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workbookViewId="0"/>
  </sheetViews>
  <sheetFormatPr defaultRowHeight="12.75" x14ac:dyDescent="0.2"/>
  <cols>
    <col min="2" max="2" width="28.7109375" customWidth="1"/>
    <col min="3" max="3" width="25.28515625" customWidth="1"/>
    <col min="4" max="4" width="22.7109375" customWidth="1"/>
    <col min="5" max="5" width="22.140625" customWidth="1"/>
    <col min="6" max="6" width="20.28515625" customWidth="1"/>
    <col min="7" max="7" width="18.5703125" customWidth="1"/>
    <col min="8" max="8" width="15.7109375" customWidth="1"/>
    <col min="9" max="9" width="16.28515625" customWidth="1"/>
  </cols>
  <sheetData>
    <row r="1" spans="2:9" ht="13.5" thickBot="1" x14ac:dyDescent="0.25"/>
    <row r="2" spans="2:9" ht="15.75" thickTop="1" x14ac:dyDescent="0.2">
      <c r="B2" s="731" t="s">
        <v>1068</v>
      </c>
      <c r="C2" s="732"/>
    </row>
    <row r="3" spans="2:9" x14ac:dyDescent="0.2">
      <c r="B3" s="733" t="s">
        <v>79</v>
      </c>
      <c r="C3" s="691"/>
    </row>
    <row r="4" spans="2:9" x14ac:dyDescent="0.2">
      <c r="B4" s="733" t="s">
        <v>920</v>
      </c>
      <c r="C4" s="691"/>
    </row>
    <row r="5" spans="2:9" x14ac:dyDescent="0.2">
      <c r="B5" s="733" t="s">
        <v>394</v>
      </c>
      <c r="C5" s="691"/>
    </row>
    <row r="6" spans="2:9" x14ac:dyDescent="0.2">
      <c r="B6" s="733" t="s">
        <v>1069</v>
      </c>
      <c r="C6" s="691"/>
    </row>
    <row r="7" spans="2:9" x14ac:dyDescent="0.2">
      <c r="B7" s="733" t="s">
        <v>402</v>
      </c>
      <c r="C7" s="691"/>
    </row>
    <row r="8" spans="2:9" x14ac:dyDescent="0.2">
      <c r="B8" s="733" t="s">
        <v>535</v>
      </c>
      <c r="C8" s="691"/>
    </row>
    <row r="9" spans="2:9" x14ac:dyDescent="0.2">
      <c r="B9" s="733" t="s">
        <v>1070</v>
      </c>
      <c r="C9" s="691"/>
    </row>
    <row r="10" spans="2:9" ht="13.5" thickBot="1" x14ac:dyDescent="0.25">
      <c r="B10" s="734" t="s">
        <v>1071</v>
      </c>
      <c r="C10" s="735"/>
    </row>
    <row r="11" spans="2:9" ht="13.5" thickTop="1" x14ac:dyDescent="0.2"/>
    <row r="12" spans="2:9" ht="26.25" x14ac:dyDescent="0.4">
      <c r="B12" s="431" t="s">
        <v>391</v>
      </c>
      <c r="C12" s="135"/>
      <c r="D12" s="135"/>
      <c r="E12" s="53"/>
      <c r="F12" s="53"/>
      <c r="G12" s="40"/>
      <c r="H12" s="41"/>
      <c r="I12" s="134"/>
    </row>
    <row r="13" spans="2:9" x14ac:dyDescent="0.2">
      <c r="D13" s="135"/>
      <c r="E13" s="136"/>
      <c r="F13" s="53"/>
      <c r="G13" s="40"/>
      <c r="H13" s="41"/>
      <c r="I13" s="134"/>
    </row>
    <row r="14" spans="2:9" ht="23.25" thickBot="1" x14ac:dyDescent="0.5">
      <c r="B14" s="316" t="s">
        <v>392</v>
      </c>
      <c r="D14" s="135"/>
      <c r="E14" s="53"/>
      <c r="F14" s="53"/>
      <c r="G14" s="40"/>
      <c r="H14" s="41"/>
      <c r="I14" s="134"/>
    </row>
    <row r="15" spans="2:9" ht="15.75" thickBot="1" x14ac:dyDescent="0.25">
      <c r="B15" s="1022" t="s">
        <v>1096</v>
      </c>
      <c r="C15" s="1023">
        <f ca="1">total_cap/(ProcEqpCap+IF(CO2_Capture_Efficiency&gt;0,CCSEqpCap,0))</f>
        <v>3.2798539840290504</v>
      </c>
      <c r="D15" s="135"/>
      <c r="E15" s="53"/>
      <c r="F15" s="53"/>
      <c r="G15" s="40"/>
      <c r="H15" s="41"/>
      <c r="I15" s="134"/>
    </row>
    <row r="16" spans="2:9" ht="13.5" thickBot="1" x14ac:dyDescent="0.25">
      <c r="B16" s="53"/>
      <c r="C16" s="53"/>
      <c r="D16" s="53"/>
      <c r="E16" s="53"/>
      <c r="F16" s="53"/>
      <c r="G16" s="40"/>
      <c r="H16" s="41"/>
      <c r="I16" s="134"/>
    </row>
    <row r="17" spans="2:9" ht="16.5" thickTop="1" thickBot="1" x14ac:dyDescent="0.25">
      <c r="B17" s="49" t="s">
        <v>79</v>
      </c>
      <c r="C17" s="149"/>
      <c r="D17" s="150"/>
      <c r="E17" s="53"/>
      <c r="F17" s="1591" t="str">
        <f>IF(CO2_inUse = "Carbon Sequestration","Approximate Carbon Sequestration Costs*","Carbon Sequestration is not included in this case")</f>
        <v>Approximate Carbon Sequestration Costs*</v>
      </c>
      <c r="G17" s="1592"/>
      <c r="H17" s="1593"/>
      <c r="I17" s="134"/>
    </row>
    <row r="18" spans="2:9" ht="60.75" thickTop="1" x14ac:dyDescent="0.2">
      <c r="B18" s="152" t="s">
        <v>80</v>
      </c>
      <c r="C18" s="56" t="s">
        <v>81</v>
      </c>
      <c r="D18" s="430" t="s">
        <v>82</v>
      </c>
      <c r="E18" s="53"/>
      <c r="F18" s="1258" t="s">
        <v>80</v>
      </c>
      <c r="G18" s="1259" t="s">
        <v>2</v>
      </c>
      <c r="H18" s="1260" t="s">
        <v>3</v>
      </c>
      <c r="I18" s="134"/>
    </row>
    <row r="19" spans="2:9" ht="14.25" x14ac:dyDescent="0.2">
      <c r="B19" s="629" t="s">
        <v>83</v>
      </c>
      <c r="C19" s="819">
        <f ca="1">'Cash Flow Analysis'!D119</f>
        <v>0.32175467376492617</v>
      </c>
      <c r="D19" s="153">
        <f ca="1">'Cash Flow Analysis'!C119</f>
        <v>0.13344513711256975</v>
      </c>
      <c r="E19" s="53"/>
      <c r="F19" s="1261" t="s">
        <v>83</v>
      </c>
      <c r="G19" s="1262">
        <f ca="1">IF(CO2_inUse = "Carbon Sequestration",ROUND((Det_CO2_seq+CO2_aprx_indCap)*CO2_cap_charge_rate/output_kgyear,2),"")</f>
        <v>0</v>
      </c>
      <c r="H19" s="1263" t="e">
        <f ca="1">IF(CO2_inUse = "Carbon Sequestration",CO2_capptonneCO2,"")</f>
        <v>#DIV/0!</v>
      </c>
      <c r="I19" s="134"/>
    </row>
    <row r="20" spans="2:9" ht="14.25" x14ac:dyDescent="0.2">
      <c r="B20" s="629" t="s">
        <v>84</v>
      </c>
      <c r="C20" s="234">
        <f ca="1">'Cash Flow Analysis'!D120</f>
        <v>1.6201557621688331E-3</v>
      </c>
      <c r="D20" s="154">
        <f ca="1">'Cash Flow Analysis'!C120</f>
        <v>6.7194644073545582E-4</v>
      </c>
      <c r="E20" s="53"/>
      <c r="F20" s="1261" t="s">
        <v>4</v>
      </c>
      <c r="G20" s="1262">
        <f ca="1">IF(CO2_inUse = "Carbon Sequestration",ROUND(Det_CO2_OandMcost/output_kgyear,2),"")</f>
        <v>0</v>
      </c>
      <c r="H20" s="1263" t="e">
        <f ca="1">IF(CO2_inUse = "Carbon Sequestration",CO2_OandMptonneCO2,"")</f>
        <v>#DIV/0!</v>
      </c>
      <c r="I20" s="134"/>
    </row>
    <row r="21" spans="2:9" ht="14.25" x14ac:dyDescent="0.2">
      <c r="B21" s="629" t="s">
        <v>85</v>
      </c>
      <c r="C21" s="234">
        <f ca="1">'Cash Flow Analysis'!D121</f>
        <v>0.25862031433665067</v>
      </c>
      <c r="D21" s="154">
        <f ca="1">'Cash Flow Analysis'!C121</f>
        <v>0.10726067442291271</v>
      </c>
      <c r="E21" s="53"/>
      <c r="F21" s="1261" t="s">
        <v>5</v>
      </c>
      <c r="G21" s="1262">
        <f ca="1">IF(CO2_inUse = "Carbon Sequestration",ROUND(CO2_eCostpY/output_kgyear,2),"")</f>
        <v>0</v>
      </c>
      <c r="H21" s="1263" t="e">
        <f ca="1">IF(CO2_inUse = "Carbon Sequestration",CO2_energyptonneCO2,"")</f>
        <v>#DIV/0!</v>
      </c>
      <c r="I21" s="134"/>
    </row>
    <row r="22" spans="2:9" ht="15.75" thickBot="1" x14ac:dyDescent="0.3">
      <c r="B22" s="629" t="s">
        <v>1005</v>
      </c>
      <c r="C22" s="234">
        <f ca="1">'Cash Flow Analysis'!D122</f>
        <v>1.371638599541559</v>
      </c>
      <c r="D22" s="154">
        <f ca="1">'Cash Flow Analysis'!C122</f>
        <v>0.56887596640925364</v>
      </c>
      <c r="E22" s="53"/>
      <c r="F22" s="1264" t="s">
        <v>58</v>
      </c>
      <c r="G22" s="1265">
        <f ca="1">SUM(G19:G21)</f>
        <v>0</v>
      </c>
      <c r="H22" s="1266" t="e">
        <f ca="1">SUM(H19:H21)</f>
        <v>#DIV/0!</v>
      </c>
      <c r="I22" s="134"/>
    </row>
    <row r="23" spans="2:9" ht="27" customHeight="1" thickTop="1" x14ac:dyDescent="0.2">
      <c r="B23" s="629" t="s">
        <v>86</v>
      </c>
      <c r="C23" s="234">
        <f ca="1">'Cash Flow Analysis'!D123</f>
        <v>0.21197338494250792</v>
      </c>
      <c r="D23" s="154">
        <f ca="1">'Cash Flow Analysis'!C123</f>
        <v>8.7914239401336053E-2</v>
      </c>
      <c r="E23" s="53"/>
      <c r="F23" s="1594" t="s">
        <v>6</v>
      </c>
      <c r="G23" s="1594"/>
      <c r="H23" s="1594"/>
      <c r="I23" s="134"/>
    </row>
    <row r="24" spans="2:9" x14ac:dyDescent="0.2">
      <c r="B24" s="629" t="s">
        <v>87</v>
      </c>
      <c r="C24" s="234">
        <f ca="1">'Cash Flow Analysis'!D124</f>
        <v>0</v>
      </c>
      <c r="D24" s="154">
        <f ca="1">'Cash Flow Analysis'!C124</f>
        <v>0</v>
      </c>
      <c r="E24" s="53"/>
      <c r="F24" s="53"/>
      <c r="I24" s="134"/>
    </row>
    <row r="25" spans="2:9" ht="25.5" x14ac:dyDescent="0.2">
      <c r="B25" s="630" t="s">
        <v>88</v>
      </c>
      <c r="C25" s="234">
        <f ca="1">'Cash Flow Analysis'!D125</f>
        <v>0.24553111712834103</v>
      </c>
      <c r="D25" s="154">
        <f ca="1">'Cash Flow Analysis'!C125</f>
        <v>0.10183203621319248</v>
      </c>
      <c r="E25" s="53"/>
      <c r="F25" s="53"/>
      <c r="I25" s="134"/>
    </row>
    <row r="26" spans="2:9" ht="13.5" thickBot="1" x14ac:dyDescent="0.25">
      <c r="B26" s="631" t="s">
        <v>58</v>
      </c>
      <c r="C26" s="820">
        <f ca="1">SUM(C19:C25)</f>
        <v>2.4111382454761534</v>
      </c>
      <c r="D26" s="570"/>
      <c r="E26" s="53"/>
      <c r="F26" s="53"/>
      <c r="I26" s="134"/>
    </row>
    <row r="27" spans="2:9" ht="13.5" thickTop="1" x14ac:dyDescent="0.2">
      <c r="B27" s="53"/>
      <c r="C27" s="53"/>
      <c r="D27" s="143"/>
      <c r="E27" s="53"/>
      <c r="F27" s="53"/>
      <c r="I27" s="134"/>
    </row>
    <row r="28" spans="2:9" ht="22.5" x14ac:dyDescent="0.45">
      <c r="B28" s="316" t="s">
        <v>393</v>
      </c>
      <c r="C28" s="53"/>
      <c r="D28" s="41"/>
      <c r="E28" s="53"/>
      <c r="F28" s="53"/>
      <c r="G28" s="53"/>
      <c r="H28" s="53"/>
      <c r="I28" s="134"/>
    </row>
    <row r="29" spans="2:9" ht="13.5" thickBot="1" x14ac:dyDescent="0.25">
      <c r="I29" s="134"/>
    </row>
    <row r="30" spans="2:9" ht="17.25" thickTop="1" thickBot="1" x14ac:dyDescent="0.3">
      <c r="B30" s="1595" t="s">
        <v>920</v>
      </c>
      <c r="C30" s="1596"/>
      <c r="D30" s="613"/>
      <c r="E30" s="613"/>
      <c r="F30" s="613"/>
      <c r="G30" s="614"/>
      <c r="H30" s="614"/>
      <c r="I30" s="618"/>
    </row>
    <row r="31" spans="2:9" ht="45.75" thickBot="1" x14ac:dyDescent="0.25">
      <c r="B31" s="619" t="s">
        <v>248</v>
      </c>
      <c r="C31" s="620" t="s">
        <v>924</v>
      </c>
      <c r="D31" s="620" t="s">
        <v>919</v>
      </c>
      <c r="E31" s="621" t="s">
        <v>708</v>
      </c>
      <c r="F31" s="621" t="s">
        <v>264</v>
      </c>
      <c r="G31" s="621" t="s">
        <v>918</v>
      </c>
      <c r="H31" s="621" t="s">
        <v>935</v>
      </c>
      <c r="I31" s="622" t="s">
        <v>1194</v>
      </c>
    </row>
    <row r="32" spans="2:9" x14ac:dyDescent="0.2">
      <c r="B32" s="708" t="str">
        <f>IF('Cash Flow Analysis'!$B$131=0,"",'Cash Flow Analysis'!$B$131)</f>
        <v>Woody Biomass</v>
      </c>
      <c r="C32" s="709">
        <f ca="1">IF($B$32="","",$E$32*$F$32*$H$32)</f>
        <v>0.26374392401276892</v>
      </c>
      <c r="D32" s="709">
        <f ca="1">IF($B32="","",$C32*1000*MJ_to_kWh)</f>
        <v>73.262201114658026</v>
      </c>
      <c r="E32" s="710">
        <f ca="1">IF($B$32&lt;&gt;"",VLOOKUP($B$32,MASTER_PROPERTY_TABLE,MATCH("H2A LHV (GJ/ H2A usage input unit)",key_MPTable,0),FALSE),"")</f>
        <v>1.9551069237418006E-2</v>
      </c>
      <c r="F32" s="710">
        <f ca="1">IF('Cash Flow Analysis'!$B$133="","",'Cash Flow Analysis'!$B$133)</f>
        <v>13.49</v>
      </c>
      <c r="G32" s="711" t="str">
        <f ca="1">IF($B$32&lt;&gt;"",VLOOKUP($B$32,MASTER_PROPERTY_TABLE,MATCH("H2A Usage Input Unit/ kg H2",key_MPTable,0),FALSE),"")</f>
        <v>kg</v>
      </c>
      <c r="H32" s="711">
        <f ca="1">IF($B32="","",IF(VLOOKUP($B32,MASTER_PROPERTY_TABLE,MATCH("Unit System",key_MPTable,0),FALSE)="English",mmBTU_to_GJ,1))</f>
        <v>1</v>
      </c>
      <c r="I32" s="1207">
        <f ca="1">+'Cash Flow Analysis'!$B$233</f>
        <v>0.10758464732304565</v>
      </c>
    </row>
    <row r="33" spans="2:9" x14ac:dyDescent="0.2">
      <c r="B33" s="662" t="str">
        <f>IF('Cash Flow Analysis'!$C$131=0,"",'Cash Flow Analysis'!$C$131)</f>
        <v/>
      </c>
      <c r="C33" s="712" t="str">
        <f>IF($B$33="","",$E$33*$F$33*$H$33)</f>
        <v/>
      </c>
      <c r="D33" s="712" t="str">
        <f>IF($B33="","",$C33*1000*MJ_to_kWh)</f>
        <v/>
      </c>
      <c r="E33" s="666" t="str">
        <f>IF($B$33&lt;&gt;"",VLOOKUP($B$33,MASTER_PROPERTY_TABLE,MATCH("H2A LHV (GJ/ H2A usage input unit)",key_MPTable,0),FALSE),"")</f>
        <v/>
      </c>
      <c r="F33" s="666" t="str">
        <f>IF('Cash Flow Analysis'!$C$133="","",'Cash Flow Analysis'!$C$133)</f>
        <v/>
      </c>
      <c r="G33" s="713" t="str">
        <f>IF($B$33&lt;&gt;"",VLOOKUP($B$33,MASTER_PROPERTY_TABLE,MATCH("H2A Usage Input Unit/ kg H2",key_MPTable,0),FALSE),"")</f>
        <v/>
      </c>
      <c r="H33" s="713" t="str">
        <f>IF($B$33="","",IF(VLOOKUP($B$33,MASTER_PROPERTY_TABLE,MATCH("Unit System",key_MPTable,0),FALSE)="English",mmBTU_to_GJ,1))</f>
        <v/>
      </c>
      <c r="I33" s="1208" t="str">
        <f>+'Cash Flow Analysis'!$C$233</f>
        <v/>
      </c>
    </row>
    <row r="34" spans="2:9" x14ac:dyDescent="0.2">
      <c r="B34" s="662" t="str">
        <f>IF('Cash Flow Analysis'!$D$131=0,"",'Cash Flow Analysis'!$D$131)</f>
        <v/>
      </c>
      <c r="C34" s="712" t="str">
        <f>IF($B$34="","",$E$34*$F$34*$H$34)</f>
        <v/>
      </c>
      <c r="D34" s="712" t="str">
        <f>IF($B34="","",$C34*1000*MJ_to_kWh)</f>
        <v/>
      </c>
      <c r="E34" s="666" t="str">
        <f>IF($B$34&lt;&gt;"",VLOOKUP($B$34,MASTER_PROPERTY_TABLE,MATCH("H2A LHV (GJ/ H2A usage input unit)",key_MPTable,0),FALSE),"")</f>
        <v/>
      </c>
      <c r="F34" s="666" t="str">
        <f>IF('Cash Flow Analysis'!$D$133="","",'Cash Flow Analysis'!$D$133)</f>
        <v/>
      </c>
      <c r="G34" s="713" t="str">
        <f>IF($B$34&lt;&gt;"",VLOOKUP($B$34,MASTER_PROPERTY_TABLE,MATCH("H2A Usage Input Unit/ kg H2",key_MPTable,0),FALSE),"")</f>
        <v/>
      </c>
      <c r="H34" s="713" t="str">
        <f>IF($B$34="","",IF(VLOOKUP($B$34,MASTER_PROPERTY_TABLE,MATCH("Unit System",key_MPTable,0),FALSE)="English",mmBTU_to_GJ,1))</f>
        <v/>
      </c>
      <c r="I34" s="1208" t="str">
        <f>+'Cash Flow Analysis'!$D$233</f>
        <v/>
      </c>
    </row>
    <row r="35" spans="2:9" ht="13.5" thickBot="1" x14ac:dyDescent="0.25">
      <c r="B35" s="715" t="str">
        <f>IF('Cash Flow Analysis'!$E$131=0,"",'Cash Flow Analysis'!$E$131)</f>
        <v/>
      </c>
      <c r="C35" s="716" t="str">
        <f>IF($B$35="","",$E$35*$F$35*$H$35)</f>
        <v/>
      </c>
      <c r="D35" s="716" t="str">
        <f>IF($B35="","",$C35*1000*MJ_to_kWh)</f>
        <v/>
      </c>
      <c r="E35" s="717" t="str">
        <f>IF($B$35&lt;&gt;"",VLOOKUP($B$35,MASTER_PROPERTY_TABLE,MATCH("H2A LHV (GJ/ H2A usage input unit)",key_MPTable,0),FALSE),"")</f>
        <v/>
      </c>
      <c r="F35" s="717" t="str">
        <f>IF('Cash Flow Analysis'!$E$133="","",'Cash Flow Analysis'!$E$133)</f>
        <v/>
      </c>
      <c r="G35" s="718" t="str">
        <f>IF($B$35&lt;&gt;"",VLOOKUP($B$35,MASTER_PROPERTY_TABLE,MATCH("H2A Usage Input Unit/ kg H2",key_MPTable,0),FALSE),"")</f>
        <v/>
      </c>
      <c r="H35" s="718" t="str">
        <f>IF($B$35="","",IF(VLOOKUP($B$35,MASTER_PROPERTY_TABLE,MATCH("Unit System",key_MPTable,0),FALSE)="English",mmBTU_to_GJ,1))</f>
        <v/>
      </c>
      <c r="I35" s="1209" t="str">
        <f>+'Cash Flow Analysis'!$E$233</f>
        <v/>
      </c>
    </row>
    <row r="36" spans="2:9" ht="15" x14ac:dyDescent="0.25">
      <c r="B36" s="719" t="s">
        <v>271</v>
      </c>
      <c r="C36" s="720"/>
      <c r="D36" s="720"/>
      <c r="E36" s="626"/>
      <c r="F36" s="626"/>
      <c r="G36" s="627"/>
      <c r="H36" s="627"/>
      <c r="I36" s="1210"/>
    </row>
    <row r="37" spans="2:9" x14ac:dyDescent="0.2">
      <c r="B37" s="662" t="str">
        <f>IF('Cash Flow Analysis'!$F$131=0,"",'Cash Flow Analysis'!$F$131)</f>
        <v>Commercial Natural Gas</v>
      </c>
      <c r="C37" s="712">
        <f ca="1">IF($B$37="","",$E$37*$F$37*$H$37)</f>
        <v>6.2244999999999991E-3</v>
      </c>
      <c r="D37" s="712">
        <f ca="1">IF($B37="","",$C37*1000*MJ_to_kWh)</f>
        <v>1.7290277777777776</v>
      </c>
      <c r="E37" s="666">
        <f ca="1">IF($B37&lt;&gt;"",VLOOKUP($B37,MASTER_PROPERTY_TABLE,MATCH("H2A LHV (GJ/ H2A usage input unit)",key_MPTable,0),FALSE),"")</f>
        <v>1.0549999999999999</v>
      </c>
      <c r="F37" s="666">
        <f ca="1">IF('Cash Flow Analysis'!$F$133="","",'Cash Flow Analysis'!$F$133)</f>
        <v>5.8999999999999999E-3</v>
      </c>
      <c r="G37" s="713" t="str">
        <f ca="1">IF($B$37&lt;&gt;"",VLOOKUP($B$37,MASTER_PROPERTY_TABLE,MATCH("H2A Usage Input Unit/ kg H2",key_MPTable,0),FALSE),"")</f>
        <v>mmBtu</v>
      </c>
      <c r="H37" s="713">
        <f ca="1">IF($B$37="","",IF(VLOOKUP($B$37,MASTER_PROPERTY_TABLE,MATCH("Unit System",key_MPTable,0),FALSE)="English",mmBTU_to_GJ,1))</f>
        <v>1</v>
      </c>
      <c r="I37" s="1208">
        <f ca="1">+'Cash Flow Analysis'!$F$233</f>
        <v>10.68255442333515</v>
      </c>
    </row>
    <row r="38" spans="2:9" x14ac:dyDescent="0.2">
      <c r="B38" s="662" t="str">
        <f>IF('Cash Flow Analysis'!$G$131=0,"",'Cash Flow Analysis'!$G$131)</f>
        <v>Commercial Electricity</v>
      </c>
      <c r="C38" s="712">
        <f ca="1">IF($B$38="","",$E$38*$F$38*$H$38)</f>
        <v>3.5279999999999995E-3</v>
      </c>
      <c r="D38" s="712">
        <f ca="1">IF($B38="","",$C38*1000*MJ_to_kWh)</f>
        <v>0.98</v>
      </c>
      <c r="E38" s="666">
        <f ca="1">IF($B38&lt;&gt;"",VLOOKUP($B38,MASTER_PROPERTY_TABLE,MATCH("H2A LHV (GJ/ H2A usage input unit)",key_MPTable,0),FALSE),"")</f>
        <v>3.5999999999999995E-3</v>
      </c>
      <c r="F38" s="666">
        <f ca="1">IF('Cash Flow Analysis'!$G$133="","",'Cash Flow Analysis'!$G$133)</f>
        <v>0.98</v>
      </c>
      <c r="G38" s="713" t="str">
        <f ca="1">IF($B$38&lt;&gt;"",VLOOKUP($B$38,MASTER_PROPERTY_TABLE,MATCH("H2A Usage Input Unit/ kg H2",key_MPTable,0),FALSE),"")</f>
        <v>kWh</v>
      </c>
      <c r="H38" s="713">
        <f ca="1">IF($B$38="","",IF(VLOOKUP($B$38,MASTER_PROPERTY_TABLE,MATCH("Unit System",key_MPTable,0),FALSE)="English",mmBTU_to_GJ,1))</f>
        <v>1</v>
      </c>
      <c r="I38" s="1208">
        <f ca="1">+'Cash Flow Analysis'!$G$233</f>
        <v>0.12006540955549957</v>
      </c>
    </row>
    <row r="39" spans="2:9" x14ac:dyDescent="0.2">
      <c r="B39" s="662" t="str">
        <f>IF('Cash Flow Analysis'!$H$131=0,"",'Cash Flow Analysis'!$H$131)</f>
        <v/>
      </c>
      <c r="C39" s="712" t="str">
        <f>IF($B$39="","",$E$39*$F$39*$H$39)</f>
        <v/>
      </c>
      <c r="D39" s="712" t="str">
        <f>IF($B39="","",$C39*1000*MJ_to_kWh)</f>
        <v/>
      </c>
      <c r="E39" s="666" t="str">
        <f>IF($B39&lt;&gt;"",VLOOKUP($B39,MASTER_PROPERTY_TABLE,MATCH("H2A LHV (GJ/ H2A usage input unit)",key_MPTable,0),FALSE),"")</f>
        <v/>
      </c>
      <c r="F39" s="666" t="str">
        <f>IF('Cash Flow Analysis'!$H$133="","",'Cash Flow Analysis'!$H$133)</f>
        <v/>
      </c>
      <c r="G39" s="713" t="str">
        <f>IF($B$39&lt;&gt;"",VLOOKUP($B$39,MASTER_PROPERTY_TABLE,MATCH("H2A Usage Input Unit/ kg H2",key_MPTable,0),FALSE),"")</f>
        <v/>
      </c>
      <c r="H39" s="713" t="str">
        <f>IF($B$39="","",IF(VLOOKUP($B$39,MASTER_PROPERTY_TABLE,MATCH("Unit System",key_MPTable,0),FALSE)="English",mmBTU_to_GJ,1))</f>
        <v/>
      </c>
      <c r="I39" s="1208" t="str">
        <f>+'Cash Flow Analysis'!$H$233</f>
        <v/>
      </c>
    </row>
    <row r="40" spans="2:9" ht="13.5" thickBot="1" x14ac:dyDescent="0.25">
      <c r="B40" s="715" t="str">
        <f>IF('Cash Flow Analysis'!$I$131=0,"",'Cash Flow Analysis'!$I$131)</f>
        <v/>
      </c>
      <c r="C40" s="716" t="str">
        <f>IF($B$40="","",$E$40*$F$40*$H$40)</f>
        <v/>
      </c>
      <c r="D40" s="716" t="str">
        <f>IF($B40="","",$C40*1000*MJ_to_kWh)</f>
        <v/>
      </c>
      <c r="E40" s="717" t="str">
        <f>IF($B40&lt;&gt;"",VLOOKUP($B40,MASTER_PROPERTY_TABLE,MATCH("H2A LHV (GJ/ H2A usage input unit)",key_MPTable,0),FALSE),"")</f>
        <v/>
      </c>
      <c r="F40" s="717" t="str">
        <f>IF('Cash Flow Analysis'!$I$133="","",'Cash Flow Analysis'!$I$133)</f>
        <v/>
      </c>
      <c r="G40" s="718" t="str">
        <f>IF($B$40&lt;&gt;"",VLOOKUP($B$40,MASTER_PROPERTY_TABLE,MATCH("H2A Usage Input Unit/ kg H2",key_MPTable,0),FALSE),"")</f>
        <v/>
      </c>
      <c r="H40" s="718" t="str">
        <f>IF($B$40="","",IF(VLOOKUP($B$40,MASTER_PROPERTY_TABLE,MATCH("Unit System",key_MPTable,0),FALSE)="English",mmBTU_to_GJ,1))</f>
        <v/>
      </c>
      <c r="I40" s="1209" t="str">
        <f>+'Cash Flow Analysis'!$I$233</f>
        <v/>
      </c>
    </row>
    <row r="41" spans="2:9" ht="15" x14ac:dyDescent="0.25">
      <c r="B41" s="719" t="s">
        <v>400</v>
      </c>
      <c r="C41" s="720"/>
      <c r="D41" s="720"/>
      <c r="E41" s="626"/>
      <c r="F41" s="626"/>
      <c r="G41" s="627"/>
      <c r="H41" s="627"/>
      <c r="I41" s="628"/>
    </row>
    <row r="42" spans="2:9" ht="13.5" thickBot="1" x14ac:dyDescent="0.25">
      <c r="B42" s="615" t="str">
        <f ca="1">IF('Cash Flow Analysis'!$J$131=0,"",'Cash Flow Analysis'!$J$131)</f>
        <v/>
      </c>
      <c r="C42" s="684" t="str">
        <f ca="1">IF($B$42="","",$E$42*$F$42*$H$42)</f>
        <v/>
      </c>
      <c r="D42" s="684" t="str">
        <f ca="1">IF($B42="","",$C42*1000*MJ_to_kWh)</f>
        <v/>
      </c>
      <c r="E42" s="625" t="str">
        <f ca="1">IF($B42&lt;&gt;"",VLOOKUP($B42,MASTER_PROPERTY_TABLE,MATCH("H2A LHV (GJ/ H2A usage input unit)",key_MPTable,0),FALSE),"")</f>
        <v/>
      </c>
      <c r="F42" s="625">
        <f ca="1">CO2_CashFlow_eUse</f>
        <v>0</v>
      </c>
      <c r="G42" s="623" t="str">
        <f ca="1">IF($B$42&lt;&gt;"",VLOOKUP($B$42,MASTER_PROPERTY_TABLE,MATCH("H2A Usage Input Unit/ kg H2",key_MPTable,0),FALSE),"")</f>
        <v/>
      </c>
      <c r="H42" s="623" t="str">
        <f ca="1">IF($B42="","",IF(VLOOKUP($B42,MASTER_PROPERTY_TABLE,MATCH("Unit System",key_MPTable,0),FALSE)="English",mmBTU_to_GJ,1))</f>
        <v/>
      </c>
      <c r="I42" s="624"/>
    </row>
    <row r="43" spans="2:9" ht="46.5" thickTop="1" thickBot="1" x14ac:dyDescent="0.3">
      <c r="B43" s="703"/>
      <c r="C43" s="704" t="s">
        <v>925</v>
      </c>
      <c r="D43" s="705" t="s">
        <v>1002</v>
      </c>
      <c r="E43" s="706" t="s">
        <v>708</v>
      </c>
      <c r="F43" s="704" t="s">
        <v>917</v>
      </c>
      <c r="G43" s="706" t="s">
        <v>918</v>
      </c>
      <c r="H43" s="706" t="s">
        <v>935</v>
      </c>
      <c r="I43" s="707"/>
    </row>
    <row r="44" spans="2:9" x14ac:dyDescent="0.2">
      <c r="B44" s="616" t="s">
        <v>926</v>
      </c>
      <c r="C44" s="684">
        <f>kgH2_to_GJ</f>
        <v>0.12021163829516093</v>
      </c>
      <c r="D44" s="684">
        <f>IF($B44="","",$C44*1000*MJ_to_kWh)</f>
        <v>33.392121748655818</v>
      </c>
      <c r="E44" s="625">
        <f>kgH2_to_GJ</f>
        <v>0.12021163829516093</v>
      </c>
      <c r="F44" s="625">
        <v>1</v>
      </c>
      <c r="G44" s="623" t="s">
        <v>268</v>
      </c>
      <c r="H44" s="623">
        <v>1</v>
      </c>
      <c r="I44" s="624"/>
    </row>
    <row r="45" spans="2:9" ht="13.5" thickBot="1" x14ac:dyDescent="0.25">
      <c r="B45" s="616"/>
      <c r="C45" s="685"/>
      <c r="D45" s="685"/>
      <c r="E45" s="625"/>
      <c r="F45" s="625"/>
      <c r="G45" s="623"/>
      <c r="H45" s="623"/>
      <c r="I45" s="624"/>
    </row>
    <row r="46" spans="2:9" ht="15" x14ac:dyDescent="0.25">
      <c r="B46" s="719" t="s">
        <v>921</v>
      </c>
      <c r="C46" s="720"/>
      <c r="D46" s="720"/>
      <c r="E46" s="626"/>
      <c r="F46" s="626"/>
      <c r="G46" s="627"/>
      <c r="H46" s="627"/>
      <c r="I46" s="628"/>
    </row>
    <row r="47" spans="2:9" x14ac:dyDescent="0.2">
      <c r="B47" s="662" t="str">
        <f>IF('Cash Flow Analysis'!$K$131=0,"",'Cash Flow Analysis'!$K$131)</f>
        <v/>
      </c>
      <c r="C47" s="712" t="str">
        <f>IF($B$47="","",$E$47*$F$47*$H$47)</f>
        <v/>
      </c>
      <c r="D47" s="712" t="str">
        <f>IF($B47="","",$C47*1000*MJ_to_kWh)</f>
        <v/>
      </c>
      <c r="E47" s="666" t="str">
        <f>IF($B47&lt;&gt;"",VLOOKUP($B47,MASTER_PROPERTY_TABLE,MATCH("H2A LHV (GJ/ H2A usage input unit)",key_MPTable,0),FALSE),"")</f>
        <v/>
      </c>
      <c r="F47" s="666" t="str">
        <f>IF('Cash Flow Analysis'!$K$133="","",'Cash Flow Analysis'!$K$133)</f>
        <v/>
      </c>
      <c r="G47" s="713" t="str">
        <f>IF($B$47&lt;&gt;"",VLOOKUP($B$47,MASTER_PROPERTY_TABLE,MATCH("H2A Usage Input Unit/ kg H2",key_MPTable,0),FALSE),"")</f>
        <v/>
      </c>
      <c r="H47" s="713" t="str">
        <f>IF($B$47="","",IF(VLOOKUP($B$47,MASTER_PROPERTY_TABLE,MATCH("Unit System",key_MPTable,0),FALSE)="English",mmBTU_to_GJ,1))</f>
        <v/>
      </c>
      <c r="I47" s="714" t="str">
        <f>+'Cash Flow Analysis'!$K$233</f>
        <v/>
      </c>
    </row>
    <row r="48" spans="2:9" x14ac:dyDescent="0.2">
      <c r="B48" s="662" t="str">
        <f>IF('Cash Flow Analysis'!$L$131=0,"",'Cash Flow Analysis'!$L$131)</f>
        <v/>
      </c>
      <c r="C48" s="712" t="str">
        <f>IF($B$48="","",$E$48*$F$48*$H$48)</f>
        <v/>
      </c>
      <c r="D48" s="712" t="str">
        <f>IF($B48="","",$C48*1000*MJ_to_kWh)</f>
        <v/>
      </c>
      <c r="E48" s="666" t="str">
        <f>IF($B48&lt;&gt;"",VLOOKUP($B48,MASTER_PROPERTY_TABLE,MATCH("H2A LHV (GJ/ H2A usage input unit)",key_MPTable,0),FALSE),"")</f>
        <v/>
      </c>
      <c r="F48" s="666" t="str">
        <f>IF('Cash Flow Analysis'!$L$133="","",'Cash Flow Analysis'!$L$133)</f>
        <v/>
      </c>
      <c r="G48" s="713" t="str">
        <f>IF($B$48&lt;&gt;"",VLOOKUP($B$48,MASTER_PROPERTY_TABLE,MATCH("H2A Usage Input Unit/ kg H2",key_MPTable,0),FALSE),"")</f>
        <v/>
      </c>
      <c r="H48" s="713" t="str">
        <f>IF($B$48="","",IF(VLOOKUP($B$48,MASTER_PROPERTY_TABLE,MATCH("Unit System",key_MPTable,0),FALSE)="English",mmBTU_to_GJ,1))</f>
        <v/>
      </c>
      <c r="I48" s="714" t="str">
        <f>+'Cash Flow Analysis'!$L$233</f>
        <v/>
      </c>
    </row>
    <row r="49" spans="2:9" x14ac:dyDescent="0.2">
      <c r="B49" s="662" t="str">
        <f>IF('Cash Flow Analysis'!$M$131=0,"",'Cash Flow Analysis'!$M$131)</f>
        <v/>
      </c>
      <c r="C49" s="712" t="str">
        <f>IF($B$49="","",$E$49*$F$49*$H$49)</f>
        <v/>
      </c>
      <c r="D49" s="712" t="str">
        <f>IF($B49="","",$C49*1000*MJ_to_kWh)</f>
        <v/>
      </c>
      <c r="E49" s="666" t="str">
        <f>IF($B49&lt;&gt;"",VLOOKUP($B49,MASTER_PROPERTY_TABLE,MATCH("H2A LHV (GJ/ H2A usage input unit)",key_MPTable,0),FALSE),"")</f>
        <v/>
      </c>
      <c r="F49" s="666" t="str">
        <f>IF('Cash Flow Analysis'!$M$133="","",'Cash Flow Analysis'!$M$133)</f>
        <v/>
      </c>
      <c r="G49" s="713" t="str">
        <f>IF($B$49&lt;&gt;"",VLOOKUP($B$49,MASTER_PROPERTY_TABLE,MATCH("H2A Usage Input Unit/ kg H2",key_MPTable,0),FALSE),"")</f>
        <v/>
      </c>
      <c r="H49" s="713" t="str">
        <f>IF($B$49="","",IF(VLOOKUP($B$49,MASTER_PROPERTY_TABLE,MATCH("Unit System",key_MPTable,0),FALSE)="English",mmBTU_to_GJ,1))</f>
        <v/>
      </c>
      <c r="I49" s="714" t="str">
        <f>+'Cash Flow Analysis'!$M$233</f>
        <v/>
      </c>
    </row>
    <row r="50" spans="2:9" ht="13.5" thickBot="1" x14ac:dyDescent="0.25">
      <c r="B50" s="663" t="str">
        <f>IF('Cash Flow Analysis'!$N$131=0,"",'Cash Flow Analysis'!$N$131)</f>
        <v/>
      </c>
      <c r="C50" s="721" t="str">
        <f>IF($B$50="","",$E$50*$F$50*$H$50)</f>
        <v/>
      </c>
      <c r="D50" s="721" t="str">
        <f>IF($B50="","",$C50*1000*MJ_to_kWh)</f>
        <v/>
      </c>
      <c r="E50" s="677" t="str">
        <f>IF($B50&lt;&gt;"",VLOOKUP($B50,MASTER_PROPERTY_TABLE,MATCH("H2A LHV (GJ/ H2A usage input unit)",key_MPTable,0),FALSE),"")</f>
        <v/>
      </c>
      <c r="F50" s="677" t="str">
        <f>IF('Cash Flow Analysis'!$N$133="","",'Cash Flow Analysis'!$N$133)</f>
        <v/>
      </c>
      <c r="G50" s="722" t="str">
        <f>IF($B$50&lt;&gt;"",VLOOKUP($B$50,MASTER_PROPERTY_TABLE,MATCH("H2A Usage Input Unit/ kg H2",key_MPTable,0),FALSE),"")</f>
        <v/>
      </c>
      <c r="H50" s="722" t="str">
        <f>IF($B$50="","",IF(VLOOKUP($B$50,MASTER_PROPERTY_TABLE,MATCH("Unit System",key_MPTable,0),FALSE)="English",mmBTU_to_GJ,1))</f>
        <v/>
      </c>
      <c r="I50" s="723" t="str">
        <f>+'Cash Flow Analysis'!$N$233</f>
        <v/>
      </c>
    </row>
    <row r="51" spans="2:9" ht="14.25" thickTop="1" thickBot="1" x14ac:dyDescent="0.25"/>
    <row r="52" spans="2:9" ht="16.5" thickBot="1" x14ac:dyDescent="0.3">
      <c r="B52" s="1597" t="s">
        <v>394</v>
      </c>
      <c r="C52" s="1598"/>
      <c r="D52" s="312">
        <f ca="1">(C56+C57)/(C53+C54+C55)</f>
        <v>0.43953641708144797</v>
      </c>
      <c r="F52" s="28"/>
    </row>
    <row r="53" spans="2:9" ht="25.5" x14ac:dyDescent="0.2">
      <c r="B53" s="571" t="s">
        <v>597</v>
      </c>
      <c r="C53" s="572">
        <f ca="1">SUM(C32:C35)</f>
        <v>0.26374392401276892</v>
      </c>
      <c r="D53" s="573"/>
    </row>
    <row r="54" spans="2:9" x14ac:dyDescent="0.2">
      <c r="B54" s="574" t="s">
        <v>598</v>
      </c>
      <c r="C54" s="575">
        <f ca="1">SUM(C37:C40)</f>
        <v>9.752499999999999E-3</v>
      </c>
      <c r="D54" s="576"/>
    </row>
    <row r="55" spans="2:9" ht="25.5" x14ac:dyDescent="0.2">
      <c r="B55" s="574" t="s">
        <v>395</v>
      </c>
      <c r="C55" s="575">
        <f ca="1">IF(C42="",0,C42)</f>
        <v>0</v>
      </c>
      <c r="D55" s="576"/>
    </row>
    <row r="56" spans="2:9" x14ac:dyDescent="0.2">
      <c r="B56" s="574" t="s">
        <v>599</v>
      </c>
      <c r="C56" s="575">
        <f>C44</f>
        <v>0.12021163829516093</v>
      </c>
      <c r="D56" s="576"/>
    </row>
    <row r="57" spans="2:9" ht="26.25" thickBot="1" x14ac:dyDescent="0.25">
      <c r="B57" s="577" t="s">
        <v>600</v>
      </c>
      <c r="C57" s="578">
        <f>SUM(C47:C50)</f>
        <v>0</v>
      </c>
      <c r="D57" s="579"/>
    </row>
    <row r="58" spans="2:9" ht="13.5" thickBot="1" x14ac:dyDescent="0.25"/>
    <row r="59" spans="2:9" ht="16.5" thickTop="1" thickBot="1" x14ac:dyDescent="0.25">
      <c r="B59" s="1595" t="s">
        <v>396</v>
      </c>
      <c r="C59" s="1596"/>
      <c r="D59" s="613"/>
      <c r="E59" s="632"/>
    </row>
    <row r="60" spans="2:9" x14ac:dyDescent="0.2">
      <c r="B60" s="616" t="s">
        <v>248</v>
      </c>
      <c r="C60" s="580" t="s">
        <v>397</v>
      </c>
      <c r="D60" s="580" t="s">
        <v>398</v>
      </c>
      <c r="E60" s="633" t="s">
        <v>399</v>
      </c>
    </row>
    <row r="61" spans="2:9" x14ac:dyDescent="0.2">
      <c r="B61" s="615" t="str">
        <f>B32</f>
        <v>Woody Biomass</v>
      </c>
      <c r="C61" s="680">
        <f ca="1">IF($B61="","",$C32/1000000*VLOOKUP($B61,Tbl_Emissions,3,FALSE))</f>
        <v>0.31388457445564083</v>
      </c>
      <c r="D61" s="680">
        <f ca="1">IF($B61="","",$C32/1000000*VLOOKUP($B61,Tbl_Emissions,4,FALSE))</f>
        <v>1.3687137461044873E-2</v>
      </c>
      <c r="E61" s="681">
        <f ca="1">IF($B61="","",$C32/1000000*VLOOKUP($B61,Tbl_Emissions,5,FALSE))</f>
        <v>7.729455266400881E-3</v>
      </c>
    </row>
    <row r="62" spans="2:9" x14ac:dyDescent="0.2">
      <c r="B62" s="615" t="str">
        <f>B33</f>
        <v/>
      </c>
      <c r="C62" s="680" t="str">
        <f>IF($B62="","",$C33/1000000*VLOOKUP($B62,Tbl_Emissions,3,FALSE))</f>
        <v/>
      </c>
      <c r="D62" s="680" t="str">
        <f>IF($B62="","",$C33/1000000*VLOOKUP($B62,Tbl_Emissions,4,FALSE))</f>
        <v/>
      </c>
      <c r="E62" s="681" t="str">
        <f>IF($B62="","",$C33/1000000*VLOOKUP($B62,Tbl_Emissions,5,FALSE))</f>
        <v/>
      </c>
    </row>
    <row r="63" spans="2:9" x14ac:dyDescent="0.2">
      <c r="B63" s="615" t="str">
        <f>B34</f>
        <v/>
      </c>
      <c r="C63" s="680" t="str">
        <f>IF($B63="","",$C34/1000000*VLOOKUP($B63,Tbl_Emissions,3,FALSE))</f>
        <v/>
      </c>
      <c r="D63" s="680" t="str">
        <f>IF($B63="","",$C34/1000000*VLOOKUP($B63,Tbl_Emissions,4,FALSE))</f>
        <v/>
      </c>
      <c r="E63" s="681" t="str">
        <f>IF($B63="","",$C34/1000000*VLOOKUP($B63,Tbl_Emissions,5,FALSE))</f>
        <v/>
      </c>
    </row>
    <row r="64" spans="2:9" x14ac:dyDescent="0.2">
      <c r="B64" s="615" t="str">
        <f>B35</f>
        <v/>
      </c>
      <c r="C64" s="680" t="str">
        <f>IF($B64="","",$C35/1000000*VLOOKUP($B64,Tbl_Emissions,3,FALSE))</f>
        <v/>
      </c>
      <c r="D64" s="680" t="str">
        <f>IF($B64="","",$C35/1000000*VLOOKUP($B64,Tbl_Emissions,4,FALSE))</f>
        <v/>
      </c>
      <c r="E64" s="681" t="str">
        <f>IF($B64="","",$C35/1000000*VLOOKUP($B64,Tbl_Emissions,5,FALSE))</f>
        <v/>
      </c>
    </row>
    <row r="65" spans="2:7" x14ac:dyDescent="0.2">
      <c r="B65" s="616" t="s">
        <v>271</v>
      </c>
      <c r="C65" s="724"/>
      <c r="D65" s="724"/>
      <c r="E65" s="725"/>
    </row>
    <row r="66" spans="2:7" x14ac:dyDescent="0.2">
      <c r="B66" s="615" t="str">
        <f>B37</f>
        <v>Commercial Natural Gas</v>
      </c>
      <c r="C66" s="680">
        <f ca="1">IF($B66="","",$C37/1000000*VLOOKUP($B66,Tbl_Emissions,3,FALSE))</f>
        <v>6.7992288333333321E-3</v>
      </c>
      <c r="D66" s="680">
        <f ca="1">IF($B66="","",$C37/1000000*VLOOKUP($B66,Tbl_Emissions,4,FALSE))</f>
        <v>6.7971539999999988E-3</v>
      </c>
      <c r="E66" s="681">
        <f ca="1">IF($B66="","",$C37/1000000*VLOOKUP($B66,Tbl_Emissions,5,FALSE))</f>
        <v>2.4792875111111108E-5</v>
      </c>
    </row>
    <row r="67" spans="2:7" x14ac:dyDescent="0.2">
      <c r="B67" s="615" t="str">
        <f>B38</f>
        <v>Commercial Electricity</v>
      </c>
      <c r="C67" s="680">
        <f ca="1">IF($B67="","",$C38/1000000*VLOOKUP($B67,Tbl_Emissions,3,FALSE))</f>
        <v>6.3045359999999986E-3</v>
      </c>
      <c r="D67" s="680">
        <f ca="1">IF($B67="","",$C38/1000000*VLOOKUP($B67,Tbl_Emissions,4,FALSE))</f>
        <v>4.8337519999999985E-3</v>
      </c>
      <c r="E67" s="681">
        <f ca="1">IF($B67="","",$C38/1000000*VLOOKUP($B67,Tbl_Emissions,5,FALSE))</f>
        <v>7.4499599999999994E-5</v>
      </c>
    </row>
    <row r="68" spans="2:7" x14ac:dyDescent="0.2">
      <c r="B68" s="615" t="str">
        <f>B39</f>
        <v/>
      </c>
      <c r="C68" s="680" t="str">
        <f>IF($B68="","",$C39/1000000*VLOOKUP($B68,Tbl_Emissions,3,FALSE))</f>
        <v/>
      </c>
      <c r="D68" s="680" t="str">
        <f>IF($B68="","",$C39/1000000*VLOOKUP($B68,Tbl_Emissions,4,FALSE))</f>
        <v/>
      </c>
      <c r="E68" s="681" t="str">
        <f>IF($B68="","",$C39/1000000*VLOOKUP($B68,Tbl_Emissions,5,FALSE))</f>
        <v/>
      </c>
    </row>
    <row r="69" spans="2:7" x14ac:dyDescent="0.2">
      <c r="B69" s="615" t="str">
        <f>B40</f>
        <v/>
      </c>
      <c r="C69" s="680" t="str">
        <f>IF($B69="","",$C40/1000000*VLOOKUP($B69,Tbl_Emissions,3,FALSE))</f>
        <v/>
      </c>
      <c r="D69" s="680" t="str">
        <f>IF($B69="","",$C40/1000000*VLOOKUP($B69,Tbl_Emissions,4,FALSE))</f>
        <v/>
      </c>
      <c r="E69" s="681" t="str">
        <f>IF($B69="","",$C40/1000000*VLOOKUP($B69,Tbl_Emissions,5,FALSE))</f>
        <v/>
      </c>
    </row>
    <row r="70" spans="2:7" x14ac:dyDescent="0.2">
      <c r="B70" s="726" t="s">
        <v>400</v>
      </c>
      <c r="C70" s="724"/>
      <c r="D70" s="724"/>
      <c r="E70" s="725"/>
    </row>
    <row r="71" spans="2:7" ht="13.5" thickBot="1" x14ac:dyDescent="0.25">
      <c r="B71" s="617" t="str">
        <f ca="1">B42</f>
        <v/>
      </c>
      <c r="C71" s="682" t="str">
        <f ca="1">IF($B71="","",$C42/1000000*VLOOKUP($B71,Tbl_Emissions,3,FALSE))</f>
        <v/>
      </c>
      <c r="D71" s="682" t="str">
        <f ca="1">IF($B71="","",$C42/1000000*VLOOKUP($B71,Tbl_Emissions,4,FALSE))</f>
        <v/>
      </c>
      <c r="E71" s="683" t="str">
        <f ca="1">IF($B71="","",$C42/1000000*VLOOKUP($B71,Tbl_Emissions,5,FALSE))</f>
        <v/>
      </c>
    </row>
    <row r="72" spans="2:7" ht="13.5" thickTop="1" x14ac:dyDescent="0.2"/>
    <row r="74" spans="2:7" ht="22.5" x14ac:dyDescent="0.45">
      <c r="B74" s="316" t="s">
        <v>401</v>
      </c>
    </row>
    <row r="75" spans="2:7" ht="13.5" thickBot="1" x14ac:dyDescent="0.25"/>
    <row r="76" spans="2:7" ht="16.5" thickTop="1" thickBot="1" x14ac:dyDescent="0.25">
      <c r="B76" s="686" t="s">
        <v>402</v>
      </c>
      <c r="C76" s="687"/>
      <c r="D76" s="688" t="s">
        <v>403</v>
      </c>
      <c r="E76" s="689" t="s">
        <v>404</v>
      </c>
      <c r="F76" s="689" t="s">
        <v>405</v>
      </c>
      <c r="G76" s="690" t="s">
        <v>406</v>
      </c>
    </row>
    <row r="77" spans="2:7" x14ac:dyDescent="0.2">
      <c r="B77" s="1601" t="s">
        <v>539</v>
      </c>
      <c r="C77" s="1602"/>
      <c r="D77" s="692">
        <f ca="1">C121</f>
        <v>1.5348386896548598</v>
      </c>
      <c r="E77" s="696">
        <f ca="1">D121</f>
        <v>4.1309714730994275E-3</v>
      </c>
      <c r="F77" s="696">
        <f ca="1">E121</f>
        <v>-9.9633340397898055E-4</v>
      </c>
      <c r="G77" s="697">
        <f ca="1">F121</f>
        <v>1.3412056220966091</v>
      </c>
    </row>
    <row r="78" spans="2:7" x14ac:dyDescent="0.2">
      <c r="B78" s="1599" t="s">
        <v>538</v>
      </c>
      <c r="C78" s="1600"/>
      <c r="D78" s="693">
        <f ca="1">D89</f>
        <v>26.164892601037256</v>
      </c>
      <c r="E78" s="698">
        <f ca="1">E89</f>
        <v>0</v>
      </c>
      <c r="F78" s="698">
        <f ca="1">F89</f>
        <v>0</v>
      </c>
      <c r="G78" s="699">
        <f ca="1">G89</f>
        <v>26.164892601037256</v>
      </c>
    </row>
    <row r="79" spans="2:7" x14ac:dyDescent="0.2">
      <c r="B79" s="1599"/>
      <c r="C79" s="1600"/>
      <c r="D79" s="694"/>
      <c r="E79" s="525"/>
      <c r="F79" s="525"/>
      <c r="G79" s="700"/>
    </row>
    <row r="80" spans="2:7" ht="13.5" thickBot="1" x14ac:dyDescent="0.25">
      <c r="B80" s="1603" t="s">
        <v>540</v>
      </c>
      <c r="C80" s="1604"/>
      <c r="D80" s="695">
        <f ca="1">SUM(D77:D79)</f>
        <v>27.699731290692114</v>
      </c>
      <c r="E80" s="701">
        <f ca="1">SUM(E77:E79)</f>
        <v>4.1309714730994275E-3</v>
      </c>
      <c r="F80" s="701">
        <f ca="1">SUM(F77:F79)</f>
        <v>-9.9633340397898055E-4</v>
      </c>
      <c r="G80" s="702">
        <f ca="1">SUM(G77:G79)</f>
        <v>27.506098223133865</v>
      </c>
    </row>
    <row r="81" spans="2:7" ht="14.25" thickTop="1" thickBot="1" x14ac:dyDescent="0.25"/>
    <row r="82" spans="2:7" ht="16.5" thickTop="1" thickBot="1" x14ac:dyDescent="0.25">
      <c r="B82" s="428" t="s">
        <v>535</v>
      </c>
      <c r="C82" s="429"/>
      <c r="D82" s="650" t="s">
        <v>403</v>
      </c>
      <c r="E82" s="651" t="s">
        <v>404</v>
      </c>
      <c r="F82" s="651" t="s">
        <v>405</v>
      </c>
      <c r="G82" s="652" t="s">
        <v>406</v>
      </c>
    </row>
    <row r="83" spans="2:7" x14ac:dyDescent="0.2">
      <c r="B83" s="1601" t="s">
        <v>235</v>
      </c>
      <c r="C83" s="1602"/>
      <c r="D83" s="653">
        <f ca="1">SUM(C95:C105)</f>
        <v>26.164892601037256</v>
      </c>
      <c r="E83" s="653">
        <f ca="1">SUM(D95:D105)</f>
        <v>0</v>
      </c>
      <c r="F83" s="653">
        <f ca="1">SUM(E95:E105)</f>
        <v>0</v>
      </c>
      <c r="G83" s="654">
        <f ca="1">SUM(F95:F105)</f>
        <v>26.164892601037256</v>
      </c>
    </row>
    <row r="84" spans="2:7" x14ac:dyDescent="0.2">
      <c r="B84" s="1599" t="s">
        <v>236</v>
      </c>
      <c r="C84" s="1600"/>
      <c r="D84" s="655">
        <f ca="1">ROUND(D83*output_kgyear/1000,-2)</f>
        <v>1334300</v>
      </c>
      <c r="E84" s="655">
        <f ca="1">ROUND(E83*output_kgyear/1000,-2)</f>
        <v>0</v>
      </c>
      <c r="F84" s="655">
        <f ca="1">ROUND(F83*output_kgyear/1000,-2)</f>
        <v>0</v>
      </c>
      <c r="G84" s="656">
        <f ca="1">ROUND(G83*output_kgyear/1000,-2)</f>
        <v>1334300</v>
      </c>
    </row>
    <row r="85" spans="2:7" x14ac:dyDescent="0.2">
      <c r="B85" s="1599" t="s">
        <v>237</v>
      </c>
      <c r="C85" s="1600"/>
      <c r="D85" s="657">
        <f ca="1">SUM(C95:C98)</f>
        <v>25.814357775672725</v>
      </c>
      <c r="E85" s="657">
        <f ca="1">SUM(D95:D98)</f>
        <v>0</v>
      </c>
      <c r="F85" s="657">
        <f ca="1">SUM(E95:E98)</f>
        <v>0</v>
      </c>
      <c r="G85" s="658">
        <f ca="1">SUM(F95:F98)</f>
        <v>25.814357775672725</v>
      </c>
    </row>
    <row r="86" spans="2:7" x14ac:dyDescent="0.2">
      <c r="B86" s="1599" t="s">
        <v>238</v>
      </c>
      <c r="C86" s="1600"/>
      <c r="D86" s="655">
        <f ca="1">ROUND(D85*output_kgyear/1000,-2)</f>
        <v>1316400</v>
      </c>
      <c r="E86" s="655">
        <f ca="1">ROUND(E85*output_kgyear/1000,-2)</f>
        <v>0</v>
      </c>
      <c r="F86" s="655">
        <f ca="1">ROUND(F85*output_kgyear/1000,-2)</f>
        <v>0</v>
      </c>
      <c r="G86" s="656">
        <f ca="1">ROUND(G85*output_kgyear/1000,-2)</f>
        <v>1316400</v>
      </c>
    </row>
    <row r="87" spans="2:7" x14ac:dyDescent="0.2">
      <c r="B87" s="774" t="s">
        <v>240</v>
      </c>
      <c r="C87" s="775"/>
      <c r="D87" s="806">
        <f ca="1">IF(CO2_CashFlow_eUse&gt;0,D85*CO2_Capture_Efficiency,0)</f>
        <v>0</v>
      </c>
      <c r="E87" s="655"/>
      <c r="F87" s="655"/>
      <c r="G87" s="807"/>
    </row>
    <row r="88" spans="2:7" x14ac:dyDescent="0.2">
      <c r="B88" s="1599" t="s">
        <v>241</v>
      </c>
      <c r="C88" s="1600"/>
      <c r="D88" s="655">
        <f ca="1">ROUND(D87*output_kgyear/1000,-2)</f>
        <v>0</v>
      </c>
      <c r="E88" s="655"/>
      <c r="F88" s="655"/>
      <c r="G88" s="656"/>
    </row>
    <row r="89" spans="2:7" x14ac:dyDescent="0.2">
      <c r="B89" s="1599" t="s">
        <v>239</v>
      </c>
      <c r="C89" s="1600"/>
      <c r="D89" s="806">
        <f ca="1">D83-D87</f>
        <v>26.164892601037256</v>
      </c>
      <c r="E89" s="655">
        <f ca="1">E83-E87</f>
        <v>0</v>
      </c>
      <c r="F89" s="655">
        <f ca="1">F83-F87</f>
        <v>0</v>
      </c>
      <c r="G89" s="807">
        <f ca="1">D89*GHG_CO2_factor + E89*GHG_CH4_factor + F89*GHG_N2O_factor</f>
        <v>26.164892601037256</v>
      </c>
    </row>
    <row r="90" spans="2:7" ht="13.5" thickBot="1" x14ac:dyDescent="0.25">
      <c r="B90" s="1603" t="s">
        <v>1060</v>
      </c>
      <c r="C90" s="1604"/>
      <c r="D90" s="659">
        <f ca="1">ROUND(D89*output_kgyear/1000,-2)</f>
        <v>1334300</v>
      </c>
      <c r="E90" s="659">
        <f ca="1">ROUND(E89*output_kgyear/1000,-2)</f>
        <v>0</v>
      </c>
      <c r="F90" s="659">
        <f ca="1">ROUND(F89*output_kgyear/1000,-2)</f>
        <v>0</v>
      </c>
      <c r="G90" s="660">
        <f ca="1">ROUND(G89*output_kgyear/1000,-2)</f>
        <v>1334300</v>
      </c>
    </row>
    <row r="91" spans="2:7" ht="13.5" thickTop="1" x14ac:dyDescent="0.2">
      <c r="B91" t="s">
        <v>242</v>
      </c>
    </row>
    <row r="92" spans="2:7" ht="13.5" thickBot="1" x14ac:dyDescent="0.25"/>
    <row r="93" spans="2:7" ht="16.5" thickTop="1" thickBot="1" x14ac:dyDescent="0.25">
      <c r="B93" s="1595" t="s">
        <v>536</v>
      </c>
      <c r="C93" s="1596"/>
      <c r="D93" s="613"/>
      <c r="E93" s="613"/>
      <c r="F93" s="632"/>
    </row>
    <row r="94" spans="2:7" x14ac:dyDescent="0.2">
      <c r="B94" s="661" t="s">
        <v>248</v>
      </c>
      <c r="C94" s="664" t="s">
        <v>403</v>
      </c>
      <c r="D94" s="664" t="s">
        <v>404</v>
      </c>
      <c r="E94" s="664" t="s">
        <v>405</v>
      </c>
      <c r="F94" s="665" t="s">
        <v>406</v>
      </c>
    </row>
    <row r="95" spans="2:7" x14ac:dyDescent="0.2">
      <c r="B95" s="662" t="str">
        <f>B32</f>
        <v>Woody Biomass</v>
      </c>
      <c r="C95" s="666">
        <f ca="1">IF($B95="","",VLOOKUP($B95,MASTER_PROPERTY_TABLE,MATCH("CO2 Emissions Factor (kg CO2 produced/GJ feed)",key_MPTable,0),FALSE)*$E32*$F32)</f>
        <v>25.814357775672725</v>
      </c>
      <c r="D95" s="671">
        <f ca="1">IF($B95="","",VLOOKUP($B95,MASTER_PROPERTY_TABLE,MATCH("CH4 Emissions Factor (kg CH4 produced/GJ or mmBtu feed)",key_MPTable,0),FALSE)*$E32*$F32)</f>
        <v>0</v>
      </c>
      <c r="E95" s="671">
        <f ca="1">IF($B95="","",VLOOKUP($B95,MASTER_PROPERTY_TABLE,MATCH("N2O Emissions Factor (kg N2O produced/GJ or mmBtu feed)",key_MPTable,0),FALSE)*$E32*$F32)</f>
        <v>0</v>
      </c>
      <c r="F95" s="674">
        <f ca="1">IF($B95="","",$C95*GHG_CO2_factor+$D95*GHG_CH4_factor+$E95*GHG_N2O_factor)</f>
        <v>25.814357775672725</v>
      </c>
    </row>
    <row r="96" spans="2:7" x14ac:dyDescent="0.2">
      <c r="B96" s="662" t="str">
        <f>B33</f>
        <v/>
      </c>
      <c r="C96" s="666" t="str">
        <f>IF($B96="","",VLOOKUP($B96,MASTER_PROPERTY_TABLE,MATCH("CO2 Emissions Factor (kg CO2 produced/GJ feed)",key_MPTable,0),FALSE)*$E33*$F33)</f>
        <v/>
      </c>
      <c r="D96" s="671" t="str">
        <f>IF($B96="","",VLOOKUP($B96,MASTER_PROPERTY_TABLE,MATCH("CH4 Emissions Factor (kg CH4 produced/GJ or mmBtu feed)",key_MPTable,0),FALSE)*$E33*$F33)</f>
        <v/>
      </c>
      <c r="E96" s="671" t="str">
        <f>IF($B96="","",VLOOKUP($B96,MASTER_PROPERTY_TABLE,MATCH("N2O Emissions Factor (kg N2O produced/GJ or mmBtu feed)",key_MPTable,0),FALSE)*$E33*$F33)</f>
        <v/>
      </c>
      <c r="F96" s="674" t="str">
        <f>IF($B96="","",$C96*GHG_CO2_factor+$D96*GHG_CH4_factor+$E96*GHG_N2O_factor)</f>
        <v/>
      </c>
    </row>
    <row r="97" spans="2:6" x14ac:dyDescent="0.2">
      <c r="B97" s="662" t="str">
        <f>B34</f>
        <v/>
      </c>
      <c r="C97" s="666" t="str">
        <f>IF($B97="","",VLOOKUP($B97,MASTER_PROPERTY_TABLE,MATCH("CO2 Emissions Factor (kg CO2 produced/GJ feed)",key_MPTable,0),FALSE)*$E34*$F34)</f>
        <v/>
      </c>
      <c r="D97" s="671" t="str">
        <f>IF($B97="","",VLOOKUP($B97,MASTER_PROPERTY_TABLE,MATCH("CH4 Emissions Factor (kg CH4 produced/GJ or mmBtu feed)",key_MPTable,0),FALSE)*$E34*$F34)</f>
        <v/>
      </c>
      <c r="E97" s="671" t="str">
        <f>IF($B97="","",VLOOKUP($B97,MASTER_PROPERTY_TABLE,MATCH("N2O Emissions Factor (kg N2O produced/GJ or mmBtu feed)",key_MPTable,0),FALSE)*$E34*$F34)</f>
        <v/>
      </c>
      <c r="F97" s="674" t="str">
        <f>IF($B97="","",$C97*GHG_CO2_factor+$D97*GHG_CH4_factor+$E97*GHG_N2O_factor)</f>
        <v/>
      </c>
    </row>
    <row r="98" spans="2:6" x14ac:dyDescent="0.2">
      <c r="B98" s="662" t="str">
        <f>B35</f>
        <v/>
      </c>
      <c r="C98" s="666" t="str">
        <f>IF($B98="","",VLOOKUP($B98,MASTER_PROPERTY_TABLE,MATCH("CO2 Emissions Factor (kg CO2 produced/GJ feed)",key_MPTable,0),FALSE)*$E35*$F35)</f>
        <v/>
      </c>
      <c r="D98" s="671" t="str">
        <f>IF($B98="","",VLOOKUP($B98,MASTER_PROPERTY_TABLE,MATCH("CH4 Emissions Factor (kg CH4 produced/GJ or mmBtu feed)",key_MPTable,0),FALSE)*$E35*$F35)</f>
        <v/>
      </c>
      <c r="E98" s="671" t="str">
        <f>IF($B98="","",VLOOKUP($B98,MASTER_PROPERTY_TABLE,MATCH("N2O Emissions Factor (kg N2O produced/GJ or mmBtu feed)",key_MPTable,0),FALSE)*$E35*$F35)</f>
        <v/>
      </c>
      <c r="F98" s="674" t="str">
        <f>IF($B98="","",$C98*GHG_CO2_factor+$D98*GHG_CH4_factor+$E98*GHG_N2O_factor)</f>
        <v/>
      </c>
    </row>
    <row r="99" spans="2:6" x14ac:dyDescent="0.2">
      <c r="B99" s="727" t="s">
        <v>271</v>
      </c>
      <c r="C99" s="728"/>
      <c r="D99" s="729"/>
      <c r="E99" s="729"/>
      <c r="F99" s="730"/>
    </row>
    <row r="100" spans="2:6" x14ac:dyDescent="0.2">
      <c r="B100" s="662" t="str">
        <f>B37</f>
        <v>Commercial Natural Gas</v>
      </c>
      <c r="C100" s="666">
        <f ca="1">IF($B100="","",VLOOKUP($B100,MASTER_PROPERTY_TABLE,MATCH("CO2 Emissions Factor (kg CO2 produced/GJ feed)",key_MPTable,0),FALSE)*$E37*$F37)</f>
        <v>0.3505348253645304</v>
      </c>
      <c r="D100" s="671">
        <f ca="1">IF($B100="","",VLOOKUP($B100,MASTER_PROPERTY_TABLE,MATCH("CH4 Emissions Factor (kg CH4 produced/GJ or mmBtu feed)",key_MPTable,0),FALSE)*$E37*$F37)</f>
        <v>0</v>
      </c>
      <c r="E100" s="671">
        <f ca="1">IF($B100="","",VLOOKUP($B100,MASTER_PROPERTY_TABLE,MATCH("N2O Emissions Factor (kg N2O produced/GJ or mmBtu feed)",key_MPTable,0),FALSE)*$E37*$F37)</f>
        <v>0</v>
      </c>
      <c r="F100" s="674">
        <f ca="1">IF($B100="","",$C100*GHG_CO2_factor+$D100*GHG_CH4_factor+$E100*GHG_N2O_factor)</f>
        <v>0.3505348253645304</v>
      </c>
    </row>
    <row r="101" spans="2:6" x14ac:dyDescent="0.2">
      <c r="B101" s="662" t="str">
        <f>B38</f>
        <v>Commercial Electricity</v>
      </c>
      <c r="C101" s="666">
        <f ca="1">IF($B101="","",VLOOKUP($B101,MASTER_PROPERTY_TABLE,MATCH("CO2 Emissions Factor (kg CO2 produced/GJ feed)",key_MPTable,0),FALSE)*$E38*$F38)</f>
        <v>0</v>
      </c>
      <c r="D101" s="671">
        <f ca="1">IF($B101="","",VLOOKUP($B101,MASTER_PROPERTY_TABLE,MATCH("CH4 Emissions Factor (kg CH4 produced/GJ or mmBtu feed)",key_MPTable,0),FALSE)*$E38*$F38)</f>
        <v>0</v>
      </c>
      <c r="E101" s="671">
        <f ca="1">IF($B101="","",VLOOKUP($B101,MASTER_PROPERTY_TABLE,MATCH("N2O Emissions Factor (kg N2O produced/GJ or mmBtu feed)",key_MPTable,0),FALSE)*$E38*$F38)</f>
        <v>0</v>
      </c>
      <c r="F101" s="674">
        <f ca="1">IF($B101="","",$C101*GHG_CO2_factor+$D101*GHG_CH4_factor+$E101*GHG_N2O_factor)</f>
        <v>0</v>
      </c>
    </row>
    <row r="102" spans="2:6" x14ac:dyDescent="0.2">
      <c r="B102" s="662" t="str">
        <f>B39</f>
        <v/>
      </c>
      <c r="C102" s="666" t="str">
        <f>IF($B102="","",VLOOKUP($B102,MASTER_PROPERTY_TABLE,MATCH("CO2 Emissions Factor (kg CO2 produced/GJ feed)",key_MPTable,0),FALSE)*$E39*$F39)</f>
        <v/>
      </c>
      <c r="D102" s="671" t="str">
        <f>IF($B102="","",VLOOKUP($B102,MASTER_PROPERTY_TABLE,MATCH("CH4 Emissions Factor (kg CH4 produced/GJ or mmBtu feed)",key_MPTable,0),FALSE)*$E39*$F39)</f>
        <v/>
      </c>
      <c r="E102" s="671" t="str">
        <f>IF($B102="","",VLOOKUP($B102,MASTER_PROPERTY_TABLE,MATCH("N2O Emissions Factor (kg N2O produced/GJ or mmBtu feed)",key_MPTable,0),FALSE)*$E39*$F39)</f>
        <v/>
      </c>
      <c r="F102" s="674" t="str">
        <f>IF($B102="","",$C102*GHG_CO2_factor+$D102*GHG_CH4_factor+$E102*GHG_N2O_factor)</f>
        <v/>
      </c>
    </row>
    <row r="103" spans="2:6" x14ac:dyDescent="0.2">
      <c r="B103" s="662" t="str">
        <f>B40</f>
        <v/>
      </c>
      <c r="C103" s="666" t="str">
        <f>IF($B103="","",VLOOKUP($B103,MASTER_PROPERTY_TABLE,MATCH("CO2 Emissions Factor (kg CO2 produced/GJ feed)",key_MPTable,0),FALSE)*$E40*$F40)</f>
        <v/>
      </c>
      <c r="D103" s="671" t="str">
        <f>IF($B103="","",VLOOKUP($B103,MASTER_PROPERTY_TABLE,MATCH("CH4 Emissions Factor (kg CH4 produced/GJ or mmBtu feed)",key_MPTable,0),FALSE)*$E40*$F40)</f>
        <v/>
      </c>
      <c r="E103" s="671" t="str">
        <f>IF($B103="","",VLOOKUP($B103,MASTER_PROPERTY_TABLE,MATCH("N2O Emissions Factor (kg N2O produced/GJ or mmBtu feed)",key_MPTable,0),FALSE)*$E40*$F40)</f>
        <v/>
      </c>
      <c r="F103" s="674" t="str">
        <f>IF($B103="","",$C103*GHG_CO2_factor+$D103*GHG_CH4_factor+$E103*GHG_N2O_factor)</f>
        <v/>
      </c>
    </row>
    <row r="104" spans="2:6" x14ac:dyDescent="0.2">
      <c r="B104" s="727" t="s">
        <v>400</v>
      </c>
      <c r="C104" s="728"/>
      <c r="D104" s="729"/>
      <c r="E104" s="729"/>
      <c r="F104" s="730"/>
    </row>
    <row r="105" spans="2:6" ht="13.5" thickBot="1" x14ac:dyDescent="0.25">
      <c r="B105" s="663" t="str">
        <f ca="1">B42</f>
        <v/>
      </c>
      <c r="C105" s="677" t="str">
        <f ca="1">IF($B105="","",VLOOKUP($B105,MASTER_PROPERTY_TABLE,MATCH("CO2 Emissions Factor (kg CO2 produced/GJ feed)",key_MPTable,0),FALSE)*$E42*$F42)</f>
        <v/>
      </c>
      <c r="D105" s="678" t="str">
        <f ca="1">IF($B105="","",VLOOKUP($B105,MASTER_PROPERTY_TABLE,MATCH("CH4 Emissions Factor (kg CH4 produced/GJ or mmBtu feed)",key_MPTable,0),FALSE)*$E42*$F42)</f>
        <v/>
      </c>
      <c r="E105" s="678" t="str">
        <f ca="1">IF($B105="","",VLOOKUP($B105,MASTER_PROPERTY_TABLE,MATCH("N2O Emissions Factor (kg N2O produced/GJ or mmBtu feed)",key_MPTable,0),FALSE)*$E42*$F42)</f>
        <v/>
      </c>
      <c r="F105" s="679" t="str">
        <f ca="1">IF($B105="","",$C105*GHG_CO2_factor+$D105*GHG_CH4_factor+$E105*GHG_N2O_factor)</f>
        <v/>
      </c>
    </row>
    <row r="106" spans="2:6" ht="13.5" thickTop="1" x14ac:dyDescent="0.2"/>
    <row r="107" spans="2:6" ht="13.5" thickBot="1" x14ac:dyDescent="0.25"/>
    <row r="108" spans="2:6" ht="16.5" thickTop="1" thickBot="1" x14ac:dyDescent="0.25">
      <c r="B108" s="1595" t="s">
        <v>1349</v>
      </c>
      <c r="C108" s="1596"/>
      <c r="D108" s="613"/>
      <c r="E108" s="613"/>
      <c r="F108" s="632"/>
    </row>
    <row r="109" spans="2:6" x14ac:dyDescent="0.2">
      <c r="B109" s="661" t="s">
        <v>248</v>
      </c>
      <c r="C109" s="664" t="s">
        <v>403</v>
      </c>
      <c r="D109" s="664" t="s">
        <v>404</v>
      </c>
      <c r="E109" s="664" t="s">
        <v>405</v>
      </c>
      <c r="F109" s="665" t="s">
        <v>406</v>
      </c>
    </row>
    <row r="110" spans="2:6" x14ac:dyDescent="0.2">
      <c r="B110" s="662" t="str">
        <f>B32</f>
        <v>Woody Biomass</v>
      </c>
      <c r="C110" s="666">
        <f ca="1">IF($B110="","",$C32*VLOOKUP($B110,Tbl_Emissions,6,FALSE))</f>
        <v>1.0046152590048598</v>
      </c>
      <c r="D110" s="671">
        <f ca="1">IF($B110="","",$C32*VLOOKUP($B110,Tbl_Emissions,7,FALSE))</f>
        <v>2.231789363043872E-3</v>
      </c>
      <c r="E110" s="671">
        <f ca="1">IF($B110="","",$C32*VLOOKUP($B110,Tbl_Emissions,8,FALSE))</f>
        <v>-1.0089272377234249E-3</v>
      </c>
      <c r="F110" s="674">
        <f ca="1">IF($B110="","",$C110*GHG_CO2_factor+$D110*GHG_CH4_factor+$E110*GHG_N2O_factor)</f>
        <v>0.75974967623937584</v>
      </c>
    </row>
    <row r="111" spans="2:6" x14ac:dyDescent="0.2">
      <c r="B111" s="662" t="str">
        <f>B33</f>
        <v/>
      </c>
      <c r="C111" s="666" t="str">
        <f>IF($B111="","",$C33*VLOOKUP($B111,Tbl_Emissions,6,FALSE))</f>
        <v/>
      </c>
      <c r="D111" s="671" t="str">
        <f>IF($B111="","",$C33*VLOOKUP($B111,Tbl_Emissions,7,FALSE))</f>
        <v/>
      </c>
      <c r="E111" s="671" t="str">
        <f>IF($B111="","",$C33*VLOOKUP($B111,Tbl_Emissions,8,FALSE))</f>
        <v/>
      </c>
      <c r="F111" s="674" t="str">
        <f>IF($B111="","",$C111*GHG_CO2_factor+$D111*GHG_CH4_factor+$E111*GHG_N2O_factor)</f>
        <v/>
      </c>
    </row>
    <row r="112" spans="2:6" x14ac:dyDescent="0.2">
      <c r="B112" s="662" t="str">
        <f>B34</f>
        <v/>
      </c>
      <c r="C112" s="666" t="str">
        <f>IF($B112="","",$C34*VLOOKUP($B112,Tbl_Emissions,6,FALSE))</f>
        <v/>
      </c>
      <c r="D112" s="671" t="str">
        <f>IF($B112="","",$C34*VLOOKUP($B112,Tbl_Emissions,7,FALSE))</f>
        <v/>
      </c>
      <c r="E112" s="671" t="str">
        <f>IF($B112="","",$C34*VLOOKUP($B112,Tbl_Emissions,8,FALSE))</f>
        <v/>
      </c>
      <c r="F112" s="674" t="str">
        <f>IF($B112="","",$C112*GHG_CO2_factor+$D112*GHG_CH4_factor+$E112*GHG_N2O_factor)</f>
        <v/>
      </c>
    </row>
    <row r="113" spans="2:6" x14ac:dyDescent="0.2">
      <c r="B113" s="662" t="str">
        <f>B35</f>
        <v/>
      </c>
      <c r="C113" s="666" t="str">
        <f>IF($B113="","",$C35*VLOOKUP($B113,Tbl_Emissions,6,FALSE))</f>
        <v/>
      </c>
      <c r="D113" s="671" t="str">
        <f>IF($B113="","",$C35*VLOOKUP($B113,Tbl_Emissions,7,FALSE))</f>
        <v/>
      </c>
      <c r="E113" s="671" t="str">
        <f>IF($B113="","",$C35*VLOOKUP($B113,Tbl_Emissions,8,FALSE))</f>
        <v/>
      </c>
      <c r="F113" s="674" t="str">
        <f>IF($B113="","",$C113*GHG_CO2_factor+$D113*GHG_CH4_factor+$E113*GHG_N2O_factor)</f>
        <v/>
      </c>
    </row>
    <row r="114" spans="2:6" x14ac:dyDescent="0.2">
      <c r="B114" s="727" t="s">
        <v>271</v>
      </c>
      <c r="C114" s="728"/>
      <c r="D114" s="729"/>
      <c r="E114" s="729"/>
      <c r="F114" s="730"/>
    </row>
    <row r="115" spans="2:6" x14ac:dyDescent="0.2">
      <c r="B115" s="662" t="str">
        <f>B37</f>
        <v>Commercial Natural Gas</v>
      </c>
      <c r="C115" s="666">
        <f ca="1">IF($B115="","",$C37*VLOOKUP($B115,Tbl_Emissions,6,FALSE))</f>
        <v>3.5876150649999994E-2</v>
      </c>
      <c r="D115" s="671">
        <f ca="1">IF($B115="","",$C37*VLOOKUP($B115,Tbl_Emissions,7,FALSE))</f>
        <v>1.1492453420555554E-3</v>
      </c>
      <c r="E115" s="671">
        <f ca="1">IF($B115="","",$C37*VLOOKUP($B115,Tbl_Emissions,8,FALSE))</f>
        <v>5.3620609444444438E-6</v>
      </c>
      <c r="F115" s="674">
        <f ca="1">IF($B115="","",$C115*GHG_CO2_factor+$D115*GHG_CH4_factor+$E115*GHG_N2O_factor)</f>
        <v>6.6205178362833322E-2</v>
      </c>
    </row>
    <row r="116" spans="2:6" x14ac:dyDescent="0.2">
      <c r="B116" s="662" t="str">
        <f>B38</f>
        <v>Commercial Electricity</v>
      </c>
      <c r="C116" s="666">
        <f ca="1">IF($B116="","",$C38*VLOOKUP($B116,Tbl_Emissions,6,FALSE))</f>
        <v>0.49434727999999989</v>
      </c>
      <c r="D116" s="671">
        <f ca="1">IF($B116="","",$C38*VLOOKUP($B116,Tbl_Emissions,7,FALSE))</f>
        <v>7.4993676799999984E-4</v>
      </c>
      <c r="E116" s="671">
        <f ca="1">IF($B116="","",$C38*VLOOKUP($B116,Tbl_Emissions,8,FALSE))</f>
        <v>7.2317728000000004E-6</v>
      </c>
      <c r="F116" s="674">
        <f ca="1">IF($B116="","",$C116*GHG_CO2_factor+$D116*GHG_CH4_factor+$E116*GHG_N2O_factor)</f>
        <v>0.51525076749439991</v>
      </c>
    </row>
    <row r="117" spans="2:6" x14ac:dyDescent="0.2">
      <c r="B117" s="662" t="str">
        <f>B39</f>
        <v/>
      </c>
      <c r="C117" s="666" t="str">
        <f>IF($B117="","",$C39*VLOOKUP($B117,Tbl_Emissions,6,FALSE))</f>
        <v/>
      </c>
      <c r="D117" s="671" t="str">
        <f>IF($B117="","",$C39*VLOOKUP($B117,Tbl_Emissions,7,FALSE))</f>
        <v/>
      </c>
      <c r="E117" s="671" t="str">
        <f>IF($B117="","",$C39*VLOOKUP($B117,Tbl_Emissions,8,FALSE))</f>
        <v/>
      </c>
      <c r="F117" s="674" t="str">
        <f>IF($B117="","",$C117*GHG_CO2_factor+$D117*GHG_CH4_factor+$E117*GHG_N2O_factor)</f>
        <v/>
      </c>
    </row>
    <row r="118" spans="2:6" x14ac:dyDescent="0.2">
      <c r="B118" s="662" t="str">
        <f>B40</f>
        <v/>
      </c>
      <c r="C118" s="666" t="str">
        <f>IF($B118="","",$C40*VLOOKUP($B118,Tbl_Emissions,6,FALSE))</f>
        <v/>
      </c>
      <c r="D118" s="671" t="str">
        <f>IF($B118="","",$C40*VLOOKUP($B118,Tbl_Emissions,7,FALSE))</f>
        <v/>
      </c>
      <c r="E118" s="671" t="str">
        <f>IF($B118="","",$C40*VLOOKUP($B118,Tbl_Emissions,8,FALSE))</f>
        <v/>
      </c>
      <c r="F118" s="674" t="str">
        <f>IF($B118="","",$C118*GHG_CO2_factor+$D118*GHG_CH4_factor+$E118*GHG_N2O_factor)</f>
        <v/>
      </c>
    </row>
    <row r="119" spans="2:6" x14ac:dyDescent="0.2">
      <c r="B119" s="727" t="s">
        <v>400</v>
      </c>
      <c r="C119" s="728"/>
      <c r="D119" s="729"/>
      <c r="E119" s="729"/>
      <c r="F119" s="730"/>
    </row>
    <row r="120" spans="2:6" ht="13.5" thickBot="1" x14ac:dyDescent="0.25">
      <c r="B120" s="667" t="str">
        <f ca="1">B42</f>
        <v/>
      </c>
      <c r="C120" s="669" t="str">
        <f ca="1">IF($B120="","",$C42*VLOOKUP($B120,Tbl_Emissions,6,FALSE))</f>
        <v/>
      </c>
      <c r="D120" s="672" t="str">
        <f ca="1">IF($B120="","",$C42*VLOOKUP($B120,Tbl_Emissions,7,FALSE))</f>
        <v/>
      </c>
      <c r="E120" s="672" t="str">
        <f ca="1">IF($B120="","",$C42*VLOOKUP($B120,Tbl_Emissions,8,FALSE))</f>
        <v/>
      </c>
      <c r="F120" s="675" t="str">
        <f ca="1">IF($B120="","",$C120*GHG_CO2_factor+$D120*GHG_CH4_factor+$E120*GHG_N2O_factor)</f>
        <v/>
      </c>
    </row>
    <row r="121" spans="2:6" ht="13.5" thickBot="1" x14ac:dyDescent="0.25">
      <c r="B121" s="668" t="s">
        <v>541</v>
      </c>
      <c r="C121" s="670">
        <f ca="1">SUM(C110:C120)</f>
        <v>1.5348386896548598</v>
      </c>
      <c r="D121" s="673">
        <f ca="1">SUM(D110:D120)</f>
        <v>4.1309714730994275E-3</v>
      </c>
      <c r="E121" s="673">
        <f ca="1">SUM(E110:E120)</f>
        <v>-9.9633340397898055E-4</v>
      </c>
      <c r="F121" s="676">
        <f ca="1">SUM(F110:F120)</f>
        <v>1.3412056220966091</v>
      </c>
    </row>
    <row r="122" spans="2:6" ht="13.5" thickTop="1" x14ac:dyDescent="0.2"/>
  </sheetData>
  <mergeCells count="18">
    <mergeCell ref="B108:C108"/>
    <mergeCell ref="B86:C86"/>
    <mergeCell ref="B59:C59"/>
    <mergeCell ref="B77:C77"/>
    <mergeCell ref="B78:C78"/>
    <mergeCell ref="B79:C79"/>
    <mergeCell ref="B80:C80"/>
    <mergeCell ref="B90:C90"/>
    <mergeCell ref="B88:C88"/>
    <mergeCell ref="B83:C83"/>
    <mergeCell ref="B84:C84"/>
    <mergeCell ref="B85:C85"/>
    <mergeCell ref="B89:C89"/>
    <mergeCell ref="F17:H17"/>
    <mergeCell ref="F23:H23"/>
    <mergeCell ref="B30:C30"/>
    <mergeCell ref="B52:C52"/>
    <mergeCell ref="B93:C93"/>
  </mergeCells>
  <phoneticPr fontId="2"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zoomScaleNormal="100" workbookViewId="0"/>
  </sheetViews>
  <sheetFormatPr defaultRowHeight="12.75" x14ac:dyDescent="0.2"/>
  <cols>
    <col min="1" max="1" width="7.140625" customWidth="1"/>
    <col min="2" max="2" width="35.5703125" customWidth="1"/>
    <col min="3" max="3" width="18.85546875" customWidth="1"/>
    <col min="4" max="6" width="20.7109375" customWidth="1"/>
    <col min="7" max="8" width="16.28515625" customWidth="1"/>
    <col min="9" max="9" width="16" bestFit="1" customWidth="1"/>
    <col min="10" max="15" width="12.28515625" customWidth="1"/>
    <col min="16" max="16" width="17.42578125" bestFit="1" customWidth="1"/>
    <col min="17" max="22" width="12.28515625" customWidth="1"/>
    <col min="23" max="23" width="18.42578125" customWidth="1"/>
    <col min="24" max="24" width="12.28515625" customWidth="1"/>
  </cols>
  <sheetData>
    <row r="1" spans="1:73" x14ac:dyDescent="0.2">
      <c r="A1" s="1077"/>
      <c r="B1" s="1077"/>
      <c r="C1" s="1078"/>
      <c r="D1" s="1077"/>
      <c r="E1" s="1077"/>
      <c r="F1" s="1078"/>
      <c r="G1" s="1078"/>
      <c r="H1" s="1077"/>
      <c r="I1" s="1077"/>
      <c r="J1" s="1077"/>
      <c r="K1" s="1077"/>
      <c r="L1" s="1077"/>
      <c r="M1" s="1077"/>
      <c r="N1" s="1077"/>
      <c r="O1" s="1077"/>
      <c r="P1" s="1077"/>
      <c r="Q1" s="1077"/>
      <c r="R1" s="1077"/>
      <c r="S1" s="1077"/>
      <c r="T1" s="1077"/>
      <c r="U1" s="1077"/>
      <c r="V1" s="1077"/>
      <c r="W1" s="1077"/>
      <c r="X1" s="1077"/>
      <c r="Y1" s="1077"/>
      <c r="Z1" s="1077"/>
      <c r="AA1" s="1077"/>
      <c r="AB1" s="1077"/>
      <c r="AC1" s="1077"/>
      <c r="AD1" s="1077"/>
      <c r="AE1" s="1077"/>
      <c r="AF1" s="1077"/>
      <c r="AG1" s="1077"/>
      <c r="AH1" s="1077"/>
      <c r="AI1" s="1077"/>
      <c r="AJ1" s="1077"/>
      <c r="AK1" s="1077"/>
      <c r="AL1" s="1077"/>
      <c r="AM1" s="1077"/>
      <c r="AN1" s="1077"/>
      <c r="AO1" s="1077"/>
      <c r="AP1" s="1077"/>
      <c r="AQ1" s="1077"/>
      <c r="AR1" s="1077"/>
      <c r="AS1" s="1077"/>
      <c r="AT1" s="1077"/>
      <c r="AU1" s="1077"/>
      <c r="AV1" s="1077"/>
      <c r="AW1" s="1077"/>
      <c r="AX1" s="1077"/>
      <c r="AY1" s="1077"/>
      <c r="AZ1" s="1077"/>
      <c r="BA1" s="1077"/>
      <c r="BB1" s="1077"/>
      <c r="BC1" s="1077"/>
      <c r="BD1" s="1077"/>
      <c r="BE1" s="1077"/>
      <c r="BF1" s="1077"/>
      <c r="BG1" s="1077"/>
      <c r="BH1" s="1077"/>
      <c r="BI1" s="1077"/>
      <c r="BJ1" s="1077"/>
      <c r="BK1" s="1077"/>
      <c r="BL1" s="1077"/>
      <c r="BM1" s="1077"/>
      <c r="BN1" s="1077"/>
      <c r="BO1" s="1077"/>
      <c r="BP1" s="1077"/>
      <c r="BQ1" s="1077"/>
      <c r="BR1" s="1077"/>
      <c r="BS1" s="1077"/>
      <c r="BT1" s="1077"/>
      <c r="BU1" s="1077"/>
    </row>
    <row r="2" spans="1:73" ht="38.25" x14ac:dyDescent="0.2">
      <c r="A2" s="1077"/>
      <c r="B2" s="1088" t="s">
        <v>1137</v>
      </c>
      <c r="C2" s="1088" t="s">
        <v>1136</v>
      </c>
      <c r="D2" s="1088" t="s">
        <v>1203</v>
      </c>
      <c r="E2" s="1088" t="s">
        <v>1204</v>
      </c>
      <c r="F2" s="1088" t="s">
        <v>1140</v>
      </c>
      <c r="G2" s="1088" t="s">
        <v>1141</v>
      </c>
      <c r="H2" s="1088" t="s">
        <v>1142</v>
      </c>
      <c r="I2" s="1088" t="s">
        <v>1143</v>
      </c>
      <c r="J2" s="1078"/>
      <c r="K2" s="1078"/>
      <c r="L2" s="1077"/>
      <c r="M2" s="1077"/>
      <c r="N2" s="1077"/>
      <c r="O2" s="1077"/>
      <c r="P2" s="1077"/>
      <c r="Q2" s="1077"/>
      <c r="R2" s="1077"/>
      <c r="S2" s="1077"/>
      <c r="T2" s="1077"/>
      <c r="U2" s="1077"/>
      <c r="V2" s="1077"/>
      <c r="W2" s="1077"/>
      <c r="X2" s="1077"/>
      <c r="Y2" s="1077"/>
      <c r="Z2" s="1077"/>
      <c r="AA2" s="1077"/>
      <c r="AB2" s="1077"/>
      <c r="AC2" s="1077"/>
      <c r="AD2" s="1077"/>
      <c r="AE2" s="1077"/>
      <c r="AF2" s="1077"/>
      <c r="AG2" s="1077"/>
      <c r="AH2" s="1077"/>
      <c r="AI2" s="1077"/>
      <c r="AJ2" s="1077"/>
      <c r="AK2" s="1077"/>
      <c r="AL2" s="1077"/>
      <c r="AM2" s="1077"/>
      <c r="AN2" s="1077"/>
      <c r="AO2" s="1077"/>
      <c r="AP2" s="1077"/>
      <c r="AQ2" s="1077"/>
      <c r="AR2" s="1077"/>
      <c r="AS2" s="1077"/>
      <c r="AT2" s="1077"/>
      <c r="AU2" s="1077"/>
      <c r="AV2" s="1077"/>
      <c r="AW2" s="1077"/>
      <c r="AX2" s="1077"/>
      <c r="AY2" s="1077"/>
      <c r="AZ2" s="1077"/>
      <c r="BA2" s="1077"/>
      <c r="BB2" s="1077"/>
      <c r="BC2" s="1077"/>
      <c r="BD2" s="1077"/>
      <c r="BE2" s="1077"/>
      <c r="BF2" s="1077"/>
      <c r="BG2" s="1077"/>
      <c r="BH2" s="1077"/>
      <c r="BI2" s="1077"/>
      <c r="BJ2" s="1077"/>
      <c r="BK2" s="1077"/>
      <c r="BL2" s="1077"/>
      <c r="BM2" s="1077"/>
      <c r="BN2" s="1077"/>
      <c r="BO2" s="1077"/>
      <c r="BP2" s="1077"/>
      <c r="BQ2" s="1077"/>
      <c r="BR2" s="1077"/>
      <c r="BS2" s="1077"/>
      <c r="BT2" s="1077"/>
      <c r="BU2" s="1077"/>
    </row>
    <row r="3" spans="1:73" x14ac:dyDescent="0.2">
      <c r="A3" s="1077"/>
      <c r="B3" s="1080" t="s">
        <v>1177</v>
      </c>
      <c r="C3" s="1084">
        <f ca="1">+cap_factor</f>
        <v>0.9</v>
      </c>
      <c r="D3" s="1083">
        <v>0.05</v>
      </c>
      <c r="E3" s="1083">
        <v>0.05</v>
      </c>
      <c r="F3" s="1093">
        <f>1+D3</f>
        <v>1.05</v>
      </c>
      <c r="G3" s="1090">
        <f>1-E3</f>
        <v>0.95</v>
      </c>
      <c r="H3" s="1082">
        <f t="shared" ref="H3:H9" ca="1" si="0">+C3*F3</f>
        <v>0.94500000000000006</v>
      </c>
      <c r="I3" s="1082">
        <f t="shared" ref="I3:I9" ca="1" si="1">+C3*G3</f>
        <v>0.85499999999999998</v>
      </c>
      <c r="J3" s="1439"/>
      <c r="K3" s="1439"/>
      <c r="L3" s="1077"/>
      <c r="M3" s="1077"/>
      <c r="N3" s="1077"/>
      <c r="O3" s="1077"/>
      <c r="P3" s="1077"/>
      <c r="Q3" s="1077"/>
      <c r="R3" s="1077"/>
      <c r="S3" s="1077"/>
      <c r="T3" s="1077"/>
      <c r="U3" s="1077"/>
      <c r="V3" s="1077"/>
      <c r="W3" s="1077"/>
      <c r="X3" s="1077"/>
      <c r="Y3" s="1077"/>
      <c r="Z3" s="1077"/>
      <c r="AA3" s="1077"/>
      <c r="AB3" s="1077"/>
      <c r="AC3" s="1077"/>
      <c r="AD3" s="1077"/>
      <c r="AE3" s="1077"/>
      <c r="AF3" s="1077"/>
      <c r="AG3" s="1077"/>
      <c r="AH3" s="1077"/>
      <c r="AI3" s="1077"/>
      <c r="AJ3" s="1077"/>
      <c r="AK3" s="1077"/>
      <c r="AL3" s="1077"/>
      <c r="AM3" s="1077"/>
      <c r="AN3" s="1077"/>
      <c r="AO3" s="1077"/>
      <c r="AP3" s="1077"/>
      <c r="AQ3" s="1077"/>
      <c r="AR3" s="1077"/>
      <c r="AS3" s="1077"/>
      <c r="AT3" s="1077"/>
      <c r="AU3" s="1077"/>
      <c r="AV3" s="1077"/>
      <c r="AW3" s="1077"/>
      <c r="AX3" s="1077"/>
      <c r="AY3" s="1077"/>
      <c r="AZ3" s="1077"/>
      <c r="BA3" s="1077"/>
      <c r="BB3" s="1077"/>
      <c r="BC3" s="1077"/>
      <c r="BD3" s="1077"/>
      <c r="BE3" s="1077"/>
      <c r="BF3" s="1077"/>
      <c r="BG3" s="1077"/>
      <c r="BH3" s="1077"/>
      <c r="BI3" s="1077"/>
      <c r="BJ3" s="1077"/>
      <c r="BK3" s="1077"/>
      <c r="BL3" s="1077"/>
      <c r="BM3" s="1077"/>
      <c r="BN3" s="1077"/>
      <c r="BO3" s="1077"/>
      <c r="BP3" s="1077"/>
      <c r="BQ3" s="1077"/>
      <c r="BR3" s="1077"/>
      <c r="BS3" s="1077"/>
      <c r="BT3" s="1077"/>
      <c r="BU3" s="1077"/>
    </row>
    <row r="4" spans="1:73" x14ac:dyDescent="0.2">
      <c r="A4" s="1077"/>
      <c r="B4" s="1080" t="str">
        <f>+Input_Sheet_Template!B26</f>
        <v>Plant Design Capacity (kg of H2/day)</v>
      </c>
      <c r="C4" s="1085">
        <f ca="1">+design_cap</f>
        <v>155236</v>
      </c>
      <c r="D4" s="1083">
        <v>0.05</v>
      </c>
      <c r="E4" s="1083">
        <v>0.05</v>
      </c>
      <c r="F4" s="1093">
        <f>1+D4</f>
        <v>1.05</v>
      </c>
      <c r="G4" s="1090">
        <f>1-E4</f>
        <v>0.95</v>
      </c>
      <c r="H4" s="1087">
        <f t="shared" ca="1" si="0"/>
        <v>162997.80000000002</v>
      </c>
      <c r="I4" s="1087">
        <f t="shared" ca="1" si="1"/>
        <v>147474.19999999998</v>
      </c>
      <c r="J4" s="1439"/>
      <c r="K4" s="1439"/>
      <c r="L4" s="1077"/>
      <c r="M4" s="1077"/>
      <c r="N4" s="1077"/>
      <c r="O4" s="1077"/>
      <c r="P4" s="1077"/>
      <c r="Q4" s="1077"/>
      <c r="R4" s="1077"/>
      <c r="S4" s="1077"/>
      <c r="T4" s="1077"/>
      <c r="U4" s="1077"/>
      <c r="V4" s="1077"/>
      <c r="W4" s="1077"/>
      <c r="X4" s="1077"/>
      <c r="Y4" s="1077"/>
      <c r="Z4" s="1077"/>
      <c r="AA4" s="1077"/>
      <c r="AB4" s="1077"/>
      <c r="AC4" s="1077"/>
      <c r="AD4" s="1077"/>
      <c r="AE4" s="1077"/>
      <c r="AF4" s="1077"/>
      <c r="AG4" s="1077"/>
      <c r="AH4" s="1077"/>
      <c r="AI4" s="1077"/>
      <c r="AJ4" s="1077"/>
      <c r="AK4" s="1077"/>
      <c r="AL4" s="1077"/>
      <c r="AM4" s="1077"/>
      <c r="AN4" s="1077"/>
      <c r="AO4" s="1077"/>
      <c r="AP4" s="1077"/>
      <c r="AQ4" s="1077"/>
      <c r="AR4" s="1077"/>
      <c r="AS4" s="1077"/>
      <c r="AT4" s="1077"/>
      <c r="AU4" s="1077"/>
      <c r="AV4" s="1077"/>
      <c r="AW4" s="1077"/>
      <c r="AX4" s="1077"/>
      <c r="AY4" s="1077"/>
      <c r="AZ4" s="1077"/>
      <c r="BA4" s="1077"/>
      <c r="BB4" s="1077"/>
      <c r="BC4" s="1077"/>
      <c r="BD4" s="1077"/>
      <c r="BE4" s="1077"/>
      <c r="BF4" s="1077"/>
      <c r="BG4" s="1077"/>
      <c r="BH4" s="1077"/>
      <c r="BI4" s="1077"/>
      <c r="BJ4" s="1077"/>
      <c r="BK4" s="1077"/>
      <c r="BL4" s="1077"/>
      <c r="BM4" s="1077"/>
      <c r="BN4" s="1077"/>
      <c r="BO4" s="1077"/>
      <c r="BP4" s="1077"/>
      <c r="BQ4" s="1077"/>
      <c r="BR4" s="1077"/>
      <c r="BS4" s="1077"/>
      <c r="BT4" s="1077"/>
      <c r="BU4" s="1077"/>
    </row>
    <row r="5" spans="1:73" x14ac:dyDescent="0.2">
      <c r="A5" s="1077"/>
      <c r="B5" s="1080" t="s">
        <v>1178</v>
      </c>
      <c r="C5" s="1084">
        <f ca="1">+real_irr</f>
        <v>0.08</v>
      </c>
      <c r="D5" s="1083">
        <v>0.05</v>
      </c>
      <c r="E5" s="1083">
        <v>0.05</v>
      </c>
      <c r="F5" s="1093">
        <f>1-D5</f>
        <v>0.95</v>
      </c>
      <c r="G5" s="1090">
        <f>1+E5</f>
        <v>1.05</v>
      </c>
      <c r="H5" s="1082">
        <f t="shared" ca="1" si="0"/>
        <v>7.5999999999999998E-2</v>
      </c>
      <c r="I5" s="1082">
        <f t="shared" ca="1" si="1"/>
        <v>8.4000000000000005E-2</v>
      </c>
      <c r="J5" s="1439"/>
      <c r="K5" s="1439"/>
      <c r="L5" s="1077"/>
      <c r="M5" s="1077"/>
      <c r="N5" s="1077"/>
      <c r="O5" s="1077"/>
      <c r="P5" s="1077"/>
      <c r="Q5" s="1077"/>
      <c r="R5" s="1077"/>
      <c r="S5" s="1077"/>
      <c r="T5" s="1077"/>
      <c r="U5" s="1077"/>
      <c r="V5" s="1077"/>
      <c r="W5" s="1077"/>
      <c r="X5" s="1077"/>
      <c r="Y5" s="1077"/>
      <c r="Z5" s="1077"/>
      <c r="AA5" s="1077"/>
      <c r="AB5" s="1077"/>
      <c r="AC5" s="1077"/>
      <c r="AD5" s="1077"/>
      <c r="AE5" s="1077"/>
      <c r="AF5" s="1077"/>
      <c r="AG5" s="1077"/>
      <c r="AH5" s="1077"/>
      <c r="AI5" s="1077"/>
      <c r="AJ5" s="1077"/>
      <c r="AK5" s="1077"/>
      <c r="AL5" s="1077"/>
      <c r="AM5" s="1077"/>
      <c r="AN5" s="1077"/>
      <c r="AO5" s="1077"/>
      <c r="AP5" s="1077"/>
      <c r="AQ5" s="1077"/>
      <c r="AR5" s="1077"/>
      <c r="AS5" s="1077"/>
      <c r="AT5" s="1077"/>
      <c r="AU5" s="1077"/>
      <c r="AV5" s="1077"/>
      <c r="AW5" s="1077"/>
      <c r="AX5" s="1077"/>
      <c r="AY5" s="1077"/>
      <c r="AZ5" s="1077"/>
      <c r="BA5" s="1077"/>
      <c r="BB5" s="1077"/>
      <c r="BC5" s="1077"/>
      <c r="BD5" s="1077"/>
      <c r="BE5" s="1077"/>
      <c r="BF5" s="1077"/>
      <c r="BG5" s="1077"/>
      <c r="BH5" s="1077"/>
      <c r="BI5" s="1077"/>
      <c r="BJ5" s="1077"/>
      <c r="BK5" s="1077"/>
      <c r="BL5" s="1077"/>
      <c r="BM5" s="1077"/>
      <c r="BN5" s="1077"/>
      <c r="BO5" s="1077"/>
      <c r="BP5" s="1077"/>
      <c r="BQ5" s="1077"/>
      <c r="BR5" s="1077"/>
      <c r="BS5" s="1077"/>
      <c r="BT5" s="1077"/>
      <c r="BU5" s="1077"/>
    </row>
    <row r="6" spans="1:73" x14ac:dyDescent="0.2">
      <c r="A6" s="1077"/>
      <c r="B6" s="1080" t="s">
        <v>1187</v>
      </c>
      <c r="C6" s="1180">
        <v>1</v>
      </c>
      <c r="D6" s="1083">
        <v>0.05</v>
      </c>
      <c r="E6" s="1083">
        <v>0.05</v>
      </c>
      <c r="F6" s="1093">
        <f>1-D6</f>
        <v>0.95</v>
      </c>
      <c r="G6" s="1090">
        <f t="shared" ref="G6:G9" si="2">1+E6</f>
        <v>1.05</v>
      </c>
      <c r="H6" s="1176">
        <f t="shared" si="0"/>
        <v>0.95</v>
      </c>
      <c r="I6" s="1176">
        <f t="shared" si="1"/>
        <v>1.05</v>
      </c>
      <c r="J6" s="1439"/>
      <c r="K6" s="1439"/>
      <c r="L6" s="1077"/>
      <c r="M6" s="1077"/>
      <c r="N6" s="1077"/>
      <c r="O6" s="1077"/>
      <c r="P6" s="1077"/>
      <c r="Q6" s="1077"/>
      <c r="R6" s="1077"/>
      <c r="S6" s="1077"/>
      <c r="T6" s="1077"/>
      <c r="U6" s="1077"/>
      <c r="V6" s="1077"/>
      <c r="W6" s="1077"/>
      <c r="X6" s="1077"/>
      <c r="Y6" s="1077"/>
      <c r="Z6" s="1077"/>
      <c r="AA6" s="1077"/>
      <c r="AB6" s="1077"/>
      <c r="AC6" s="1077"/>
      <c r="AD6" s="1077"/>
      <c r="AE6" s="1077"/>
      <c r="AF6" s="1077"/>
      <c r="AG6" s="1077"/>
      <c r="AH6" s="1077"/>
      <c r="AI6" s="1077"/>
      <c r="AJ6" s="1077"/>
      <c r="AK6" s="1077"/>
      <c r="AL6" s="1077"/>
      <c r="AM6" s="1077"/>
      <c r="AN6" s="1077"/>
      <c r="AO6" s="1077"/>
      <c r="AP6" s="1077"/>
      <c r="AQ6" s="1077"/>
      <c r="AR6" s="1077"/>
      <c r="AS6" s="1077"/>
      <c r="AT6" s="1077"/>
      <c r="AU6" s="1077"/>
      <c r="AV6" s="1077"/>
      <c r="AW6" s="1077"/>
      <c r="AX6" s="1077"/>
      <c r="AY6" s="1077"/>
      <c r="AZ6" s="1077"/>
      <c r="BA6" s="1077"/>
      <c r="BB6" s="1077"/>
      <c r="BC6" s="1077"/>
      <c r="BD6" s="1077"/>
      <c r="BE6" s="1077"/>
      <c r="BF6" s="1077"/>
      <c r="BG6" s="1077"/>
      <c r="BH6" s="1077"/>
      <c r="BI6" s="1077"/>
      <c r="BJ6" s="1077"/>
      <c r="BK6" s="1077"/>
      <c r="BL6" s="1077"/>
      <c r="BM6" s="1077"/>
      <c r="BN6" s="1077"/>
      <c r="BO6" s="1077"/>
      <c r="BP6" s="1077"/>
      <c r="BQ6" s="1077"/>
      <c r="BR6" s="1077"/>
      <c r="BS6" s="1077"/>
      <c r="BT6" s="1077"/>
      <c r="BU6" s="1077"/>
    </row>
    <row r="7" spans="1:73" x14ac:dyDescent="0.2">
      <c r="A7" s="1077"/>
      <c r="B7" s="1080" t="s">
        <v>1188</v>
      </c>
      <c r="C7" s="1180">
        <v>1</v>
      </c>
      <c r="D7" s="1083">
        <v>0.05</v>
      </c>
      <c r="E7" s="1083">
        <v>0.05</v>
      </c>
      <c r="F7" s="1093">
        <f>1-D7</f>
        <v>0.95</v>
      </c>
      <c r="G7" s="1090">
        <f t="shared" si="2"/>
        <v>1.05</v>
      </c>
      <c r="H7" s="1176">
        <f t="shared" si="0"/>
        <v>0.95</v>
      </c>
      <c r="I7" s="1176">
        <f t="shared" si="1"/>
        <v>1.05</v>
      </c>
      <c r="J7" s="1439"/>
      <c r="K7" s="1439"/>
      <c r="L7" s="1077"/>
      <c r="M7" s="1077"/>
      <c r="N7" s="1077"/>
      <c r="O7" s="1077"/>
      <c r="P7" s="1077"/>
      <c r="Q7" s="1077"/>
      <c r="R7" s="1077"/>
      <c r="S7" s="1077"/>
      <c r="T7" s="1077"/>
      <c r="U7" s="1077"/>
      <c r="V7" s="1077"/>
      <c r="W7" s="1077"/>
      <c r="X7" s="1077"/>
      <c r="Y7" s="1077"/>
      <c r="Z7" s="1077"/>
      <c r="AA7" s="1077"/>
      <c r="AB7" s="1077"/>
      <c r="AC7" s="1077"/>
      <c r="AD7" s="1077"/>
      <c r="AE7" s="1077"/>
      <c r="AF7" s="1077"/>
      <c r="AG7" s="1077"/>
      <c r="AH7" s="1077"/>
      <c r="AI7" s="1077"/>
      <c r="AJ7" s="1077"/>
      <c r="AK7" s="1077"/>
      <c r="AL7" s="1077"/>
      <c r="AM7" s="1077"/>
      <c r="AN7" s="1077"/>
      <c r="AO7" s="1077"/>
      <c r="AP7" s="1077"/>
      <c r="AQ7" s="1077"/>
      <c r="AR7" s="1077"/>
      <c r="AS7" s="1077"/>
      <c r="AT7" s="1077"/>
      <c r="AU7" s="1077"/>
      <c r="AV7" s="1077"/>
      <c r="AW7" s="1077"/>
      <c r="AX7" s="1077"/>
      <c r="AY7" s="1077"/>
      <c r="AZ7" s="1077"/>
      <c r="BA7" s="1077"/>
      <c r="BB7" s="1077"/>
      <c r="BC7" s="1077"/>
      <c r="BD7" s="1077"/>
      <c r="BE7" s="1077"/>
      <c r="BF7" s="1077"/>
      <c r="BG7" s="1077"/>
      <c r="BH7" s="1077"/>
      <c r="BI7" s="1077"/>
      <c r="BJ7" s="1077"/>
      <c r="BK7" s="1077"/>
      <c r="BL7" s="1077"/>
      <c r="BM7" s="1077"/>
      <c r="BN7" s="1077"/>
      <c r="BO7" s="1077"/>
      <c r="BP7" s="1077"/>
      <c r="BQ7" s="1077"/>
      <c r="BR7" s="1077"/>
      <c r="BS7" s="1077"/>
      <c r="BT7" s="1077"/>
      <c r="BU7" s="1077"/>
    </row>
    <row r="8" spans="1:73" x14ac:dyDescent="0.2">
      <c r="A8" s="1077"/>
      <c r="B8" s="1080" t="s">
        <v>117</v>
      </c>
      <c r="C8" s="1085">
        <f ca="1">+total_cap</f>
        <v>208474393.59898299</v>
      </c>
      <c r="D8" s="1083">
        <v>0.05</v>
      </c>
      <c r="E8" s="1083">
        <v>0.05</v>
      </c>
      <c r="F8" s="1093">
        <f>1-D8</f>
        <v>0.95</v>
      </c>
      <c r="G8" s="1090">
        <f t="shared" si="2"/>
        <v>1.05</v>
      </c>
      <c r="H8" s="1087">
        <f t="shared" ca="1" si="0"/>
        <v>198050673.91903383</v>
      </c>
      <c r="I8" s="1087">
        <f t="shared" ca="1" si="1"/>
        <v>218898113.27893215</v>
      </c>
      <c r="J8" s="1439"/>
      <c r="K8" s="1439"/>
      <c r="L8" s="1077"/>
      <c r="M8" s="1077"/>
      <c r="N8" s="1077"/>
      <c r="O8" s="1077"/>
      <c r="P8" s="1077"/>
      <c r="Q8" s="1077"/>
      <c r="R8" s="1077"/>
      <c r="S8" s="1077"/>
      <c r="T8" s="1077"/>
      <c r="U8" s="1077"/>
      <c r="V8" s="1077"/>
      <c r="W8" s="1077"/>
      <c r="X8" s="1077"/>
      <c r="Y8" s="1077"/>
      <c r="Z8" s="1077"/>
      <c r="AA8" s="1077"/>
      <c r="AB8" s="1077"/>
      <c r="AC8" s="1077"/>
      <c r="AD8" s="1077"/>
      <c r="AE8" s="1077"/>
      <c r="AF8" s="1077"/>
      <c r="AG8" s="1077"/>
      <c r="AH8" s="1077"/>
      <c r="AI8" s="1077"/>
      <c r="AJ8" s="1077"/>
      <c r="AK8" s="1077"/>
      <c r="AL8" s="1077"/>
      <c r="AM8" s="1077"/>
      <c r="AN8" s="1077"/>
      <c r="AO8" s="1077"/>
      <c r="AP8" s="1077"/>
      <c r="AQ8" s="1077"/>
      <c r="AR8" s="1077"/>
      <c r="AS8" s="1077"/>
      <c r="AT8" s="1077"/>
      <c r="AU8" s="1077"/>
      <c r="AV8" s="1077"/>
      <c r="AW8" s="1077"/>
      <c r="AX8" s="1077"/>
      <c r="AY8" s="1077"/>
      <c r="AZ8" s="1077"/>
      <c r="BA8" s="1077"/>
      <c r="BB8" s="1077"/>
      <c r="BC8" s="1077"/>
      <c r="BD8" s="1077"/>
      <c r="BE8" s="1077"/>
      <c r="BF8" s="1077"/>
      <c r="BG8" s="1077"/>
      <c r="BH8" s="1077"/>
      <c r="BI8" s="1077"/>
      <c r="BJ8" s="1077"/>
      <c r="BK8" s="1077"/>
      <c r="BL8" s="1077"/>
      <c r="BM8" s="1077"/>
      <c r="BN8" s="1077"/>
      <c r="BO8" s="1077"/>
      <c r="BP8" s="1077"/>
      <c r="BQ8" s="1077"/>
      <c r="BR8" s="1077"/>
      <c r="BS8" s="1077"/>
      <c r="BT8" s="1077"/>
      <c r="BU8" s="1077"/>
    </row>
    <row r="9" spans="1:73" x14ac:dyDescent="0.2">
      <c r="A9" s="1077"/>
      <c r="B9" s="1080" t="s">
        <v>634</v>
      </c>
      <c r="C9" s="1085">
        <f ca="1">+fixed</f>
        <v>12676323.203777689</v>
      </c>
      <c r="D9" s="1083">
        <v>0.05</v>
      </c>
      <c r="E9" s="1083">
        <v>0.05</v>
      </c>
      <c r="F9" s="1093">
        <f>1-D9</f>
        <v>0.95</v>
      </c>
      <c r="G9" s="1090">
        <f t="shared" si="2"/>
        <v>1.05</v>
      </c>
      <c r="H9" s="1087">
        <f t="shared" ca="1" si="0"/>
        <v>12042507.043588804</v>
      </c>
      <c r="I9" s="1087">
        <f t="shared" ca="1" si="1"/>
        <v>13310139.363966575</v>
      </c>
      <c r="J9" s="1439"/>
      <c r="K9" s="1439"/>
      <c r="L9" s="1077"/>
      <c r="M9" s="1077"/>
      <c r="N9" s="1077"/>
      <c r="O9" s="1077"/>
      <c r="P9" s="1077"/>
      <c r="Q9" s="1077"/>
      <c r="R9" s="1077"/>
      <c r="S9" s="1077"/>
      <c r="T9" s="1077"/>
      <c r="U9" s="1077"/>
      <c r="V9" s="1077"/>
      <c r="W9" s="1077"/>
      <c r="X9" s="1077"/>
      <c r="Y9" s="1077"/>
      <c r="Z9" s="1077"/>
      <c r="AA9" s="1077"/>
      <c r="AB9" s="1077"/>
      <c r="AC9" s="1077"/>
      <c r="AD9" s="1077"/>
      <c r="AE9" s="1077"/>
      <c r="AF9" s="1077"/>
      <c r="AG9" s="1077"/>
      <c r="AH9" s="1077"/>
      <c r="AI9" s="1077"/>
      <c r="AJ9" s="1077"/>
      <c r="AK9" s="1077"/>
      <c r="AL9" s="1077"/>
      <c r="AM9" s="1077"/>
      <c r="AN9" s="1077"/>
      <c r="AO9" s="1077"/>
      <c r="AP9" s="1077"/>
      <c r="AQ9" s="1077"/>
      <c r="AR9" s="1077"/>
      <c r="AS9" s="1077"/>
      <c r="AT9" s="1077"/>
      <c r="AU9" s="1077"/>
      <c r="AV9" s="1077"/>
      <c r="AW9" s="1077"/>
      <c r="AX9" s="1077"/>
      <c r="AY9" s="1077"/>
      <c r="AZ9" s="1077"/>
      <c r="BA9" s="1077"/>
      <c r="BB9" s="1077"/>
      <c r="BC9" s="1077"/>
      <c r="BD9" s="1077"/>
      <c r="BE9" s="1077"/>
      <c r="BF9" s="1077"/>
      <c r="BG9" s="1077"/>
      <c r="BH9" s="1077"/>
      <c r="BI9" s="1077"/>
      <c r="BJ9" s="1077"/>
      <c r="BK9" s="1077"/>
      <c r="BL9" s="1077"/>
      <c r="BM9" s="1077"/>
      <c r="BN9" s="1077"/>
      <c r="BO9" s="1077"/>
      <c r="BP9" s="1077"/>
      <c r="BQ9" s="1077"/>
      <c r="BR9" s="1077"/>
      <c r="BS9" s="1077"/>
      <c r="BT9" s="1077"/>
      <c r="BU9" s="1077"/>
    </row>
    <row r="10" spans="1:73" x14ac:dyDescent="0.2">
      <c r="A10" s="1077"/>
      <c r="B10" s="1077"/>
      <c r="C10" s="1077"/>
      <c r="D10" s="1077"/>
      <c r="E10" s="1077"/>
      <c r="F10" s="1077"/>
      <c r="G10" s="1077"/>
      <c r="H10" s="1077"/>
      <c r="I10" s="1077"/>
      <c r="J10" s="1077"/>
      <c r="K10" s="1077"/>
      <c r="L10" s="1077"/>
      <c r="M10" s="1077"/>
      <c r="N10" s="1077"/>
      <c r="O10" s="1077"/>
      <c r="P10" s="1077"/>
      <c r="Q10" s="1077"/>
      <c r="R10" s="1077"/>
      <c r="S10" s="1077"/>
      <c r="T10" s="1077"/>
      <c r="U10" s="1077"/>
      <c r="V10" s="1077"/>
      <c r="W10" s="1077"/>
      <c r="X10" s="1077"/>
      <c r="Y10" s="1077"/>
      <c r="Z10" s="1077"/>
      <c r="AA10" s="1077"/>
      <c r="AB10" s="1077"/>
      <c r="AC10" s="1077"/>
      <c r="AD10" s="1077"/>
      <c r="AE10" s="1077"/>
      <c r="AF10" s="1077"/>
      <c r="AG10" s="1077"/>
      <c r="AH10" s="1077"/>
      <c r="AI10" s="1077"/>
      <c r="AJ10" s="1077"/>
      <c r="AK10" s="1077"/>
      <c r="AL10" s="1077"/>
      <c r="AM10" s="1077"/>
      <c r="AN10" s="1077"/>
      <c r="AO10" s="1077"/>
      <c r="AP10" s="1077"/>
      <c r="AQ10" s="1077"/>
      <c r="AR10" s="1077"/>
      <c r="AS10" s="1077"/>
      <c r="AT10" s="1077"/>
      <c r="AU10" s="1077"/>
      <c r="AV10" s="1077"/>
      <c r="AW10" s="1077"/>
      <c r="AX10" s="1077"/>
      <c r="AY10" s="1077"/>
      <c r="AZ10" s="1077"/>
      <c r="BA10" s="1077"/>
      <c r="BB10" s="1077"/>
      <c r="BC10" s="1077"/>
      <c r="BD10" s="1077"/>
      <c r="BE10" s="1077"/>
      <c r="BF10" s="1077"/>
      <c r="BG10" s="1077"/>
      <c r="BH10" s="1077"/>
      <c r="BI10" s="1077"/>
      <c r="BJ10" s="1077"/>
      <c r="BK10" s="1077"/>
      <c r="BL10" s="1077"/>
      <c r="BM10" s="1077"/>
      <c r="BN10" s="1077"/>
      <c r="BO10" s="1077"/>
      <c r="BP10" s="1077"/>
      <c r="BQ10" s="1077"/>
      <c r="BR10" s="1077"/>
      <c r="BS10" s="1077"/>
      <c r="BT10" s="1077"/>
      <c r="BU10" s="1077"/>
    </row>
    <row r="11" spans="1:73" x14ac:dyDescent="0.2">
      <c r="A11" s="1077"/>
      <c r="B11" s="1605" t="s">
        <v>1406</v>
      </c>
      <c r="C11" s="1605"/>
      <c r="D11" s="1083" t="s">
        <v>23</v>
      </c>
      <c r="E11" s="1451" t="str">
        <f>IF(RunRiskAnalysis="Yes","          Please click Update Charts and Risk Analysis button before using results below","")</f>
        <v xml:space="preserve">          Please click Update Charts and Risk Analysis button before using results below</v>
      </c>
      <c r="F11" s="1077"/>
      <c r="H11" s="1077"/>
      <c r="I11" s="1077"/>
      <c r="J11" s="1077"/>
      <c r="K11" s="1077"/>
      <c r="L11" s="1077"/>
      <c r="M11" s="1077"/>
      <c r="N11" s="1077"/>
      <c r="O11" s="1077"/>
      <c r="P11" s="1077"/>
      <c r="Q11" s="1077"/>
      <c r="R11" s="1077"/>
      <c r="S11" s="1077"/>
      <c r="T11" s="1077"/>
      <c r="U11" s="1077"/>
      <c r="V11" s="1077"/>
      <c r="W11" s="1077"/>
      <c r="X11" s="1077"/>
      <c r="Y11" s="1077"/>
      <c r="Z11" s="1077"/>
      <c r="AA11" s="1077"/>
      <c r="AB11" s="1077"/>
      <c r="AC11" s="1077"/>
      <c r="AD11" s="1077"/>
      <c r="AE11" s="1077"/>
      <c r="AF11" s="1077"/>
      <c r="AG11" s="1077"/>
      <c r="AH11" s="1077"/>
      <c r="AI11" s="1077"/>
      <c r="AJ11" s="1077"/>
      <c r="AK11" s="1077"/>
      <c r="AL11" s="1077"/>
      <c r="AM11" s="1077"/>
      <c r="AN11" s="1077"/>
      <c r="AO11" s="1077"/>
      <c r="AP11" s="1077"/>
      <c r="AQ11" s="1077"/>
      <c r="AR11" s="1077"/>
      <c r="AS11" s="1077"/>
      <c r="AT11" s="1077"/>
      <c r="AU11" s="1077"/>
      <c r="AV11" s="1077"/>
      <c r="AW11" s="1077"/>
      <c r="AX11" s="1077"/>
      <c r="AY11" s="1077"/>
      <c r="AZ11" s="1077"/>
      <c r="BA11" s="1077"/>
      <c r="BB11" s="1077"/>
      <c r="BC11" s="1077"/>
      <c r="BD11" s="1077"/>
      <c r="BE11" s="1077"/>
      <c r="BF11" s="1077"/>
      <c r="BG11" s="1077"/>
      <c r="BH11" s="1077"/>
      <c r="BI11" s="1077"/>
      <c r="BJ11" s="1077"/>
      <c r="BK11" s="1077"/>
      <c r="BL11" s="1077"/>
      <c r="BM11" s="1077"/>
      <c r="BN11" s="1077"/>
      <c r="BO11" s="1077"/>
      <c r="BP11" s="1077"/>
      <c r="BQ11" s="1077"/>
      <c r="BR11" s="1077"/>
      <c r="BS11" s="1077"/>
      <c r="BT11" s="1077"/>
      <c r="BU11" s="1077"/>
    </row>
    <row r="12" spans="1:73" ht="12.75" customHeight="1" x14ac:dyDescent="0.2">
      <c r="A12" s="1077"/>
      <c r="B12" s="1077"/>
      <c r="C12" s="1077"/>
      <c r="D12" s="1077"/>
      <c r="E12" s="1077"/>
      <c r="F12" s="1077"/>
      <c r="G12" s="1077"/>
      <c r="H12" s="1077"/>
      <c r="I12" s="1077"/>
      <c r="J12" s="1077"/>
      <c r="K12" s="1077"/>
      <c r="L12" s="1077"/>
      <c r="M12" s="1077"/>
      <c r="N12" s="1077"/>
      <c r="P12" s="1605" t="s">
        <v>1325</v>
      </c>
      <c r="Q12" s="1605"/>
      <c r="R12" s="1606" t="s">
        <v>1348</v>
      </c>
      <c r="S12" s="1606"/>
      <c r="T12" s="1606"/>
      <c r="U12" s="1606"/>
      <c r="V12" s="1077"/>
      <c r="W12" s="1077"/>
      <c r="X12" s="1077"/>
      <c r="Y12" s="1077"/>
      <c r="Z12" s="1077"/>
      <c r="AA12" s="1077"/>
      <c r="AB12" s="1077"/>
      <c r="AC12" s="1077"/>
      <c r="AD12" s="1077"/>
      <c r="AE12" s="1077"/>
      <c r="AF12" s="1077"/>
      <c r="AG12" s="1077"/>
      <c r="AH12" s="1077"/>
      <c r="AI12" s="1077"/>
      <c r="AJ12" s="1077"/>
      <c r="AK12" s="1077"/>
      <c r="AL12" s="1077"/>
      <c r="AM12" s="1077"/>
      <c r="AN12" s="1077"/>
      <c r="AO12" s="1077"/>
      <c r="AP12" s="1077"/>
      <c r="AQ12" s="1077"/>
      <c r="AR12" s="1077"/>
      <c r="AS12" s="1077"/>
      <c r="AT12" s="1077"/>
      <c r="AU12" s="1077"/>
      <c r="AV12" s="1077"/>
      <c r="AW12" s="1077"/>
      <c r="AX12" s="1077"/>
      <c r="AY12" s="1077"/>
      <c r="AZ12" s="1077"/>
      <c r="BA12" s="1077"/>
      <c r="BB12" s="1077"/>
      <c r="BC12" s="1077"/>
      <c r="BD12" s="1077"/>
      <c r="BE12" s="1077"/>
      <c r="BF12" s="1077"/>
      <c r="BG12" s="1077"/>
      <c r="BH12" s="1077"/>
      <c r="BI12" s="1077"/>
      <c r="BJ12" s="1077"/>
      <c r="BK12" s="1077"/>
      <c r="BL12" s="1077"/>
      <c r="BM12" s="1077"/>
      <c r="BN12" s="1077"/>
      <c r="BO12" s="1077"/>
      <c r="BP12" s="1077"/>
      <c r="BQ12" s="1077"/>
      <c r="BR12" s="1077"/>
      <c r="BS12" s="1077"/>
      <c r="BT12" s="1077"/>
      <c r="BU12" s="1077"/>
    </row>
    <row r="13" spans="1:73" x14ac:dyDescent="0.2">
      <c r="A13" s="1077"/>
      <c r="B13" s="1077"/>
      <c r="C13" s="1077"/>
      <c r="D13" s="1077"/>
      <c r="E13" s="1077"/>
      <c r="F13" s="1077"/>
      <c r="G13" s="1077"/>
      <c r="H13" s="1077"/>
      <c r="I13" s="1077"/>
      <c r="J13" s="1077"/>
      <c r="K13" s="1077"/>
      <c r="L13" s="1077"/>
      <c r="M13" s="1077"/>
      <c r="N13" s="1077"/>
      <c r="O13" s="1077"/>
      <c r="P13" s="1077"/>
      <c r="Q13" s="1077"/>
      <c r="R13" s="1077"/>
      <c r="S13" s="1077"/>
      <c r="T13" s="1077"/>
      <c r="U13" s="1077"/>
      <c r="V13" s="1088" t="s">
        <v>1311</v>
      </c>
      <c r="W13" s="1088" t="s">
        <v>1093</v>
      </c>
      <c r="X13" s="1077"/>
      <c r="Y13" s="1077"/>
      <c r="Z13" s="1077"/>
      <c r="AA13" s="1077"/>
      <c r="AB13" s="1077"/>
      <c r="AC13" s="1077"/>
      <c r="AD13" s="1077"/>
      <c r="AE13" s="1077"/>
      <c r="AF13" s="1077"/>
      <c r="AG13" s="1077"/>
      <c r="AH13" s="1077"/>
      <c r="AI13" s="1077"/>
      <c r="AJ13" s="1077"/>
      <c r="AK13" s="1077"/>
      <c r="AL13" s="1077"/>
      <c r="AM13" s="1077"/>
      <c r="AN13" s="1077"/>
      <c r="AO13" s="1077"/>
      <c r="AP13" s="1077"/>
      <c r="AQ13" s="1077"/>
      <c r="AR13" s="1077"/>
      <c r="AS13" s="1077"/>
      <c r="AT13" s="1077"/>
      <c r="AU13" s="1077"/>
      <c r="AV13" s="1077"/>
      <c r="AW13" s="1077"/>
      <c r="AX13" s="1077"/>
      <c r="AY13" s="1077"/>
      <c r="AZ13" s="1077"/>
      <c r="BA13" s="1077"/>
      <c r="BB13" s="1077"/>
      <c r="BC13" s="1077"/>
      <c r="BD13" s="1077"/>
      <c r="BE13" s="1077"/>
      <c r="BF13" s="1077"/>
      <c r="BG13" s="1077"/>
      <c r="BH13" s="1077"/>
      <c r="BI13" s="1077"/>
      <c r="BJ13" s="1077"/>
      <c r="BK13" s="1077"/>
      <c r="BL13" s="1077"/>
      <c r="BM13" s="1077"/>
      <c r="BN13" s="1077"/>
      <c r="BO13" s="1077"/>
      <c r="BP13" s="1077"/>
      <c r="BQ13" s="1077"/>
      <c r="BR13" s="1077"/>
      <c r="BS13" s="1077"/>
      <c r="BT13" s="1077"/>
      <c r="BU13" s="1077"/>
    </row>
    <row r="14" spans="1:73" ht="11.25" customHeight="1" x14ac:dyDescent="0.2">
      <c r="A14" s="1077"/>
      <c r="B14" s="1077"/>
      <c r="C14" s="1077"/>
      <c r="D14" s="1077"/>
      <c r="E14" s="1077"/>
      <c r="F14" s="1077"/>
      <c r="G14" s="1077"/>
      <c r="H14" s="1077"/>
      <c r="I14" s="1077"/>
      <c r="J14" s="1077"/>
      <c r="K14" s="1077"/>
      <c r="L14" s="1077"/>
      <c r="M14" s="1077"/>
      <c r="N14" s="1077"/>
      <c r="O14" s="1077"/>
      <c r="P14" s="1077"/>
      <c r="Q14" s="1077"/>
      <c r="R14" s="1077"/>
      <c r="S14" s="1077"/>
      <c r="T14" s="1077"/>
      <c r="U14" s="1077"/>
      <c r="V14" s="1090">
        <v>0</v>
      </c>
      <c r="W14" s="1091">
        <f ca="1">+MIN(OFFSET($B$251:$B$2250,0,$C$194))*$C$198</f>
        <v>2.3045310020950209</v>
      </c>
      <c r="X14" s="1077"/>
      <c r="Y14" s="1077"/>
      <c r="Z14" s="1077"/>
      <c r="AA14" s="1077"/>
      <c r="AB14" s="1077"/>
      <c r="AC14" s="1077"/>
      <c r="AD14" s="1077"/>
      <c r="AE14" s="1077"/>
      <c r="AF14" s="1077"/>
      <c r="AG14" s="1077"/>
      <c r="AH14" s="1077"/>
      <c r="AI14" s="1077"/>
      <c r="AJ14" s="1077"/>
      <c r="AK14" s="1077"/>
      <c r="AL14" s="1077"/>
      <c r="AM14" s="1077"/>
      <c r="AN14" s="1077"/>
      <c r="AO14" s="1077"/>
      <c r="AP14" s="1077"/>
      <c r="AQ14" s="1077"/>
      <c r="AR14" s="1077"/>
      <c r="AS14" s="1077"/>
      <c r="AT14" s="1077"/>
      <c r="AU14" s="1077"/>
      <c r="AV14" s="1077"/>
      <c r="AW14" s="1077"/>
      <c r="AX14" s="1077"/>
      <c r="AY14" s="1077"/>
      <c r="AZ14" s="1077"/>
      <c r="BA14" s="1077"/>
      <c r="BB14" s="1077"/>
      <c r="BC14" s="1077"/>
      <c r="BD14" s="1077"/>
      <c r="BE14" s="1077"/>
      <c r="BF14" s="1077"/>
      <c r="BG14" s="1077"/>
      <c r="BH14" s="1077"/>
      <c r="BI14" s="1077"/>
      <c r="BJ14" s="1077"/>
      <c r="BK14" s="1077"/>
      <c r="BL14" s="1077"/>
      <c r="BM14" s="1077"/>
      <c r="BN14" s="1077"/>
      <c r="BO14" s="1077"/>
      <c r="BP14" s="1077"/>
      <c r="BQ14" s="1077"/>
      <c r="BR14" s="1077"/>
      <c r="BS14" s="1077"/>
      <c r="BT14" s="1077"/>
      <c r="BU14" s="1077"/>
    </row>
    <row r="15" spans="1:73" x14ac:dyDescent="0.2">
      <c r="A15" s="1077"/>
      <c r="B15" s="1077"/>
      <c r="C15" s="1077"/>
      <c r="D15" s="1077"/>
      <c r="E15" s="1077"/>
      <c r="F15" s="1077"/>
      <c r="G15" s="1077"/>
      <c r="H15" s="1077"/>
      <c r="I15" s="1077"/>
      <c r="J15" s="1077"/>
      <c r="K15" s="1077"/>
      <c r="L15" s="1077"/>
      <c r="M15" s="1077"/>
      <c r="N15" s="1077"/>
      <c r="O15" s="1077"/>
      <c r="P15" s="1077"/>
      <c r="Q15" s="1077"/>
      <c r="R15" s="1077"/>
      <c r="S15" s="1077"/>
      <c r="T15" s="1077"/>
      <c r="U15" s="1077"/>
      <c r="V15" s="1449">
        <v>0.05</v>
      </c>
      <c r="W15" s="1450">
        <f t="shared" ref="W15:W33" ca="1" si="3">+PERCENTILE(OFFSET($B$251:$B$2250,0,$C$194),V15)*$C$198</f>
        <v>2.3513998089549628</v>
      </c>
      <c r="X15" s="1077"/>
      <c r="Y15" s="1077"/>
      <c r="Z15" s="1077"/>
      <c r="AA15" s="1077"/>
      <c r="AB15" s="1077"/>
      <c r="AC15" s="1077"/>
      <c r="AD15" s="1077"/>
      <c r="AE15" s="1077"/>
      <c r="AF15" s="1077"/>
      <c r="AG15" s="1077"/>
      <c r="AH15" s="1077"/>
      <c r="AI15" s="1077"/>
      <c r="AJ15" s="1077"/>
      <c r="AK15" s="1077"/>
      <c r="AL15" s="1077"/>
      <c r="AM15" s="1077"/>
      <c r="AN15" s="1077"/>
      <c r="AO15" s="1077"/>
      <c r="AP15" s="1077"/>
      <c r="AQ15" s="1077"/>
      <c r="AR15" s="1077"/>
      <c r="AS15" s="1077"/>
      <c r="AT15" s="1077"/>
      <c r="AU15" s="1077"/>
      <c r="AV15" s="1077"/>
      <c r="AW15" s="1077"/>
      <c r="AX15" s="1077"/>
      <c r="AY15" s="1077"/>
      <c r="AZ15" s="1077"/>
      <c r="BA15" s="1077"/>
      <c r="BB15" s="1077"/>
      <c r="BC15" s="1077"/>
      <c r="BD15" s="1077"/>
      <c r="BE15" s="1077"/>
      <c r="BF15" s="1077"/>
      <c r="BG15" s="1077"/>
      <c r="BH15" s="1077"/>
      <c r="BI15" s="1077"/>
      <c r="BJ15" s="1077"/>
      <c r="BK15" s="1077"/>
      <c r="BL15" s="1077"/>
      <c r="BM15" s="1077"/>
      <c r="BN15" s="1077"/>
      <c r="BO15" s="1077"/>
      <c r="BP15" s="1077"/>
      <c r="BQ15" s="1077"/>
      <c r="BR15" s="1077"/>
      <c r="BS15" s="1077"/>
      <c r="BT15" s="1077"/>
      <c r="BU15" s="1077"/>
    </row>
    <row r="16" spans="1:73" x14ac:dyDescent="0.2">
      <c r="A16" s="1077"/>
      <c r="B16" s="1078"/>
      <c r="C16" s="1077"/>
      <c r="D16" s="1077"/>
      <c r="E16" s="1077"/>
      <c r="F16" s="1077"/>
      <c r="G16" s="1077"/>
      <c r="H16" s="1077"/>
      <c r="I16" s="1077"/>
      <c r="J16" s="1077"/>
      <c r="K16" s="1077"/>
      <c r="L16" s="1077"/>
      <c r="M16" s="1077"/>
      <c r="N16" s="1077"/>
      <c r="O16" s="1077"/>
      <c r="P16" s="1077"/>
      <c r="Q16" s="1077"/>
      <c r="R16" s="1077"/>
      <c r="S16" s="1077"/>
      <c r="T16" s="1077"/>
      <c r="U16" s="1077"/>
      <c r="V16" s="1448">
        <f t="shared" ref="V16:V33" si="4">+V15+0.05</f>
        <v>0.1</v>
      </c>
      <c r="W16" s="1091">
        <f t="shared" ca="1" si="3"/>
        <v>2.3640299804341574</v>
      </c>
      <c r="X16" s="1077"/>
      <c r="Y16" s="1077"/>
      <c r="Z16" s="1077"/>
      <c r="AA16" s="1077"/>
      <c r="AB16" s="1077"/>
      <c r="AC16" s="1077"/>
      <c r="AD16" s="1077"/>
      <c r="AE16" s="1077"/>
      <c r="AF16" s="1077"/>
      <c r="AG16" s="1077"/>
      <c r="AH16" s="1077"/>
      <c r="AI16" s="1077"/>
      <c r="AJ16" s="1077"/>
      <c r="AK16" s="1077"/>
      <c r="AL16" s="1077"/>
      <c r="AM16" s="1077"/>
      <c r="AN16" s="1077"/>
      <c r="AO16" s="1077"/>
      <c r="AP16" s="1077"/>
      <c r="AQ16" s="1077"/>
      <c r="AR16" s="1077"/>
      <c r="AS16" s="1077"/>
      <c r="AT16" s="1077"/>
      <c r="AU16" s="1077"/>
      <c r="AV16" s="1077"/>
      <c r="AW16" s="1077"/>
      <c r="AX16" s="1077"/>
      <c r="AY16" s="1077"/>
      <c r="AZ16" s="1077"/>
      <c r="BA16" s="1077"/>
      <c r="BB16" s="1077"/>
      <c r="BC16" s="1077"/>
      <c r="BD16" s="1077"/>
      <c r="BE16" s="1077"/>
      <c r="BF16" s="1077"/>
      <c r="BG16" s="1077"/>
      <c r="BH16" s="1077"/>
      <c r="BI16" s="1077"/>
      <c r="BJ16" s="1077"/>
      <c r="BK16" s="1077"/>
      <c r="BL16" s="1077"/>
      <c r="BM16" s="1077"/>
      <c r="BN16" s="1077"/>
      <c r="BO16" s="1077"/>
      <c r="BP16" s="1077"/>
      <c r="BQ16" s="1077"/>
      <c r="BR16" s="1077"/>
      <c r="BS16" s="1077"/>
      <c r="BT16" s="1077"/>
      <c r="BU16" s="1077"/>
    </row>
    <row r="17" spans="1:73" x14ac:dyDescent="0.2">
      <c r="A17" s="1077"/>
      <c r="B17" s="1077"/>
      <c r="C17" s="1077"/>
      <c r="D17" s="1077"/>
      <c r="E17" s="1077"/>
      <c r="F17" s="1077"/>
      <c r="G17" s="1077"/>
      <c r="H17" s="1077"/>
      <c r="I17" s="1077"/>
      <c r="J17" s="1077"/>
      <c r="K17" s="1077"/>
      <c r="L17" s="1077"/>
      <c r="M17" s="1077"/>
      <c r="N17" s="1077"/>
      <c r="O17" s="1077"/>
      <c r="P17" s="1077"/>
      <c r="Q17" s="1077"/>
      <c r="R17" s="1077"/>
      <c r="S17" s="1077"/>
      <c r="T17" s="1077"/>
      <c r="U17" s="1077"/>
      <c r="V17" s="1448">
        <f t="shared" si="4"/>
        <v>0.15000000000000002</v>
      </c>
      <c r="W17" s="1091">
        <f t="shared" ca="1" si="3"/>
        <v>2.3734815536260432</v>
      </c>
      <c r="X17" s="1077"/>
      <c r="Y17" s="1077"/>
      <c r="Z17" s="1077"/>
      <c r="AA17" s="1077"/>
      <c r="AB17" s="1077"/>
      <c r="AC17" s="1077"/>
      <c r="AD17" s="1077"/>
      <c r="AE17" s="1077"/>
      <c r="AF17" s="1077"/>
      <c r="AG17" s="1077"/>
      <c r="AH17" s="1077"/>
      <c r="AI17" s="1077"/>
      <c r="AJ17" s="1077"/>
      <c r="AK17" s="1077"/>
      <c r="AL17" s="1077"/>
      <c r="AM17" s="1077"/>
      <c r="AN17" s="1077"/>
      <c r="AO17" s="1077"/>
      <c r="AP17" s="1077"/>
      <c r="AQ17" s="1077"/>
      <c r="AR17" s="1077"/>
      <c r="AS17" s="1077"/>
      <c r="AT17" s="1077"/>
      <c r="AU17" s="1077"/>
      <c r="AV17" s="1077"/>
      <c r="AW17" s="1077"/>
      <c r="AX17" s="1077"/>
      <c r="AY17" s="1077"/>
      <c r="AZ17" s="1077"/>
      <c r="BA17" s="1077"/>
      <c r="BB17" s="1077"/>
      <c r="BC17" s="1077"/>
      <c r="BD17" s="1077"/>
      <c r="BE17" s="1077"/>
      <c r="BF17" s="1077"/>
      <c r="BG17" s="1077"/>
      <c r="BH17" s="1077"/>
      <c r="BI17" s="1077"/>
      <c r="BJ17" s="1077"/>
      <c r="BK17" s="1077"/>
      <c r="BL17" s="1077"/>
      <c r="BM17" s="1077"/>
      <c r="BN17" s="1077"/>
      <c r="BO17" s="1077"/>
      <c r="BP17" s="1077"/>
      <c r="BQ17" s="1077"/>
      <c r="BR17" s="1077"/>
      <c r="BS17" s="1077"/>
      <c r="BT17" s="1077"/>
      <c r="BU17" s="1077"/>
    </row>
    <row r="18" spans="1:73" x14ac:dyDescent="0.2">
      <c r="A18" s="1077"/>
      <c r="B18" s="1077"/>
      <c r="C18" s="1077"/>
      <c r="D18" s="1077"/>
      <c r="E18" s="1077"/>
      <c r="F18" s="1077"/>
      <c r="G18" s="1077"/>
      <c r="H18" s="1077"/>
      <c r="I18" s="1077"/>
      <c r="J18" s="1077"/>
      <c r="K18" s="1077"/>
      <c r="L18" s="1077"/>
      <c r="M18" s="1077"/>
      <c r="N18" s="1077"/>
      <c r="O18" s="1077"/>
      <c r="P18" s="1077"/>
      <c r="Q18" s="1077"/>
      <c r="R18" s="1077"/>
      <c r="S18" s="1077"/>
      <c r="T18" s="1077"/>
      <c r="U18" s="1077"/>
      <c r="V18" s="1448">
        <f t="shared" si="4"/>
        <v>0.2</v>
      </c>
      <c r="W18" s="1091">
        <f t="shared" ca="1" si="3"/>
        <v>2.3806604233639197</v>
      </c>
      <c r="X18" s="1077"/>
      <c r="Y18" s="1077"/>
      <c r="Z18" s="1077"/>
      <c r="AA18" s="1077"/>
      <c r="AB18" s="1077"/>
      <c r="AC18" s="1077"/>
      <c r="AD18" s="1077"/>
      <c r="AE18" s="1077"/>
      <c r="AF18" s="1077"/>
      <c r="AG18" s="1077"/>
      <c r="AH18" s="1077"/>
      <c r="AI18" s="1077"/>
      <c r="AJ18" s="1077"/>
      <c r="AK18" s="1077"/>
      <c r="AL18" s="1077"/>
      <c r="AM18" s="1077"/>
      <c r="AN18" s="1077"/>
      <c r="AO18" s="1077"/>
      <c r="AP18" s="1077"/>
      <c r="AQ18" s="1077"/>
      <c r="AR18" s="1077"/>
      <c r="AS18" s="1077"/>
      <c r="AT18" s="1077"/>
      <c r="AU18" s="1077"/>
      <c r="AV18" s="1077"/>
      <c r="AW18" s="1077"/>
      <c r="AX18" s="1077"/>
      <c r="AY18" s="1077"/>
      <c r="AZ18" s="1077"/>
      <c r="BA18" s="1077"/>
      <c r="BB18" s="1077"/>
      <c r="BC18" s="1077"/>
      <c r="BD18" s="1077"/>
      <c r="BE18" s="1077"/>
      <c r="BF18" s="1077"/>
      <c r="BG18" s="1077"/>
      <c r="BH18" s="1077"/>
      <c r="BI18" s="1077"/>
      <c r="BJ18" s="1077"/>
      <c r="BK18" s="1077"/>
      <c r="BL18" s="1077"/>
      <c r="BM18" s="1077"/>
      <c r="BN18" s="1077"/>
      <c r="BO18" s="1077"/>
      <c r="BP18" s="1077"/>
      <c r="BQ18" s="1077"/>
      <c r="BR18" s="1077"/>
      <c r="BS18" s="1077"/>
      <c r="BT18" s="1077"/>
      <c r="BU18" s="1077"/>
    </row>
    <row r="19" spans="1:73" x14ac:dyDescent="0.2">
      <c r="A19" s="1077"/>
      <c r="B19" s="1077"/>
      <c r="C19" s="1077"/>
      <c r="D19" s="1077"/>
      <c r="E19" s="1077"/>
      <c r="F19" s="1077"/>
      <c r="G19" s="1077"/>
      <c r="H19" s="1077"/>
      <c r="I19" s="1077"/>
      <c r="J19" s="1077"/>
      <c r="K19" s="1077"/>
      <c r="L19" s="1077"/>
      <c r="M19" s="1077"/>
      <c r="N19" s="1077"/>
      <c r="O19" s="1077"/>
      <c r="P19" s="1077"/>
      <c r="Q19" s="1077"/>
      <c r="R19" s="1077"/>
      <c r="S19" s="1077"/>
      <c r="T19" s="1077"/>
      <c r="U19" s="1077"/>
      <c r="V19" s="1448">
        <f t="shared" si="4"/>
        <v>0.25</v>
      </c>
      <c r="W19" s="1091">
        <f t="shared" ca="1" si="3"/>
        <v>2.3863433235868392</v>
      </c>
      <c r="X19" s="1077"/>
      <c r="Y19" s="1077"/>
      <c r="Z19" s="1077"/>
      <c r="AA19" s="1077"/>
      <c r="AB19" s="1077"/>
      <c r="AC19" s="1077"/>
      <c r="AD19" s="1077"/>
      <c r="AE19" s="1077"/>
      <c r="AF19" s="1077"/>
      <c r="AG19" s="1077"/>
      <c r="AH19" s="1077"/>
      <c r="AI19" s="1077"/>
      <c r="AJ19" s="1077"/>
      <c r="AK19" s="1077"/>
      <c r="AL19" s="1077"/>
      <c r="AM19" s="1077"/>
      <c r="AN19" s="1077"/>
      <c r="AO19" s="1077"/>
      <c r="AP19" s="1077"/>
      <c r="AQ19" s="1077"/>
      <c r="AR19" s="1077"/>
      <c r="AS19" s="1077"/>
      <c r="AT19" s="1077"/>
      <c r="AU19" s="1077"/>
      <c r="AV19" s="1077"/>
      <c r="AW19" s="1077"/>
      <c r="AX19" s="1077"/>
      <c r="AY19" s="1077"/>
      <c r="AZ19" s="1077"/>
      <c r="BA19" s="1077"/>
      <c r="BB19" s="1077"/>
      <c r="BC19" s="1077"/>
      <c r="BD19" s="1077"/>
      <c r="BE19" s="1077"/>
      <c r="BF19" s="1077"/>
      <c r="BG19" s="1077"/>
      <c r="BH19" s="1077"/>
      <c r="BI19" s="1077"/>
      <c r="BJ19" s="1077"/>
      <c r="BK19" s="1077"/>
      <c r="BL19" s="1077"/>
      <c r="BM19" s="1077"/>
      <c r="BN19" s="1077"/>
      <c r="BO19" s="1077"/>
      <c r="BP19" s="1077"/>
      <c r="BQ19" s="1077"/>
      <c r="BR19" s="1077"/>
      <c r="BS19" s="1077"/>
      <c r="BT19" s="1077"/>
      <c r="BU19" s="1077"/>
    </row>
    <row r="20" spans="1:73" x14ac:dyDescent="0.2">
      <c r="A20" s="1077"/>
      <c r="B20" s="1077"/>
      <c r="C20" s="1077"/>
      <c r="D20" s="1077"/>
      <c r="E20" s="1077"/>
      <c r="F20" s="1077"/>
      <c r="G20" s="1077"/>
      <c r="H20" s="1077"/>
      <c r="I20" s="1077"/>
      <c r="J20" s="1077"/>
      <c r="K20" s="1077"/>
      <c r="L20" s="1077"/>
      <c r="M20" s="1077"/>
      <c r="N20" s="1077"/>
      <c r="O20" s="1077"/>
      <c r="P20" s="1077"/>
      <c r="Q20" s="1077"/>
      <c r="R20" s="1077"/>
      <c r="S20" s="1077"/>
      <c r="T20" s="1077"/>
      <c r="U20" s="1077"/>
      <c r="V20" s="1448">
        <f t="shared" si="4"/>
        <v>0.3</v>
      </c>
      <c r="W20" s="1091">
        <f t="shared" ca="1" si="3"/>
        <v>2.3918080062354266</v>
      </c>
      <c r="X20" s="1077"/>
      <c r="Y20" s="1077"/>
      <c r="Z20" s="1077"/>
      <c r="AA20" s="1077"/>
      <c r="AB20" s="1077"/>
      <c r="AC20" s="1077"/>
      <c r="AD20" s="1077"/>
      <c r="AE20" s="1077"/>
      <c r="AF20" s="1077"/>
      <c r="AG20" s="1077"/>
      <c r="AH20" s="1077"/>
      <c r="AI20" s="1077"/>
      <c r="AJ20" s="1077"/>
      <c r="AK20" s="1077"/>
      <c r="AL20" s="1077"/>
      <c r="AM20" s="1077"/>
      <c r="AN20" s="1077"/>
      <c r="AO20" s="1077"/>
      <c r="AP20" s="1077"/>
      <c r="AQ20" s="1077"/>
      <c r="AR20" s="1077"/>
      <c r="AS20" s="1077"/>
      <c r="AT20" s="1077"/>
      <c r="AU20" s="1077"/>
      <c r="AV20" s="1077"/>
      <c r="AW20" s="1077"/>
      <c r="AX20" s="1077"/>
      <c r="AY20" s="1077"/>
      <c r="AZ20" s="1077"/>
      <c r="BA20" s="1077"/>
      <c r="BB20" s="1077"/>
      <c r="BC20" s="1077"/>
      <c r="BD20" s="1077"/>
      <c r="BE20" s="1077"/>
      <c r="BF20" s="1077"/>
      <c r="BG20" s="1077"/>
      <c r="BH20" s="1077"/>
      <c r="BI20" s="1077"/>
      <c r="BJ20" s="1077"/>
      <c r="BK20" s="1077"/>
      <c r="BL20" s="1077"/>
      <c r="BM20" s="1077"/>
      <c r="BN20" s="1077"/>
      <c r="BO20" s="1077"/>
      <c r="BP20" s="1077"/>
      <c r="BQ20" s="1077"/>
      <c r="BR20" s="1077"/>
      <c r="BS20" s="1077"/>
      <c r="BT20" s="1077"/>
      <c r="BU20" s="1077"/>
    </row>
    <row r="21" spans="1:73" x14ac:dyDescent="0.2">
      <c r="A21" s="1077"/>
      <c r="B21" s="1077"/>
      <c r="C21" s="1077"/>
      <c r="D21" s="1077"/>
      <c r="E21" s="1077"/>
      <c r="F21" s="1077"/>
      <c r="G21" s="1077"/>
      <c r="H21" s="1077"/>
      <c r="I21" s="1077"/>
      <c r="J21" s="1077"/>
      <c r="K21" s="1077"/>
      <c r="L21" s="1077"/>
      <c r="M21" s="1077"/>
      <c r="N21" s="1077"/>
      <c r="O21" s="1077"/>
      <c r="P21" s="1077"/>
      <c r="Q21" s="1077"/>
      <c r="R21" s="1077"/>
      <c r="S21" s="1077"/>
      <c r="T21" s="1077"/>
      <c r="U21" s="1077"/>
      <c r="V21" s="1448">
        <f t="shared" si="4"/>
        <v>0.35</v>
      </c>
      <c r="W21" s="1091">
        <f t="shared" ca="1" si="3"/>
        <v>2.3959680861095891</v>
      </c>
      <c r="X21" s="1077"/>
      <c r="Y21" s="1077"/>
      <c r="Z21" s="1077"/>
      <c r="AA21" s="1077"/>
      <c r="AB21" s="1077"/>
      <c r="AC21" s="1077"/>
      <c r="AD21" s="1077"/>
      <c r="AE21" s="1077"/>
      <c r="AF21" s="1077"/>
      <c r="AG21" s="1077"/>
      <c r="AH21" s="1077"/>
      <c r="AI21" s="1077"/>
      <c r="AJ21" s="1077"/>
      <c r="AK21" s="1077"/>
      <c r="AL21" s="1077"/>
      <c r="AM21" s="1077"/>
      <c r="AN21" s="1077"/>
      <c r="AO21" s="1077"/>
      <c r="AP21" s="1077"/>
      <c r="AQ21" s="1077"/>
      <c r="AR21" s="1077"/>
      <c r="AS21" s="1077"/>
      <c r="AT21" s="1077"/>
      <c r="AU21" s="1077"/>
      <c r="AV21" s="1077"/>
      <c r="AW21" s="1077"/>
      <c r="AX21" s="1077"/>
      <c r="AY21" s="1077"/>
      <c r="AZ21" s="1077"/>
      <c r="BA21" s="1077"/>
      <c r="BB21" s="1077"/>
      <c r="BC21" s="1077"/>
      <c r="BD21" s="1077"/>
      <c r="BE21" s="1077"/>
      <c r="BF21" s="1077"/>
      <c r="BG21" s="1077"/>
      <c r="BH21" s="1077"/>
      <c r="BI21" s="1077"/>
      <c r="BJ21" s="1077"/>
      <c r="BK21" s="1077"/>
      <c r="BL21" s="1077"/>
      <c r="BM21" s="1077"/>
      <c r="BN21" s="1077"/>
      <c r="BO21" s="1077"/>
      <c r="BP21" s="1077"/>
      <c r="BQ21" s="1077"/>
      <c r="BR21" s="1077"/>
      <c r="BS21" s="1077"/>
      <c r="BT21" s="1077"/>
      <c r="BU21" s="1077"/>
    </row>
    <row r="22" spans="1:73" x14ac:dyDescent="0.2">
      <c r="A22" s="1077"/>
      <c r="B22" s="1077"/>
      <c r="C22" s="1077"/>
      <c r="D22" s="1077"/>
      <c r="E22" s="1077"/>
      <c r="F22" s="1077"/>
      <c r="G22" s="1077"/>
      <c r="H22" s="1077"/>
      <c r="I22" s="1077"/>
      <c r="J22" s="1077"/>
      <c r="K22" s="1077"/>
      <c r="L22" s="1077"/>
      <c r="M22" s="1077"/>
      <c r="N22" s="1077"/>
      <c r="O22" s="1077"/>
      <c r="P22" s="1077"/>
      <c r="Q22" s="1077"/>
      <c r="R22" s="1077"/>
      <c r="S22" s="1077"/>
      <c r="T22" s="1077"/>
      <c r="U22" s="1077"/>
      <c r="V22" s="1448">
        <f t="shared" si="4"/>
        <v>0.39999999999999997</v>
      </c>
      <c r="W22" s="1091">
        <f t="shared" ca="1" si="3"/>
        <v>2.4003473318658037</v>
      </c>
      <c r="X22" s="1077"/>
      <c r="Y22" s="1077"/>
      <c r="Z22" s="1077"/>
      <c r="AA22" s="1077"/>
      <c r="AB22" s="1077"/>
      <c r="AC22" s="1077"/>
      <c r="AD22" s="1077"/>
      <c r="AE22" s="1077"/>
      <c r="AF22" s="1077"/>
      <c r="AG22" s="1077"/>
      <c r="AH22" s="1077"/>
      <c r="AI22" s="1077"/>
      <c r="AJ22" s="1077"/>
      <c r="AK22" s="1077"/>
      <c r="AL22" s="1077"/>
      <c r="AM22" s="1077"/>
      <c r="AN22" s="1077"/>
      <c r="AO22" s="1077"/>
      <c r="AP22" s="1077"/>
      <c r="AQ22" s="1077"/>
      <c r="AR22" s="1077"/>
      <c r="AS22" s="1077"/>
      <c r="AT22" s="1077"/>
      <c r="AU22" s="1077"/>
      <c r="AV22" s="1077"/>
      <c r="AW22" s="1077"/>
      <c r="AX22" s="1077"/>
      <c r="AY22" s="1077"/>
      <c r="AZ22" s="1077"/>
      <c r="BA22" s="1077"/>
      <c r="BB22" s="1077"/>
      <c r="BC22" s="1077"/>
      <c r="BD22" s="1077"/>
      <c r="BE22" s="1077"/>
      <c r="BF22" s="1077"/>
      <c r="BG22" s="1077"/>
      <c r="BH22" s="1077"/>
      <c r="BI22" s="1077"/>
      <c r="BJ22" s="1077"/>
      <c r="BK22" s="1077"/>
      <c r="BL22" s="1077"/>
      <c r="BM22" s="1077"/>
      <c r="BN22" s="1077"/>
      <c r="BO22" s="1077"/>
      <c r="BP22" s="1077"/>
      <c r="BQ22" s="1077"/>
      <c r="BR22" s="1077"/>
      <c r="BS22" s="1077"/>
      <c r="BT22" s="1077"/>
      <c r="BU22" s="1077"/>
    </row>
    <row r="23" spans="1:73" x14ac:dyDescent="0.2">
      <c r="A23" s="1077"/>
      <c r="B23" s="1077"/>
      <c r="C23" s="1077"/>
      <c r="D23" s="1077"/>
      <c r="E23" s="1077"/>
      <c r="F23" s="1077"/>
      <c r="G23" s="1077"/>
      <c r="H23" s="1077"/>
      <c r="I23" s="1077"/>
      <c r="J23" s="1077"/>
      <c r="K23" s="1077"/>
      <c r="L23" s="1077"/>
      <c r="M23" s="1077"/>
      <c r="N23" s="1077"/>
      <c r="O23" s="1077"/>
      <c r="P23" s="1077"/>
      <c r="Q23" s="1077"/>
      <c r="R23" s="1077"/>
      <c r="S23" s="1077"/>
      <c r="T23" s="1077"/>
      <c r="U23" s="1077"/>
      <c r="V23" s="1448">
        <f t="shared" si="4"/>
        <v>0.44999999999999996</v>
      </c>
      <c r="W23" s="1091">
        <f t="shared" ca="1" si="3"/>
        <v>2.4051230291311096</v>
      </c>
      <c r="X23" s="1077"/>
      <c r="Y23" s="1077"/>
      <c r="Z23" s="1077"/>
      <c r="AA23" s="1077"/>
      <c r="AB23" s="1077"/>
      <c r="AC23" s="1077"/>
      <c r="AD23" s="1077"/>
      <c r="AE23" s="1077"/>
      <c r="AF23" s="1077"/>
      <c r="AG23" s="1077"/>
      <c r="AH23" s="1077"/>
      <c r="AI23" s="1077"/>
      <c r="AJ23" s="1077"/>
      <c r="AK23" s="1077"/>
      <c r="AL23" s="1077"/>
      <c r="AM23" s="1077"/>
      <c r="AN23" s="1077"/>
      <c r="AO23" s="1077"/>
      <c r="AP23" s="1077"/>
      <c r="AQ23" s="1077"/>
      <c r="AR23" s="1077"/>
      <c r="AS23" s="1077"/>
      <c r="AT23" s="1077"/>
      <c r="AU23" s="1077"/>
      <c r="AV23" s="1077"/>
      <c r="AW23" s="1077"/>
      <c r="AX23" s="1077"/>
      <c r="AY23" s="1077"/>
      <c r="AZ23" s="1077"/>
      <c r="BA23" s="1077"/>
      <c r="BB23" s="1077"/>
      <c r="BC23" s="1077"/>
      <c r="BD23" s="1077"/>
      <c r="BE23" s="1077"/>
      <c r="BF23" s="1077"/>
      <c r="BG23" s="1077"/>
      <c r="BH23" s="1077"/>
      <c r="BI23" s="1077"/>
      <c r="BJ23" s="1077"/>
      <c r="BK23" s="1077"/>
      <c r="BL23" s="1077"/>
      <c r="BM23" s="1077"/>
      <c r="BN23" s="1077"/>
      <c r="BO23" s="1077"/>
      <c r="BP23" s="1077"/>
      <c r="BQ23" s="1077"/>
      <c r="BR23" s="1077"/>
      <c r="BS23" s="1077"/>
      <c r="BT23" s="1077"/>
      <c r="BU23" s="1077"/>
    </row>
    <row r="24" spans="1:73" x14ac:dyDescent="0.2">
      <c r="A24" s="1077"/>
      <c r="B24" s="1077"/>
      <c r="C24" s="1077"/>
      <c r="D24" s="1077"/>
      <c r="E24" s="1077"/>
      <c r="F24" s="1077"/>
      <c r="G24" s="1077"/>
      <c r="H24" s="1077"/>
      <c r="I24" s="1077"/>
      <c r="J24" s="1077"/>
      <c r="K24" s="1077"/>
      <c r="L24" s="1077"/>
      <c r="M24" s="1077"/>
      <c r="N24" s="1077"/>
      <c r="O24" s="1077"/>
      <c r="P24" s="1077"/>
      <c r="Q24" s="1077"/>
      <c r="R24" s="1077"/>
      <c r="S24" s="1077"/>
      <c r="T24" s="1077"/>
      <c r="U24" s="1077"/>
      <c r="V24" s="1449">
        <f t="shared" si="4"/>
        <v>0.49999999999999994</v>
      </c>
      <c r="W24" s="1450">
        <f t="shared" ca="1" si="3"/>
        <v>2.4105472179024825</v>
      </c>
      <c r="X24" s="1077"/>
      <c r="Y24" s="1077"/>
      <c r="Z24" s="1077"/>
      <c r="AA24" s="1077"/>
      <c r="AB24" s="1077"/>
      <c r="AC24" s="1077"/>
      <c r="AD24" s="1077"/>
      <c r="AE24" s="1077"/>
      <c r="AF24" s="1077"/>
      <c r="AG24" s="1077"/>
      <c r="AH24" s="1077"/>
      <c r="AI24" s="1077"/>
      <c r="AJ24" s="1077"/>
      <c r="AK24" s="1077"/>
      <c r="AL24" s="1077"/>
      <c r="AM24" s="1077"/>
      <c r="AN24" s="1077"/>
      <c r="AO24" s="1077"/>
      <c r="AP24" s="1077"/>
      <c r="AQ24" s="1077"/>
      <c r="AR24" s="1077"/>
      <c r="AS24" s="1077"/>
      <c r="AT24" s="1077"/>
      <c r="AU24" s="1077"/>
      <c r="AV24" s="1077"/>
      <c r="AW24" s="1077"/>
      <c r="AX24" s="1077"/>
      <c r="AY24" s="1077"/>
      <c r="AZ24" s="1077"/>
      <c r="BA24" s="1077"/>
      <c r="BB24" s="1077"/>
      <c r="BC24" s="1077"/>
      <c r="BD24" s="1077"/>
      <c r="BE24" s="1077"/>
      <c r="BF24" s="1077"/>
      <c r="BG24" s="1077"/>
      <c r="BH24" s="1077"/>
      <c r="BI24" s="1077"/>
      <c r="BJ24" s="1077"/>
      <c r="BK24" s="1077"/>
      <c r="BL24" s="1077"/>
      <c r="BM24" s="1077"/>
      <c r="BN24" s="1077"/>
      <c r="BO24" s="1077"/>
      <c r="BP24" s="1077"/>
      <c r="BQ24" s="1077"/>
      <c r="BR24" s="1077"/>
      <c r="BS24" s="1077"/>
      <c r="BT24" s="1077"/>
      <c r="BU24" s="1077"/>
    </row>
    <row r="25" spans="1:73" x14ac:dyDescent="0.2">
      <c r="A25" s="1077"/>
      <c r="B25" s="1077"/>
      <c r="C25" s="1077"/>
      <c r="D25" s="1077"/>
      <c r="E25" s="1077"/>
      <c r="F25" s="1077"/>
      <c r="G25" s="1077"/>
      <c r="H25" s="1077"/>
      <c r="I25" s="1077"/>
      <c r="J25" s="1077"/>
      <c r="K25" s="1077"/>
      <c r="L25" s="1077"/>
      <c r="M25" s="1077"/>
      <c r="N25" s="1077"/>
      <c r="O25" s="1077"/>
      <c r="P25" s="1077"/>
      <c r="Q25" s="1077"/>
      <c r="R25" s="1077"/>
      <c r="S25" s="1077"/>
      <c r="T25" s="1077"/>
      <c r="U25" s="1077"/>
      <c r="V25" s="1448">
        <f t="shared" si="4"/>
        <v>0.54999999999999993</v>
      </c>
      <c r="W25" s="1091">
        <f t="shared" ca="1" si="3"/>
        <v>2.4146586050101075</v>
      </c>
      <c r="X25" s="1077"/>
      <c r="Y25" s="1077"/>
      <c r="Z25" s="1077"/>
      <c r="AA25" s="1077"/>
      <c r="AB25" s="1077"/>
      <c r="AC25" s="1077"/>
      <c r="AD25" s="1077"/>
      <c r="AE25" s="1077"/>
      <c r="AF25" s="1077"/>
      <c r="AG25" s="1077"/>
      <c r="AH25" s="1077"/>
      <c r="AI25" s="1077"/>
      <c r="AJ25" s="1077"/>
      <c r="AK25" s="1077"/>
      <c r="AL25" s="1077"/>
      <c r="AM25" s="1077"/>
      <c r="AN25" s="1077"/>
      <c r="AO25" s="1077"/>
      <c r="AP25" s="1077"/>
      <c r="AQ25" s="1077"/>
      <c r="AR25" s="1077"/>
      <c r="AS25" s="1077"/>
      <c r="AT25" s="1077"/>
      <c r="AU25" s="1077"/>
      <c r="AV25" s="1077"/>
      <c r="AW25" s="1077"/>
      <c r="AX25" s="1077"/>
      <c r="AY25" s="1077"/>
      <c r="AZ25" s="1077"/>
      <c r="BA25" s="1077"/>
      <c r="BB25" s="1077"/>
      <c r="BC25" s="1077"/>
      <c r="BD25" s="1077"/>
      <c r="BE25" s="1077"/>
      <c r="BF25" s="1077"/>
      <c r="BG25" s="1077"/>
      <c r="BH25" s="1077"/>
      <c r="BI25" s="1077"/>
      <c r="BJ25" s="1077"/>
      <c r="BK25" s="1077"/>
      <c r="BL25" s="1077"/>
      <c r="BM25" s="1077"/>
      <c r="BN25" s="1077"/>
      <c r="BO25" s="1077"/>
      <c r="BP25" s="1077"/>
      <c r="BQ25" s="1077"/>
      <c r="BR25" s="1077"/>
      <c r="BS25" s="1077"/>
      <c r="BT25" s="1077"/>
      <c r="BU25" s="1077"/>
    </row>
    <row r="26" spans="1:73" x14ac:dyDescent="0.2">
      <c r="A26" s="1077"/>
      <c r="B26" s="1077"/>
      <c r="C26" s="1077"/>
      <c r="D26" s="1077"/>
      <c r="E26" s="1077"/>
      <c r="F26" s="1077"/>
      <c r="G26" s="1077"/>
      <c r="H26" s="1077"/>
      <c r="I26" s="1077"/>
      <c r="J26" s="1077"/>
      <c r="K26" s="1077"/>
      <c r="L26" s="1077"/>
      <c r="M26" s="1077"/>
      <c r="N26" s="1077"/>
      <c r="O26" s="1077"/>
      <c r="P26" s="1077"/>
      <c r="Q26" s="1077"/>
      <c r="R26" s="1077"/>
      <c r="S26" s="1077"/>
      <c r="T26" s="1077"/>
      <c r="U26" s="1077"/>
      <c r="V26" s="1448">
        <f t="shared" si="4"/>
        <v>0.6</v>
      </c>
      <c r="W26" s="1091">
        <f t="shared" ca="1" si="3"/>
        <v>2.4196750560172342</v>
      </c>
      <c r="X26" s="1077"/>
      <c r="Y26" s="1077"/>
      <c r="Z26" s="1077"/>
      <c r="AA26" s="1077"/>
      <c r="AB26" s="1077"/>
      <c r="AC26" s="1077"/>
      <c r="AD26" s="1077"/>
      <c r="AE26" s="1077"/>
      <c r="AF26" s="1077"/>
      <c r="AG26" s="1077"/>
      <c r="AH26" s="1077"/>
      <c r="AI26" s="1077"/>
      <c r="AJ26" s="1077"/>
      <c r="AK26" s="1077"/>
      <c r="AL26" s="1077"/>
      <c r="AM26" s="1077"/>
      <c r="AN26" s="1077"/>
      <c r="AO26" s="1077"/>
      <c r="AP26" s="1077"/>
      <c r="AQ26" s="1077"/>
      <c r="AR26" s="1077"/>
      <c r="AS26" s="1077"/>
      <c r="AT26" s="1077"/>
      <c r="AU26" s="1077"/>
      <c r="AV26" s="1077"/>
      <c r="AW26" s="1077"/>
      <c r="AX26" s="1077"/>
      <c r="AY26" s="1077"/>
      <c r="AZ26" s="1077"/>
      <c r="BA26" s="1077"/>
      <c r="BB26" s="1077"/>
      <c r="BC26" s="1077"/>
      <c r="BD26" s="1077"/>
      <c r="BE26" s="1077"/>
      <c r="BF26" s="1077"/>
      <c r="BG26" s="1077"/>
      <c r="BH26" s="1077"/>
      <c r="BI26" s="1077"/>
      <c r="BJ26" s="1077"/>
      <c r="BK26" s="1077"/>
      <c r="BL26" s="1077"/>
      <c r="BM26" s="1077"/>
      <c r="BN26" s="1077"/>
      <c r="BO26" s="1077"/>
      <c r="BP26" s="1077"/>
      <c r="BQ26" s="1077"/>
      <c r="BR26" s="1077"/>
      <c r="BS26" s="1077"/>
      <c r="BT26" s="1077"/>
      <c r="BU26" s="1077"/>
    </row>
    <row r="27" spans="1:73" x14ac:dyDescent="0.2">
      <c r="A27" s="1077"/>
      <c r="B27" s="1077"/>
      <c r="C27" s="1077"/>
      <c r="D27" s="1077"/>
      <c r="E27" s="1077"/>
      <c r="F27" s="1077"/>
      <c r="G27" s="1077"/>
      <c r="H27" s="1077"/>
      <c r="I27" s="1077"/>
      <c r="J27" s="1077"/>
      <c r="K27" s="1077"/>
      <c r="L27" s="1077"/>
      <c r="M27" s="1077"/>
      <c r="N27" s="1077"/>
      <c r="O27" s="1077"/>
      <c r="P27" s="1077"/>
      <c r="Q27" s="1077"/>
      <c r="R27" s="1077"/>
      <c r="S27" s="1077"/>
      <c r="T27" s="1077"/>
      <c r="U27" s="1077"/>
      <c r="V27" s="1448">
        <f t="shared" si="4"/>
        <v>0.65</v>
      </c>
      <c r="W27" s="1091">
        <f t="shared" ca="1" si="3"/>
        <v>2.424402870752886</v>
      </c>
      <c r="X27" s="1077"/>
      <c r="Y27" s="1077"/>
      <c r="Z27" s="1077"/>
      <c r="AA27" s="1077"/>
      <c r="AB27" s="1077"/>
      <c r="AC27" s="1077"/>
      <c r="AD27" s="1077"/>
      <c r="AE27" s="1077"/>
      <c r="AF27" s="1077"/>
      <c r="AG27" s="1077"/>
      <c r="AH27" s="1077"/>
      <c r="AI27" s="1077"/>
      <c r="AJ27" s="1077"/>
      <c r="AK27" s="1077"/>
      <c r="AL27" s="1077"/>
      <c r="AM27" s="1077"/>
      <c r="AN27" s="1077"/>
      <c r="AO27" s="1077"/>
      <c r="AP27" s="1077"/>
      <c r="AQ27" s="1077"/>
      <c r="AR27" s="1077"/>
      <c r="AS27" s="1077"/>
      <c r="AT27" s="1077"/>
      <c r="AU27" s="1077"/>
      <c r="AV27" s="1077"/>
      <c r="AW27" s="1077"/>
      <c r="AX27" s="1077"/>
      <c r="AY27" s="1077"/>
      <c r="AZ27" s="1077"/>
      <c r="BA27" s="1077"/>
      <c r="BB27" s="1077"/>
      <c r="BC27" s="1077"/>
      <c r="BD27" s="1077"/>
      <c r="BE27" s="1077"/>
      <c r="BF27" s="1077"/>
      <c r="BG27" s="1077"/>
      <c r="BH27" s="1077"/>
      <c r="BI27" s="1077"/>
      <c r="BJ27" s="1077"/>
      <c r="BK27" s="1077"/>
      <c r="BL27" s="1077"/>
      <c r="BM27" s="1077"/>
      <c r="BN27" s="1077"/>
      <c r="BO27" s="1077"/>
      <c r="BP27" s="1077"/>
      <c r="BQ27" s="1077"/>
      <c r="BR27" s="1077"/>
      <c r="BS27" s="1077"/>
      <c r="BT27" s="1077"/>
      <c r="BU27" s="1077"/>
    </row>
    <row r="28" spans="1:73" x14ac:dyDescent="0.2">
      <c r="A28" s="1077"/>
      <c r="B28" s="1077"/>
      <c r="C28" s="1077"/>
      <c r="D28" s="1077"/>
      <c r="E28" s="1077"/>
      <c r="F28" s="1077"/>
      <c r="G28" s="1077"/>
      <c r="H28" s="1077"/>
      <c r="I28" s="1077"/>
      <c r="J28" s="1077"/>
      <c r="K28" s="1077"/>
      <c r="L28" s="1077"/>
      <c r="M28" s="1077"/>
      <c r="N28" s="1077"/>
      <c r="O28" s="1077"/>
      <c r="P28" s="1077"/>
      <c r="Q28" s="1077"/>
      <c r="R28" s="1077"/>
      <c r="S28" s="1077"/>
      <c r="T28" s="1077"/>
      <c r="U28" s="1077"/>
      <c r="V28" s="1448">
        <f t="shared" si="4"/>
        <v>0.70000000000000007</v>
      </c>
      <c r="W28" s="1091">
        <f t="shared" ca="1" si="3"/>
        <v>2.4296311593198232</v>
      </c>
      <c r="X28" s="1077"/>
      <c r="Y28" s="1077"/>
      <c r="Z28" s="1077"/>
      <c r="AA28" s="1077"/>
      <c r="AB28" s="1077"/>
      <c r="AC28" s="1077"/>
      <c r="AD28" s="1077"/>
      <c r="AE28" s="1077"/>
      <c r="AF28" s="1077"/>
      <c r="AG28" s="1077"/>
      <c r="AH28" s="1077"/>
      <c r="AI28" s="1077"/>
      <c r="AJ28" s="1077"/>
      <c r="AK28" s="1077"/>
      <c r="AL28" s="1077"/>
      <c r="AM28" s="1077"/>
      <c r="AN28" s="1077"/>
      <c r="AO28" s="1077"/>
      <c r="AP28" s="1077"/>
      <c r="AQ28" s="1077"/>
      <c r="AR28" s="1077"/>
      <c r="AS28" s="1077"/>
      <c r="AT28" s="1077"/>
      <c r="AU28" s="1077"/>
      <c r="AV28" s="1077"/>
      <c r="AW28" s="1077"/>
      <c r="AX28" s="1077"/>
      <c r="AY28" s="1077"/>
      <c r="AZ28" s="1077"/>
      <c r="BA28" s="1077"/>
      <c r="BB28" s="1077"/>
      <c r="BC28" s="1077"/>
      <c r="BD28" s="1077"/>
      <c r="BE28" s="1077"/>
      <c r="BF28" s="1077"/>
      <c r="BG28" s="1077"/>
      <c r="BH28" s="1077"/>
      <c r="BI28" s="1077"/>
      <c r="BJ28" s="1077"/>
      <c r="BK28" s="1077"/>
      <c r="BL28" s="1077"/>
      <c r="BM28" s="1077"/>
      <c r="BN28" s="1077"/>
      <c r="BO28" s="1077"/>
      <c r="BP28" s="1077"/>
      <c r="BQ28" s="1077"/>
      <c r="BR28" s="1077"/>
      <c r="BS28" s="1077"/>
      <c r="BT28" s="1077"/>
      <c r="BU28" s="1077"/>
    </row>
    <row r="29" spans="1:73" x14ac:dyDescent="0.2">
      <c r="A29" s="1077"/>
      <c r="B29" s="1077"/>
      <c r="C29" s="1077"/>
      <c r="D29" s="1077"/>
      <c r="E29" s="1077"/>
      <c r="F29" s="1077"/>
      <c r="G29" s="1077"/>
      <c r="H29" s="1077"/>
      <c r="I29" s="1077"/>
      <c r="J29" s="1077"/>
      <c r="K29" s="1077"/>
      <c r="L29" s="1077"/>
      <c r="M29" s="1077"/>
      <c r="N29" s="1077"/>
      <c r="O29" s="1077"/>
      <c r="P29" s="1077"/>
      <c r="Q29" s="1077"/>
      <c r="R29" s="1077"/>
      <c r="S29" s="1077"/>
      <c r="T29" s="1077"/>
      <c r="U29" s="1077"/>
      <c r="V29" s="1448">
        <f t="shared" si="4"/>
        <v>0.75000000000000011</v>
      </c>
      <c r="W29" s="1091">
        <f t="shared" ca="1" si="3"/>
        <v>2.4351022460776068</v>
      </c>
      <c r="X29" s="1077"/>
      <c r="Y29" s="1077"/>
      <c r="Z29" s="1077"/>
      <c r="AA29" s="1077"/>
      <c r="AB29" s="1077"/>
      <c r="AC29" s="1077"/>
      <c r="AD29" s="1077"/>
      <c r="AE29" s="1077"/>
      <c r="AF29" s="1077"/>
      <c r="AG29" s="1077"/>
      <c r="AH29" s="1077"/>
      <c r="AI29" s="1077"/>
      <c r="AJ29" s="1077"/>
      <c r="AK29" s="1077"/>
      <c r="AL29" s="1077"/>
      <c r="AM29" s="1077"/>
      <c r="AN29" s="1077"/>
      <c r="AO29" s="1077"/>
      <c r="AP29" s="1077"/>
      <c r="AQ29" s="1077"/>
      <c r="AR29" s="1077"/>
      <c r="AS29" s="1077"/>
      <c r="AT29" s="1077"/>
      <c r="AU29" s="1077"/>
      <c r="AV29" s="1077"/>
      <c r="AW29" s="1077"/>
      <c r="AX29" s="1077"/>
      <c r="AY29" s="1077"/>
      <c r="AZ29" s="1077"/>
      <c r="BA29" s="1077"/>
      <c r="BB29" s="1077"/>
      <c r="BC29" s="1077"/>
      <c r="BD29" s="1077"/>
      <c r="BE29" s="1077"/>
      <c r="BF29" s="1077"/>
      <c r="BG29" s="1077"/>
      <c r="BH29" s="1077"/>
      <c r="BI29" s="1077"/>
      <c r="BJ29" s="1077"/>
      <c r="BK29" s="1077"/>
      <c r="BL29" s="1077"/>
      <c r="BM29" s="1077"/>
      <c r="BN29" s="1077"/>
      <c r="BO29" s="1077"/>
      <c r="BP29" s="1077"/>
      <c r="BQ29" s="1077"/>
      <c r="BR29" s="1077"/>
      <c r="BS29" s="1077"/>
      <c r="BT29" s="1077"/>
      <c r="BU29" s="1077"/>
    </row>
    <row r="30" spans="1:73" x14ac:dyDescent="0.2">
      <c r="A30" s="1077"/>
      <c r="B30" s="1077"/>
      <c r="C30" s="1077"/>
      <c r="D30" s="1077"/>
      <c r="E30" s="1077"/>
      <c r="F30" s="1078"/>
      <c r="G30" s="1077"/>
      <c r="H30" s="1077"/>
      <c r="I30" s="1077"/>
      <c r="J30" s="1077"/>
      <c r="K30" s="1077"/>
      <c r="L30" s="1077"/>
      <c r="M30" s="1077"/>
      <c r="N30" s="1077"/>
      <c r="O30" s="1077"/>
      <c r="P30" s="1077"/>
      <c r="Q30" s="1077"/>
      <c r="R30" s="1077"/>
      <c r="S30" s="1077"/>
      <c r="T30" s="1077"/>
      <c r="U30" s="1077"/>
      <c r="V30" s="1448">
        <f t="shared" si="4"/>
        <v>0.80000000000000016</v>
      </c>
      <c r="W30" s="1091">
        <f t="shared" ca="1" si="3"/>
        <v>2.4414589480580635</v>
      </c>
      <c r="X30" s="1077"/>
      <c r="Y30" s="1077"/>
      <c r="Z30" s="1077"/>
      <c r="AA30" s="1077"/>
      <c r="AB30" s="1077"/>
      <c r="AC30" s="1077"/>
      <c r="AD30" s="1077"/>
      <c r="AE30" s="1077"/>
      <c r="AF30" s="1077"/>
      <c r="AG30" s="1077"/>
      <c r="AH30" s="1077"/>
      <c r="AI30" s="1077"/>
      <c r="AJ30" s="1077"/>
      <c r="AK30" s="1077"/>
      <c r="AL30" s="1077"/>
      <c r="AM30" s="1077"/>
      <c r="AN30" s="1077"/>
      <c r="AO30" s="1077"/>
      <c r="AP30" s="1077"/>
      <c r="AQ30" s="1077"/>
      <c r="AR30" s="1077"/>
      <c r="AS30" s="1077"/>
      <c r="AT30" s="1077"/>
      <c r="AU30" s="1077"/>
      <c r="AV30" s="1077"/>
      <c r="AW30" s="1077"/>
      <c r="AX30" s="1077"/>
      <c r="AY30" s="1077"/>
      <c r="AZ30" s="1077"/>
      <c r="BA30" s="1077"/>
      <c r="BB30" s="1077"/>
      <c r="BC30" s="1077"/>
      <c r="BD30" s="1077"/>
      <c r="BE30" s="1077"/>
      <c r="BF30" s="1077"/>
      <c r="BG30" s="1077"/>
      <c r="BH30" s="1077"/>
      <c r="BI30" s="1077"/>
      <c r="BJ30" s="1077"/>
      <c r="BK30" s="1077"/>
      <c r="BL30" s="1077"/>
      <c r="BM30" s="1077"/>
      <c r="BN30" s="1077"/>
      <c r="BO30" s="1077"/>
      <c r="BP30" s="1077"/>
      <c r="BQ30" s="1077"/>
      <c r="BR30" s="1077"/>
      <c r="BS30" s="1077"/>
      <c r="BT30" s="1077"/>
      <c r="BU30" s="1077"/>
    </row>
    <row r="31" spans="1:73" x14ac:dyDescent="0.2">
      <c r="A31" s="1077"/>
      <c r="B31" s="1077"/>
      <c r="C31" s="1077"/>
      <c r="D31" s="1077"/>
      <c r="E31" s="1077"/>
      <c r="F31" s="1077"/>
      <c r="G31" s="1077"/>
      <c r="H31" s="1077"/>
      <c r="I31" s="1077"/>
      <c r="J31" s="1077"/>
      <c r="K31" s="1077"/>
      <c r="L31" s="1077"/>
      <c r="M31" s="1077"/>
      <c r="N31" s="1077"/>
      <c r="O31" s="1077"/>
      <c r="P31" s="1077"/>
      <c r="Q31" s="1077"/>
      <c r="R31" s="1077"/>
      <c r="S31" s="1077"/>
      <c r="T31" s="1077"/>
      <c r="U31" s="1077"/>
      <c r="V31" s="1448">
        <f t="shared" si="4"/>
        <v>0.8500000000000002</v>
      </c>
      <c r="W31" s="1091">
        <f t="shared" ca="1" si="3"/>
        <v>2.448164294083671</v>
      </c>
      <c r="X31" s="1077"/>
      <c r="Y31" s="1077"/>
      <c r="Z31" s="1077"/>
      <c r="AA31" s="1077"/>
      <c r="AB31" s="1077"/>
      <c r="AC31" s="1077"/>
      <c r="AD31" s="1077"/>
      <c r="AE31" s="1077"/>
      <c r="AF31" s="1077"/>
      <c r="AG31" s="1077"/>
      <c r="AH31" s="1077"/>
      <c r="AI31" s="1077"/>
      <c r="AJ31" s="1077"/>
      <c r="AK31" s="1077"/>
      <c r="AL31" s="1077"/>
      <c r="AM31" s="1077"/>
      <c r="AN31" s="1077"/>
      <c r="AO31" s="1077"/>
      <c r="AP31" s="1077"/>
      <c r="AQ31" s="1077"/>
      <c r="AR31" s="1077"/>
      <c r="AS31" s="1077"/>
      <c r="AT31" s="1077"/>
      <c r="AU31" s="1077"/>
      <c r="AV31" s="1077"/>
      <c r="AW31" s="1077"/>
      <c r="AX31" s="1077"/>
      <c r="AY31" s="1077"/>
      <c r="AZ31" s="1077"/>
      <c r="BA31" s="1077"/>
      <c r="BB31" s="1077"/>
      <c r="BC31" s="1077"/>
      <c r="BD31" s="1077"/>
      <c r="BE31" s="1077"/>
      <c r="BF31" s="1077"/>
      <c r="BG31" s="1077"/>
      <c r="BH31" s="1077"/>
      <c r="BI31" s="1077"/>
      <c r="BJ31" s="1077"/>
      <c r="BK31" s="1077"/>
      <c r="BL31" s="1077"/>
      <c r="BM31" s="1077"/>
      <c r="BN31" s="1077"/>
      <c r="BO31" s="1077"/>
      <c r="BP31" s="1077"/>
      <c r="BQ31" s="1077"/>
      <c r="BR31" s="1077"/>
      <c r="BS31" s="1077"/>
      <c r="BT31" s="1077"/>
      <c r="BU31" s="1077"/>
    </row>
    <row r="32" spans="1:73" x14ac:dyDescent="0.2">
      <c r="A32" s="1077"/>
      <c r="B32" s="1077"/>
      <c r="C32" s="1077"/>
      <c r="D32" s="1077"/>
      <c r="E32" s="1077"/>
      <c r="F32" s="1077"/>
      <c r="G32" s="1077"/>
      <c r="H32" s="1077"/>
      <c r="I32" s="1077"/>
      <c r="J32" s="1077"/>
      <c r="K32" s="1077"/>
      <c r="L32" s="1077"/>
      <c r="M32" s="1077"/>
      <c r="N32" s="1077"/>
      <c r="O32" s="1077"/>
      <c r="P32" s="1077"/>
      <c r="Q32" s="1077"/>
      <c r="R32" s="1077"/>
      <c r="S32" s="1077"/>
      <c r="T32" s="1077"/>
      <c r="U32" s="1077"/>
      <c r="V32" s="1448">
        <f t="shared" si="4"/>
        <v>0.90000000000000024</v>
      </c>
      <c r="W32" s="1091">
        <f t="shared" ca="1" si="3"/>
        <v>2.4565207602799073</v>
      </c>
      <c r="X32" s="1077"/>
      <c r="Y32" s="1077"/>
      <c r="Z32" s="1077"/>
      <c r="AA32" s="1077"/>
      <c r="AB32" s="1077"/>
      <c r="AC32" s="1077"/>
      <c r="AD32" s="1077"/>
      <c r="AE32" s="1077"/>
      <c r="AF32" s="1077"/>
      <c r="AG32" s="1077"/>
      <c r="AH32" s="1077"/>
      <c r="AI32" s="1077"/>
      <c r="AJ32" s="1077"/>
      <c r="AK32" s="1077"/>
      <c r="AL32" s="1077"/>
      <c r="AM32" s="1077"/>
      <c r="AN32" s="1077"/>
      <c r="AO32" s="1077"/>
      <c r="AP32" s="1077"/>
      <c r="AQ32" s="1077"/>
      <c r="AR32" s="1077"/>
      <c r="AS32" s="1077"/>
      <c r="AT32" s="1077"/>
      <c r="AU32" s="1077"/>
      <c r="AV32" s="1077"/>
      <c r="AW32" s="1077"/>
      <c r="AX32" s="1077"/>
      <c r="AY32" s="1077"/>
      <c r="AZ32" s="1077"/>
      <c r="BA32" s="1077"/>
      <c r="BB32" s="1077"/>
      <c r="BC32" s="1077"/>
      <c r="BD32" s="1077"/>
      <c r="BE32" s="1077"/>
      <c r="BF32" s="1077"/>
      <c r="BG32" s="1077"/>
      <c r="BH32" s="1077"/>
      <c r="BI32" s="1077"/>
      <c r="BJ32" s="1077"/>
      <c r="BK32" s="1077"/>
      <c r="BL32" s="1077"/>
      <c r="BM32" s="1077"/>
      <c r="BN32" s="1077"/>
      <c r="BO32" s="1077"/>
      <c r="BP32" s="1077"/>
      <c r="BQ32" s="1077"/>
      <c r="BR32" s="1077"/>
      <c r="BS32" s="1077"/>
      <c r="BT32" s="1077"/>
      <c r="BU32" s="1077"/>
    </row>
    <row r="33" spans="1:73" x14ac:dyDescent="0.2">
      <c r="A33" s="1077"/>
      <c r="B33" s="1077"/>
      <c r="C33" s="1077"/>
      <c r="D33" s="1077"/>
      <c r="E33" s="1077"/>
      <c r="F33" s="1077"/>
      <c r="G33" s="1077"/>
      <c r="H33" s="1077"/>
      <c r="I33" s="1077"/>
      <c r="J33" s="1077"/>
      <c r="K33" s="1077"/>
      <c r="L33" s="1077"/>
      <c r="M33" s="1077"/>
      <c r="N33" s="1077"/>
      <c r="O33" s="1077"/>
      <c r="P33" s="1077"/>
      <c r="Q33" s="1077"/>
      <c r="R33" s="1077"/>
      <c r="S33" s="1077"/>
      <c r="T33" s="1077"/>
      <c r="U33" s="1077"/>
      <c r="V33" s="1449">
        <f t="shared" si="4"/>
        <v>0.95000000000000029</v>
      </c>
      <c r="W33" s="1450">
        <f t="shared" ca="1" si="3"/>
        <v>2.470175597985603</v>
      </c>
      <c r="X33" s="1077"/>
      <c r="Y33" s="1077"/>
      <c r="Z33" s="1077"/>
      <c r="AA33" s="1077"/>
      <c r="AB33" s="1077"/>
      <c r="AC33" s="1077"/>
      <c r="AD33" s="1077"/>
      <c r="AE33" s="1077"/>
      <c r="AF33" s="1077"/>
      <c r="AG33" s="1077"/>
      <c r="AH33" s="1077"/>
      <c r="AI33" s="1077"/>
      <c r="AJ33" s="1077"/>
      <c r="AK33" s="1077"/>
      <c r="AL33" s="1077"/>
      <c r="AM33" s="1077"/>
      <c r="AN33" s="1077"/>
      <c r="AO33" s="1077"/>
      <c r="AP33" s="1077"/>
      <c r="AQ33" s="1077"/>
      <c r="AR33" s="1077"/>
      <c r="AS33" s="1077"/>
      <c r="AT33" s="1077"/>
      <c r="AU33" s="1077"/>
      <c r="AV33" s="1077"/>
      <c r="AW33" s="1077"/>
      <c r="AX33" s="1077"/>
      <c r="AY33" s="1077"/>
      <c r="AZ33" s="1077"/>
      <c r="BA33" s="1077"/>
      <c r="BB33" s="1077"/>
      <c r="BC33" s="1077"/>
      <c r="BD33" s="1077"/>
      <c r="BE33" s="1077"/>
      <c r="BF33" s="1077"/>
      <c r="BG33" s="1077"/>
      <c r="BH33" s="1077"/>
      <c r="BI33" s="1077"/>
      <c r="BJ33" s="1077"/>
      <c r="BK33" s="1077"/>
      <c r="BL33" s="1077"/>
      <c r="BM33" s="1077"/>
      <c r="BN33" s="1077"/>
      <c r="BO33" s="1077"/>
      <c r="BP33" s="1077"/>
      <c r="BQ33" s="1077"/>
      <c r="BR33" s="1077"/>
      <c r="BS33" s="1077"/>
      <c r="BT33" s="1077"/>
      <c r="BU33" s="1077"/>
    </row>
    <row r="34" spans="1:73" x14ac:dyDescent="0.2">
      <c r="A34" s="1077"/>
      <c r="B34" s="1077"/>
      <c r="C34" s="1077"/>
      <c r="D34" s="1077"/>
      <c r="E34" s="1077"/>
      <c r="F34" s="1077"/>
      <c r="G34" s="1077"/>
      <c r="H34" s="1077"/>
      <c r="I34" s="1077"/>
      <c r="J34" s="1077"/>
      <c r="K34" s="1077"/>
      <c r="L34" s="1077"/>
      <c r="M34" s="1077"/>
      <c r="N34" s="1077"/>
      <c r="O34" s="1077"/>
      <c r="P34" s="1077"/>
      <c r="Q34" s="1077"/>
      <c r="R34" s="1077"/>
      <c r="S34" s="1077"/>
      <c r="T34" s="1077"/>
      <c r="U34" s="1077"/>
      <c r="V34" s="1448">
        <v>1</v>
      </c>
      <c r="W34" s="1091">
        <f ca="1">+MAX(OFFSET($B$251:$B$2250,0,$C$194))*$C$198</f>
        <v>2.5093744319270033</v>
      </c>
      <c r="X34" s="1077"/>
      <c r="Y34" s="1077"/>
      <c r="Z34" s="1077"/>
      <c r="AA34" s="1077"/>
      <c r="AB34" s="1077"/>
      <c r="AC34" s="1077"/>
      <c r="AD34" s="1077"/>
      <c r="AE34" s="1077"/>
      <c r="AF34" s="1077"/>
      <c r="AG34" s="1077"/>
      <c r="AH34" s="1077"/>
      <c r="AI34" s="1077"/>
      <c r="AJ34" s="1077"/>
      <c r="AK34" s="1077"/>
      <c r="AL34" s="1077"/>
      <c r="AM34" s="1077"/>
      <c r="AN34" s="1077"/>
      <c r="AO34" s="1077"/>
      <c r="AP34" s="1077"/>
      <c r="AQ34" s="1077"/>
      <c r="AR34" s="1077"/>
      <c r="AS34" s="1077"/>
      <c r="AT34" s="1077"/>
      <c r="AU34" s="1077"/>
      <c r="AV34" s="1077"/>
      <c r="AW34" s="1077"/>
      <c r="AX34" s="1077"/>
      <c r="AY34" s="1077"/>
      <c r="AZ34" s="1077"/>
      <c r="BA34" s="1077"/>
      <c r="BB34" s="1077"/>
      <c r="BC34" s="1077"/>
      <c r="BD34" s="1077"/>
      <c r="BE34" s="1077"/>
      <c r="BF34" s="1077"/>
      <c r="BG34" s="1077"/>
      <c r="BH34" s="1077"/>
      <c r="BI34" s="1077"/>
      <c r="BJ34" s="1077"/>
      <c r="BK34" s="1077"/>
      <c r="BL34" s="1077"/>
      <c r="BM34" s="1077"/>
      <c r="BN34" s="1077"/>
      <c r="BO34" s="1077"/>
      <c r="BP34" s="1077"/>
      <c r="BQ34" s="1077"/>
      <c r="BR34" s="1077"/>
      <c r="BS34" s="1077"/>
      <c r="BT34" s="1077"/>
      <c r="BU34" s="1077"/>
    </row>
    <row r="35" spans="1:73" x14ac:dyDescent="0.2">
      <c r="A35" s="1077"/>
      <c r="B35" s="1077"/>
      <c r="C35" s="1077"/>
      <c r="D35" s="1077"/>
      <c r="E35" s="1077"/>
      <c r="F35" s="1077"/>
      <c r="G35" s="1077"/>
      <c r="H35" s="1077"/>
      <c r="I35" s="1077"/>
      <c r="J35" s="1077"/>
      <c r="K35" s="1077"/>
      <c r="L35" s="1077"/>
      <c r="M35" s="1212"/>
      <c r="N35" s="1077"/>
      <c r="O35" s="1077"/>
      <c r="P35" s="1077"/>
      <c r="Q35" s="1077"/>
      <c r="R35" s="1077"/>
      <c r="S35" s="1077"/>
      <c r="T35" s="1077"/>
      <c r="U35" s="1077"/>
      <c r="V35" s="1077"/>
      <c r="W35" s="1077"/>
      <c r="X35" s="1077"/>
      <c r="Y35" s="1077"/>
      <c r="Z35" s="1077"/>
      <c r="AA35" s="1077"/>
      <c r="AB35" s="1077"/>
      <c r="AC35" s="1077"/>
      <c r="AD35" s="1077"/>
      <c r="AE35" s="1077"/>
      <c r="AF35" s="1077"/>
      <c r="AG35" s="1077"/>
      <c r="AH35" s="1077"/>
      <c r="AI35" s="1077"/>
      <c r="AJ35" s="1077"/>
      <c r="AK35" s="1077"/>
      <c r="AL35" s="1077"/>
      <c r="AM35" s="1077"/>
      <c r="AN35" s="1077"/>
      <c r="AO35" s="1077"/>
      <c r="AP35" s="1077"/>
      <c r="AQ35" s="1077"/>
      <c r="AR35" s="1077"/>
      <c r="AS35" s="1077"/>
      <c r="AT35" s="1077"/>
      <c r="AU35" s="1077"/>
      <c r="AV35" s="1077"/>
      <c r="AW35" s="1077"/>
      <c r="AX35" s="1077"/>
      <c r="AY35" s="1077"/>
      <c r="AZ35" s="1077"/>
      <c r="BA35" s="1077"/>
      <c r="BB35" s="1077"/>
      <c r="BC35" s="1077"/>
      <c r="BD35" s="1077"/>
      <c r="BE35" s="1077"/>
      <c r="BF35" s="1077"/>
      <c r="BG35" s="1077"/>
      <c r="BH35" s="1077"/>
      <c r="BI35" s="1077"/>
      <c r="BJ35" s="1077"/>
      <c r="BK35" s="1077"/>
      <c r="BL35" s="1077"/>
      <c r="BM35" s="1077"/>
      <c r="BN35" s="1077"/>
      <c r="BO35" s="1077"/>
      <c r="BP35" s="1077"/>
      <c r="BQ35" s="1077"/>
      <c r="BR35" s="1077"/>
      <c r="BS35" s="1077"/>
      <c r="BT35" s="1077"/>
      <c r="BU35" s="1077"/>
    </row>
    <row r="36" spans="1:73" x14ac:dyDescent="0.2">
      <c r="A36" s="1077"/>
      <c r="B36" s="1077"/>
      <c r="C36" s="1077"/>
      <c r="D36" s="1077"/>
      <c r="E36" s="1077"/>
      <c r="F36" s="1077"/>
      <c r="G36" s="1077"/>
      <c r="H36" s="1077"/>
      <c r="I36" s="1077"/>
      <c r="J36" s="1077"/>
      <c r="K36" s="1077"/>
      <c r="L36" s="1077"/>
      <c r="M36" s="1077"/>
      <c r="N36" s="1077"/>
      <c r="O36" s="1077"/>
      <c r="P36" s="1077"/>
      <c r="Q36" s="1077"/>
      <c r="R36" s="1077"/>
      <c r="S36" s="1077"/>
      <c r="T36" s="1077"/>
      <c r="U36" s="1077"/>
      <c r="V36" s="1077"/>
      <c r="W36" s="1077"/>
      <c r="X36" s="1077"/>
      <c r="Y36" s="1077"/>
      <c r="Z36" s="1077"/>
      <c r="AA36" s="1077"/>
      <c r="AB36" s="1077"/>
      <c r="AC36" s="1077"/>
      <c r="AD36" s="1077"/>
      <c r="AE36" s="1077"/>
      <c r="AF36" s="1077"/>
      <c r="AG36" s="1077"/>
      <c r="AH36" s="1077"/>
      <c r="AI36" s="1077"/>
      <c r="AJ36" s="1077"/>
      <c r="AK36" s="1077"/>
      <c r="AL36" s="1077"/>
      <c r="AM36" s="1077"/>
      <c r="AN36" s="1077"/>
      <c r="AO36" s="1077"/>
      <c r="AP36" s="1077"/>
      <c r="AQ36" s="1077"/>
      <c r="AR36" s="1077"/>
      <c r="AS36" s="1077"/>
      <c r="AT36" s="1077"/>
      <c r="AU36" s="1077"/>
      <c r="AV36" s="1077"/>
      <c r="AW36" s="1077"/>
      <c r="AX36" s="1077"/>
      <c r="AY36" s="1077"/>
      <c r="AZ36" s="1077"/>
      <c r="BA36" s="1077"/>
      <c r="BB36" s="1077"/>
      <c r="BC36" s="1077"/>
      <c r="BD36" s="1077"/>
      <c r="BE36" s="1077"/>
      <c r="BF36" s="1077"/>
      <c r="BG36" s="1077"/>
      <c r="BH36" s="1077"/>
      <c r="BI36" s="1077"/>
      <c r="BJ36" s="1077"/>
      <c r="BK36" s="1077"/>
      <c r="BL36" s="1077"/>
      <c r="BM36" s="1077"/>
      <c r="BN36" s="1077"/>
      <c r="BO36" s="1077"/>
      <c r="BP36" s="1077"/>
      <c r="BQ36" s="1077"/>
      <c r="BR36" s="1077"/>
      <c r="BS36" s="1077"/>
      <c r="BT36" s="1077"/>
      <c r="BU36" s="1077"/>
    </row>
    <row r="37" spans="1:73" x14ac:dyDescent="0.2">
      <c r="A37" s="1077"/>
      <c r="B37" s="1077"/>
      <c r="C37" s="1077"/>
      <c r="D37" s="1077"/>
      <c r="E37" s="1077"/>
      <c r="F37" s="1077"/>
      <c r="G37" s="1077"/>
      <c r="H37" s="1077"/>
      <c r="I37" s="1077"/>
      <c r="J37" s="1077"/>
      <c r="K37" s="1077"/>
      <c r="L37" s="1077"/>
      <c r="M37" s="1077"/>
      <c r="N37" s="1077"/>
      <c r="O37" s="1077"/>
      <c r="P37" s="1077"/>
      <c r="Q37" s="1077"/>
      <c r="R37" s="1077"/>
      <c r="S37" s="1077"/>
      <c r="T37" s="1077"/>
      <c r="U37" s="1077"/>
      <c r="V37" s="1077"/>
      <c r="W37" s="1077"/>
      <c r="X37" s="1077"/>
      <c r="Y37" s="1077"/>
      <c r="Z37" s="1077"/>
      <c r="AA37" s="1077"/>
      <c r="AB37" s="1077"/>
      <c r="AC37" s="1077"/>
      <c r="AD37" s="1077"/>
      <c r="AE37" s="1077"/>
      <c r="AF37" s="1077"/>
      <c r="AG37" s="1077"/>
      <c r="AH37" s="1077"/>
      <c r="AI37" s="1077"/>
      <c r="AJ37" s="1077"/>
      <c r="AK37" s="1077"/>
      <c r="AL37" s="1077"/>
      <c r="AM37" s="1077"/>
      <c r="AN37" s="1077"/>
      <c r="AO37" s="1077"/>
      <c r="AP37" s="1077"/>
      <c r="AQ37" s="1077"/>
      <c r="AR37" s="1077"/>
      <c r="AS37" s="1077"/>
      <c r="AT37" s="1077"/>
      <c r="AU37" s="1077"/>
      <c r="AV37" s="1077"/>
      <c r="AW37" s="1077"/>
      <c r="AX37" s="1077"/>
      <c r="AY37" s="1077"/>
      <c r="AZ37" s="1077"/>
      <c r="BA37" s="1077"/>
      <c r="BB37" s="1077"/>
      <c r="BC37" s="1077"/>
      <c r="BD37" s="1077"/>
      <c r="BE37" s="1077"/>
      <c r="BF37" s="1077"/>
      <c r="BG37" s="1077"/>
      <c r="BH37" s="1077"/>
      <c r="BI37" s="1077"/>
      <c r="BJ37" s="1077"/>
      <c r="BK37" s="1077"/>
      <c r="BL37" s="1077"/>
      <c r="BM37" s="1077"/>
      <c r="BN37" s="1077"/>
      <c r="BO37" s="1077"/>
      <c r="BP37" s="1077"/>
      <c r="BQ37" s="1077"/>
      <c r="BR37" s="1077"/>
      <c r="BS37" s="1077"/>
      <c r="BT37" s="1077"/>
      <c r="BU37" s="1077"/>
    </row>
    <row r="38" spans="1:73" x14ac:dyDescent="0.2">
      <c r="A38" s="1077"/>
      <c r="B38" s="1077"/>
      <c r="C38" s="1077"/>
      <c r="D38" s="1077"/>
      <c r="E38" s="1077"/>
      <c r="F38" s="1077"/>
      <c r="G38" s="1077"/>
      <c r="H38" s="1077"/>
      <c r="I38" s="1077"/>
      <c r="J38" s="1077"/>
      <c r="K38" s="1077"/>
      <c r="L38" s="1077"/>
      <c r="M38" s="1077"/>
      <c r="N38" s="1077"/>
      <c r="O38" s="1077"/>
      <c r="P38" s="1077"/>
      <c r="Q38" s="1077"/>
      <c r="R38" s="1077"/>
      <c r="S38" s="1077"/>
      <c r="T38" s="1077"/>
      <c r="U38" s="1077"/>
      <c r="V38" s="1077"/>
      <c r="W38" s="1077"/>
      <c r="X38" s="1077"/>
      <c r="Y38" s="1077"/>
      <c r="Z38" s="1077"/>
      <c r="AA38" s="1077"/>
      <c r="AB38" s="1077"/>
      <c r="AC38" s="1077"/>
      <c r="AD38" s="1077"/>
      <c r="AE38" s="1077"/>
      <c r="AF38" s="1077"/>
      <c r="AG38" s="1077"/>
      <c r="AH38" s="1077"/>
      <c r="AI38" s="1077"/>
      <c r="AJ38" s="1077"/>
      <c r="AK38" s="1077"/>
      <c r="AL38" s="1077"/>
      <c r="AM38" s="1077"/>
      <c r="AN38" s="1077"/>
      <c r="AO38" s="1077"/>
      <c r="AP38" s="1077"/>
      <c r="AQ38" s="1077"/>
      <c r="AR38" s="1077"/>
      <c r="AS38" s="1077"/>
      <c r="AT38" s="1077"/>
      <c r="AU38" s="1077"/>
      <c r="AV38" s="1077"/>
      <c r="AW38" s="1077"/>
      <c r="AX38" s="1077"/>
      <c r="AY38" s="1077"/>
      <c r="AZ38" s="1077"/>
      <c r="BA38" s="1077"/>
      <c r="BB38" s="1077"/>
      <c r="BC38" s="1077"/>
      <c r="BD38" s="1077"/>
      <c r="BE38" s="1077"/>
      <c r="BF38" s="1077"/>
      <c r="BG38" s="1077"/>
      <c r="BH38" s="1077"/>
      <c r="BI38" s="1077"/>
      <c r="BJ38" s="1077"/>
      <c r="BK38" s="1077"/>
      <c r="BL38" s="1077"/>
      <c r="BM38" s="1077"/>
      <c r="BN38" s="1077"/>
      <c r="BO38" s="1077"/>
      <c r="BP38" s="1077"/>
      <c r="BQ38" s="1077"/>
      <c r="BR38" s="1077"/>
      <c r="BS38" s="1077"/>
      <c r="BT38" s="1077"/>
      <c r="BU38" s="1077"/>
    </row>
    <row r="39" spans="1:73" x14ac:dyDescent="0.2">
      <c r="A39" s="1077"/>
      <c r="B39" s="1077"/>
      <c r="C39" s="1077"/>
      <c r="D39" s="1077"/>
      <c r="E39" s="1077"/>
      <c r="F39" s="1077"/>
      <c r="G39" s="1077"/>
      <c r="H39" s="1077"/>
      <c r="I39" s="1077"/>
      <c r="J39" s="1077"/>
      <c r="K39" s="1077"/>
      <c r="L39" s="1077"/>
      <c r="M39" s="1077"/>
      <c r="N39" s="1077"/>
      <c r="O39" s="1077"/>
      <c r="P39" s="1077"/>
      <c r="Q39" s="1077"/>
      <c r="R39" s="1077"/>
      <c r="S39" s="1077"/>
      <c r="T39" s="1077"/>
      <c r="U39" s="1077"/>
      <c r="V39" s="1077"/>
      <c r="W39" s="1077"/>
      <c r="X39" s="1077"/>
      <c r="Y39" s="1077"/>
      <c r="Z39" s="1077"/>
      <c r="AA39" s="1077"/>
      <c r="AB39" s="1077"/>
      <c r="AC39" s="1077"/>
      <c r="AD39" s="1077"/>
      <c r="AE39" s="1077"/>
      <c r="AF39" s="1077"/>
      <c r="AG39" s="1077"/>
      <c r="AH39" s="1077"/>
      <c r="AI39" s="1077"/>
      <c r="AJ39" s="1077"/>
      <c r="AK39" s="1077"/>
      <c r="AL39" s="1077"/>
      <c r="AM39" s="1077"/>
      <c r="AN39" s="1077"/>
      <c r="AO39" s="1077"/>
      <c r="AP39" s="1077"/>
      <c r="AQ39" s="1077"/>
      <c r="AR39" s="1077"/>
      <c r="AS39" s="1077"/>
      <c r="AT39" s="1077"/>
      <c r="AU39" s="1077"/>
      <c r="AV39" s="1077"/>
      <c r="AW39" s="1077"/>
      <c r="AX39" s="1077"/>
      <c r="AY39" s="1077"/>
      <c r="AZ39" s="1077"/>
      <c r="BA39" s="1077"/>
      <c r="BB39" s="1077"/>
      <c r="BC39" s="1077"/>
      <c r="BD39" s="1077"/>
      <c r="BE39" s="1077"/>
      <c r="BF39" s="1077"/>
      <c r="BG39" s="1077"/>
      <c r="BH39" s="1077"/>
      <c r="BI39" s="1077"/>
      <c r="BJ39" s="1077"/>
      <c r="BK39" s="1077"/>
      <c r="BL39" s="1077"/>
      <c r="BM39" s="1077"/>
      <c r="BN39" s="1077"/>
      <c r="BO39" s="1077"/>
      <c r="BP39" s="1077"/>
      <c r="BQ39" s="1077"/>
      <c r="BR39" s="1077"/>
      <c r="BS39" s="1077"/>
      <c r="BT39" s="1077"/>
      <c r="BU39" s="1077"/>
    </row>
    <row r="40" spans="1:73" x14ac:dyDescent="0.2">
      <c r="A40" s="1077"/>
      <c r="B40" s="1077"/>
      <c r="C40" s="1077"/>
      <c r="D40" s="1077"/>
      <c r="E40" s="1077"/>
      <c r="F40" s="1077"/>
      <c r="G40" s="1077"/>
      <c r="H40" s="1077"/>
      <c r="I40" s="1077"/>
      <c r="J40" s="1077"/>
      <c r="K40" s="1077"/>
      <c r="L40" s="1077"/>
      <c r="M40" s="1077"/>
      <c r="N40" s="1077"/>
      <c r="O40" s="1077"/>
      <c r="P40" s="1077"/>
      <c r="Q40" s="1077"/>
      <c r="R40" s="1077"/>
      <c r="S40" s="1077"/>
      <c r="T40" s="1077"/>
      <c r="U40" s="1077"/>
      <c r="V40" s="1077"/>
      <c r="W40" s="1077"/>
      <c r="X40" s="1077"/>
      <c r="Y40" s="1077"/>
      <c r="Z40" s="1077"/>
      <c r="AA40" s="1077"/>
      <c r="AB40" s="1077"/>
      <c r="AC40" s="1077"/>
      <c r="AD40" s="1077"/>
      <c r="AE40" s="1077"/>
      <c r="AF40" s="1077"/>
      <c r="AG40" s="1077"/>
      <c r="AH40" s="1077"/>
      <c r="AI40" s="1077"/>
      <c r="AJ40" s="1077"/>
      <c r="AK40" s="1077"/>
      <c r="AL40" s="1077"/>
      <c r="AM40" s="1077"/>
      <c r="AN40" s="1077"/>
      <c r="AO40" s="1077"/>
      <c r="AP40" s="1077"/>
      <c r="AQ40" s="1077"/>
      <c r="AR40" s="1077"/>
      <c r="AS40" s="1077"/>
      <c r="AT40" s="1077"/>
      <c r="AU40" s="1077"/>
      <c r="AV40" s="1077"/>
      <c r="AW40" s="1077"/>
      <c r="AX40" s="1077"/>
      <c r="AY40" s="1077"/>
      <c r="AZ40" s="1077"/>
      <c r="BA40" s="1077"/>
      <c r="BB40" s="1077"/>
      <c r="BC40" s="1077"/>
      <c r="BD40" s="1077"/>
      <c r="BE40" s="1077"/>
      <c r="BF40" s="1077"/>
      <c r="BG40" s="1077"/>
      <c r="BH40" s="1077"/>
      <c r="BI40" s="1077"/>
      <c r="BJ40" s="1077"/>
      <c r="BK40" s="1077"/>
      <c r="BL40" s="1077"/>
      <c r="BM40" s="1077"/>
      <c r="BN40" s="1077"/>
      <c r="BO40" s="1077"/>
      <c r="BP40" s="1077"/>
      <c r="BQ40" s="1077"/>
      <c r="BR40" s="1077"/>
      <c r="BS40" s="1077"/>
      <c r="BT40" s="1077"/>
      <c r="BU40" s="1077"/>
    </row>
    <row r="41" spans="1:73" x14ac:dyDescent="0.2">
      <c r="A41" s="1077"/>
      <c r="B41" s="1077"/>
      <c r="C41" s="1077"/>
      <c r="D41" s="1077"/>
      <c r="E41" s="1077"/>
      <c r="F41" s="1077"/>
      <c r="G41" s="1077"/>
      <c r="H41" s="1077"/>
      <c r="I41" s="1077"/>
      <c r="J41" s="1077"/>
      <c r="K41" s="1077"/>
      <c r="L41" s="1077"/>
      <c r="M41" s="1077"/>
      <c r="N41" s="1077"/>
      <c r="O41" s="1077"/>
      <c r="P41" s="1077"/>
      <c r="Q41" s="1077"/>
      <c r="R41" s="1077"/>
      <c r="S41" s="1077"/>
      <c r="T41" s="1077"/>
      <c r="U41" s="1077"/>
      <c r="V41" s="1077"/>
      <c r="W41" s="1077"/>
      <c r="X41" s="1077"/>
      <c r="Y41" s="1077"/>
      <c r="Z41" s="1077"/>
      <c r="AA41" s="1077"/>
      <c r="AB41" s="1077"/>
      <c r="AC41" s="1077"/>
      <c r="AD41" s="1077"/>
      <c r="AE41" s="1077"/>
      <c r="AF41" s="1077"/>
      <c r="AG41" s="1077"/>
      <c r="AH41" s="1077"/>
      <c r="AI41" s="1077"/>
      <c r="AJ41" s="1077"/>
      <c r="AK41" s="1077"/>
      <c r="AL41" s="1077"/>
      <c r="AM41" s="1077"/>
      <c r="AN41" s="1077"/>
      <c r="AO41" s="1077"/>
      <c r="AP41" s="1077"/>
      <c r="AQ41" s="1077"/>
      <c r="AR41" s="1077"/>
      <c r="AS41" s="1077"/>
      <c r="AT41" s="1077"/>
      <c r="AU41" s="1077"/>
      <c r="AV41" s="1077"/>
      <c r="AW41" s="1077"/>
      <c r="AX41" s="1077"/>
      <c r="AY41" s="1077"/>
      <c r="AZ41" s="1077"/>
      <c r="BA41" s="1077"/>
      <c r="BB41" s="1077"/>
      <c r="BC41" s="1077"/>
      <c r="BD41" s="1077"/>
      <c r="BE41" s="1077"/>
      <c r="BF41" s="1077"/>
      <c r="BG41" s="1077"/>
      <c r="BH41" s="1077"/>
      <c r="BI41" s="1077"/>
      <c r="BJ41" s="1077"/>
      <c r="BK41" s="1077"/>
      <c r="BL41" s="1077"/>
      <c r="BM41" s="1077"/>
      <c r="BN41" s="1077"/>
      <c r="BO41" s="1077"/>
      <c r="BP41" s="1077"/>
      <c r="BQ41" s="1077"/>
      <c r="BR41" s="1077"/>
      <c r="BS41" s="1077"/>
      <c r="BT41" s="1077"/>
      <c r="BU41" s="1077"/>
    </row>
    <row r="42" spans="1:73" x14ac:dyDescent="0.2">
      <c r="A42" s="1077"/>
      <c r="B42" s="1077"/>
      <c r="C42" s="1077"/>
      <c r="D42" s="1077"/>
      <c r="E42" s="1077"/>
      <c r="F42" s="1077"/>
      <c r="G42" s="1077"/>
      <c r="H42" s="1077"/>
      <c r="I42" s="1077"/>
      <c r="J42" s="1077"/>
      <c r="K42" s="1077"/>
      <c r="L42" s="1077"/>
      <c r="M42" s="1077"/>
      <c r="N42" s="1077"/>
      <c r="O42" s="1077"/>
      <c r="P42" s="1077"/>
      <c r="Q42" s="1077"/>
      <c r="R42" s="1077"/>
      <c r="S42" s="1077"/>
      <c r="T42" s="1077"/>
      <c r="U42" s="1077"/>
      <c r="V42" s="1077"/>
      <c r="W42" s="1077"/>
      <c r="X42" s="1077"/>
      <c r="Y42" s="1077"/>
      <c r="Z42" s="1077"/>
      <c r="AA42" s="1077"/>
      <c r="AB42" s="1077"/>
      <c r="AC42" s="1077"/>
      <c r="AD42" s="1077"/>
      <c r="AE42" s="1077"/>
      <c r="AF42" s="1077"/>
      <c r="AG42" s="1077"/>
      <c r="AH42" s="1077"/>
      <c r="AI42" s="1077"/>
      <c r="AJ42" s="1077"/>
      <c r="AK42" s="1077"/>
      <c r="AL42" s="1077"/>
      <c r="AM42" s="1077"/>
      <c r="AN42" s="1077"/>
      <c r="AO42" s="1077"/>
      <c r="AP42" s="1077"/>
      <c r="AQ42" s="1077"/>
      <c r="AR42" s="1077"/>
      <c r="AS42" s="1077"/>
      <c r="AT42" s="1077"/>
      <c r="AU42" s="1077"/>
      <c r="AV42" s="1077"/>
      <c r="AW42" s="1077"/>
      <c r="AX42" s="1077"/>
      <c r="AY42" s="1077"/>
      <c r="AZ42" s="1077"/>
      <c r="BA42" s="1077"/>
      <c r="BB42" s="1077"/>
      <c r="BC42" s="1077"/>
      <c r="BD42" s="1077"/>
      <c r="BE42" s="1077"/>
      <c r="BF42" s="1077"/>
      <c r="BG42" s="1077"/>
      <c r="BH42" s="1077"/>
      <c r="BI42" s="1077"/>
      <c r="BJ42" s="1077"/>
      <c r="BK42" s="1077"/>
      <c r="BL42" s="1077"/>
      <c r="BM42" s="1077"/>
      <c r="BN42" s="1077"/>
      <c r="BO42" s="1077"/>
      <c r="BP42" s="1077"/>
      <c r="BQ42" s="1077"/>
      <c r="BR42" s="1077"/>
      <c r="BS42" s="1077"/>
      <c r="BT42" s="1077"/>
      <c r="BU42" s="1077"/>
    </row>
    <row r="43" spans="1:73" x14ac:dyDescent="0.2">
      <c r="A43" s="1077"/>
      <c r="B43" s="1077"/>
      <c r="C43" s="1077"/>
      <c r="D43" s="1077"/>
      <c r="E43" s="1077"/>
      <c r="F43" s="1077"/>
      <c r="G43" s="1077"/>
      <c r="H43" s="1077"/>
      <c r="I43" s="1077"/>
      <c r="J43" s="1077"/>
      <c r="K43" s="1077"/>
      <c r="L43" s="1077"/>
      <c r="M43" s="1077"/>
      <c r="N43" s="1077"/>
      <c r="O43" s="1077"/>
      <c r="P43" s="1077"/>
      <c r="Q43" s="1077"/>
      <c r="R43" s="1077"/>
      <c r="S43" s="1077"/>
      <c r="T43" s="1077"/>
      <c r="U43" s="1077"/>
      <c r="V43" s="1077"/>
      <c r="W43" s="1077"/>
      <c r="X43" s="1077"/>
      <c r="Y43" s="1077"/>
      <c r="Z43" s="1077"/>
      <c r="AA43" s="1077"/>
      <c r="AB43" s="1077"/>
      <c r="AC43" s="1077"/>
      <c r="AD43" s="1077"/>
      <c r="AE43" s="1077"/>
      <c r="AF43" s="1077"/>
      <c r="AG43" s="1077"/>
      <c r="AH43" s="1077"/>
      <c r="AI43" s="1077"/>
      <c r="AJ43" s="1077"/>
      <c r="AK43" s="1077"/>
      <c r="AL43" s="1077"/>
      <c r="AM43" s="1077"/>
      <c r="AN43" s="1077"/>
      <c r="AO43" s="1077"/>
      <c r="AP43" s="1077"/>
      <c r="AQ43" s="1077"/>
      <c r="AR43" s="1077"/>
      <c r="AS43" s="1077"/>
      <c r="AT43" s="1077"/>
      <c r="AU43" s="1077"/>
      <c r="AV43" s="1077"/>
      <c r="AW43" s="1077"/>
      <c r="AX43" s="1077"/>
      <c r="AY43" s="1077"/>
      <c r="AZ43" s="1077"/>
      <c r="BA43" s="1077"/>
      <c r="BB43" s="1077"/>
      <c r="BC43" s="1077"/>
      <c r="BD43" s="1077"/>
      <c r="BE43" s="1077"/>
      <c r="BF43" s="1077"/>
      <c r="BG43" s="1077"/>
      <c r="BH43" s="1077"/>
      <c r="BI43" s="1077"/>
      <c r="BJ43" s="1077"/>
      <c r="BK43" s="1077"/>
      <c r="BL43" s="1077"/>
      <c r="BM43" s="1077"/>
      <c r="BN43" s="1077"/>
      <c r="BO43" s="1077"/>
      <c r="BP43" s="1077"/>
      <c r="BQ43" s="1077"/>
      <c r="BR43" s="1077"/>
      <c r="BS43" s="1077"/>
      <c r="BT43" s="1077"/>
      <c r="BU43" s="1077"/>
    </row>
    <row r="44" spans="1:73" x14ac:dyDescent="0.2">
      <c r="A44" s="1077"/>
      <c r="B44" s="1077"/>
      <c r="C44" s="1077"/>
      <c r="D44" s="1077"/>
      <c r="E44" s="1077"/>
      <c r="F44" s="1077"/>
      <c r="G44" s="1077"/>
      <c r="H44" s="1077"/>
      <c r="I44" s="1077"/>
      <c r="J44" s="1077"/>
      <c r="K44" s="1077"/>
      <c r="L44" s="1077"/>
      <c r="M44" s="1077"/>
      <c r="N44" s="1077"/>
      <c r="O44" s="1077"/>
      <c r="P44" s="1077"/>
      <c r="Q44" s="1077"/>
      <c r="R44" s="1077"/>
      <c r="S44" s="1077"/>
      <c r="T44" s="1077"/>
      <c r="U44" s="1077"/>
      <c r="V44" s="1077"/>
      <c r="W44" s="1077"/>
      <c r="X44" s="1077"/>
      <c r="Y44" s="1077"/>
      <c r="Z44" s="1077"/>
      <c r="AA44" s="1077"/>
      <c r="AB44" s="1077"/>
      <c r="AC44" s="1077"/>
      <c r="AD44" s="1077"/>
      <c r="AE44" s="1077"/>
      <c r="AF44" s="1077"/>
      <c r="AG44" s="1077"/>
      <c r="AH44" s="1077"/>
      <c r="AI44" s="1077"/>
      <c r="AJ44" s="1077"/>
      <c r="AK44" s="1077"/>
      <c r="AL44" s="1077"/>
      <c r="AM44" s="1077"/>
      <c r="AN44" s="1077"/>
      <c r="AO44" s="1077"/>
      <c r="AP44" s="1077"/>
      <c r="AQ44" s="1077"/>
      <c r="AR44" s="1077"/>
      <c r="AS44" s="1077"/>
      <c r="AT44" s="1077"/>
      <c r="AU44" s="1077"/>
      <c r="AV44" s="1077"/>
      <c r="AW44" s="1077"/>
      <c r="AX44" s="1077"/>
      <c r="AY44" s="1077"/>
      <c r="AZ44" s="1077"/>
      <c r="BA44" s="1077"/>
      <c r="BB44" s="1077"/>
      <c r="BC44" s="1077"/>
      <c r="BD44" s="1077"/>
      <c r="BE44" s="1077"/>
      <c r="BF44" s="1077"/>
      <c r="BG44" s="1077"/>
      <c r="BH44" s="1077"/>
      <c r="BI44" s="1077"/>
      <c r="BJ44" s="1077"/>
      <c r="BK44" s="1077"/>
      <c r="BL44" s="1077"/>
      <c r="BM44" s="1077"/>
      <c r="BN44" s="1077"/>
      <c r="BO44" s="1077"/>
      <c r="BP44" s="1077"/>
      <c r="BQ44" s="1077"/>
      <c r="BR44" s="1077"/>
      <c r="BS44" s="1077"/>
      <c r="BT44" s="1077"/>
      <c r="BU44" s="1077"/>
    </row>
    <row r="45" spans="1:73" ht="13.5" thickBot="1" x14ac:dyDescent="0.25">
      <c r="A45" s="1077"/>
      <c r="B45" s="1175" t="s">
        <v>1326</v>
      </c>
      <c r="C45" s="1175"/>
      <c r="D45" s="1175"/>
      <c r="E45" s="1175"/>
      <c r="F45" s="1175"/>
      <c r="G45" s="1175"/>
      <c r="H45" s="1175"/>
      <c r="I45" s="1175"/>
      <c r="J45" s="1175"/>
      <c r="K45" s="1175"/>
      <c r="L45" s="1175"/>
      <c r="M45" s="1175"/>
      <c r="N45" s="1175"/>
      <c r="O45" s="1175"/>
      <c r="P45" s="1175"/>
      <c r="Q45" s="1175"/>
      <c r="R45" s="1175"/>
      <c r="S45" s="1175"/>
      <c r="T45" s="1175"/>
      <c r="U45" s="1175"/>
      <c r="V45" s="1175"/>
      <c r="W45" s="1175"/>
      <c r="X45" s="1175"/>
      <c r="Y45" s="1077"/>
      <c r="Z45" s="1077"/>
      <c r="AA45" s="1077"/>
      <c r="AB45" s="1077"/>
      <c r="AC45" s="1077"/>
      <c r="AD45" s="1077"/>
      <c r="AE45" s="1077"/>
      <c r="AF45" s="1077"/>
      <c r="AG45" s="1077"/>
      <c r="AH45" s="1077"/>
      <c r="AI45" s="1077"/>
      <c r="AJ45" s="1077"/>
      <c r="AK45" s="1077"/>
      <c r="AL45" s="1077"/>
      <c r="AM45" s="1077"/>
      <c r="AN45" s="1077"/>
      <c r="AO45" s="1077"/>
      <c r="AP45" s="1077"/>
      <c r="AQ45" s="1077"/>
      <c r="AR45" s="1077"/>
      <c r="AS45" s="1077"/>
      <c r="AT45" s="1077"/>
      <c r="AU45" s="1077"/>
      <c r="AV45" s="1077"/>
      <c r="AW45" s="1077"/>
      <c r="AX45" s="1077"/>
      <c r="AY45" s="1077"/>
      <c r="AZ45" s="1077"/>
      <c r="BA45" s="1077"/>
      <c r="BB45" s="1077"/>
      <c r="BC45" s="1077"/>
      <c r="BD45" s="1077"/>
      <c r="BE45" s="1077"/>
      <c r="BF45" s="1077"/>
      <c r="BG45" s="1077"/>
      <c r="BH45" s="1077"/>
      <c r="BI45" s="1077"/>
      <c r="BJ45" s="1077"/>
      <c r="BK45" s="1077"/>
      <c r="BL45" s="1077"/>
      <c r="BM45" s="1077"/>
      <c r="BN45" s="1077"/>
      <c r="BO45" s="1077"/>
      <c r="BP45" s="1077"/>
      <c r="BQ45" s="1077"/>
      <c r="BR45" s="1077"/>
      <c r="BS45" s="1077"/>
      <c r="BT45" s="1077"/>
      <c r="BU45" s="1077"/>
    </row>
    <row r="46" spans="1:73" ht="13.5" thickTop="1" x14ac:dyDescent="0.2">
      <c r="A46" s="1077"/>
      <c r="B46" s="1077"/>
      <c r="C46" s="1077"/>
      <c r="D46" s="1077"/>
      <c r="E46" s="1077"/>
      <c r="F46" s="1077"/>
      <c r="G46" s="1077"/>
      <c r="H46" s="1077"/>
      <c r="I46" s="1077"/>
      <c r="J46" s="1077"/>
      <c r="K46" s="1077"/>
      <c r="L46" s="1077"/>
      <c r="M46" s="1077"/>
      <c r="N46" s="1077"/>
      <c r="O46" s="1077"/>
      <c r="P46" s="1077"/>
      <c r="Q46" s="1077"/>
      <c r="R46" s="1077"/>
      <c r="S46" s="1077"/>
      <c r="T46" s="1077"/>
      <c r="U46" s="1077"/>
      <c r="V46" s="1077"/>
      <c r="W46" s="1077"/>
      <c r="X46" s="1077"/>
      <c r="Y46" s="1077"/>
      <c r="Z46" s="1077"/>
      <c r="AA46" s="1077"/>
      <c r="AB46" s="1077"/>
      <c r="AC46" s="1077"/>
      <c r="AD46" s="1077"/>
      <c r="AE46" s="1077"/>
      <c r="AF46" s="1077"/>
      <c r="AG46" s="1077"/>
      <c r="AH46" s="1077"/>
      <c r="AI46" s="1077"/>
      <c r="AJ46" s="1077"/>
      <c r="AK46" s="1077"/>
      <c r="AL46" s="1077"/>
      <c r="AM46" s="1077"/>
      <c r="AN46" s="1077"/>
      <c r="AO46" s="1077"/>
      <c r="AP46" s="1077"/>
      <c r="AQ46" s="1077"/>
      <c r="AR46" s="1077"/>
      <c r="AS46" s="1077"/>
      <c r="AT46" s="1077"/>
      <c r="AU46" s="1077"/>
      <c r="AV46" s="1077"/>
      <c r="AW46" s="1077"/>
      <c r="AX46" s="1077"/>
      <c r="AY46" s="1077"/>
      <c r="AZ46" s="1077"/>
      <c r="BA46" s="1077"/>
      <c r="BB46" s="1077"/>
      <c r="BC46" s="1077"/>
      <c r="BD46" s="1077"/>
      <c r="BE46" s="1077"/>
      <c r="BF46" s="1077"/>
      <c r="BG46" s="1077"/>
      <c r="BH46" s="1077"/>
      <c r="BI46" s="1077"/>
      <c r="BJ46" s="1077"/>
      <c r="BK46" s="1077"/>
      <c r="BL46" s="1077"/>
      <c r="BM46" s="1077"/>
      <c r="BN46" s="1077"/>
      <c r="BO46" s="1077"/>
      <c r="BP46" s="1077"/>
      <c r="BQ46" s="1077"/>
      <c r="BR46" s="1077"/>
      <c r="BS46" s="1077"/>
      <c r="BT46" s="1077"/>
      <c r="BU46" s="1077"/>
    </row>
    <row r="47" spans="1:73" x14ac:dyDescent="0.2">
      <c r="A47" s="1077"/>
      <c r="B47" s="1092" t="s">
        <v>1154</v>
      </c>
      <c r="C47" s="1077"/>
      <c r="D47" s="1077"/>
      <c r="E47" s="1077"/>
      <c r="F47" s="1077"/>
      <c r="G47" s="1077"/>
      <c r="H47" s="1077"/>
      <c r="I47" s="1077"/>
      <c r="J47" s="1077"/>
      <c r="K47" s="1077"/>
      <c r="L47" s="1077"/>
      <c r="M47" s="1077"/>
      <c r="N47" s="1077"/>
      <c r="O47" s="1077"/>
      <c r="P47" s="1077"/>
      <c r="Q47" s="1077"/>
      <c r="R47" s="1077"/>
      <c r="S47" s="1077"/>
      <c r="T47" s="1077"/>
      <c r="U47" s="1077"/>
      <c r="V47" s="1077"/>
      <c r="W47" s="1077"/>
      <c r="X47" s="1077"/>
      <c r="Y47" s="1077"/>
      <c r="Z47" s="1077"/>
      <c r="AA47" s="1077"/>
      <c r="AB47" s="1077"/>
      <c r="AC47" s="1077"/>
      <c r="AD47" s="1077"/>
      <c r="AE47" s="1077"/>
      <c r="AF47" s="1077"/>
      <c r="AG47" s="1077"/>
      <c r="AH47" s="1077"/>
      <c r="AI47" s="1077"/>
      <c r="AJ47" s="1077"/>
      <c r="AK47" s="1077"/>
      <c r="AL47" s="1077"/>
      <c r="AM47" s="1077"/>
      <c r="AN47" s="1077"/>
      <c r="AO47" s="1077"/>
      <c r="AP47" s="1077"/>
      <c r="AQ47" s="1077"/>
      <c r="AR47" s="1077"/>
      <c r="AS47" s="1077"/>
      <c r="AT47" s="1077"/>
      <c r="AU47" s="1077"/>
      <c r="AV47" s="1077"/>
      <c r="AW47" s="1077"/>
      <c r="AX47" s="1077"/>
      <c r="AY47" s="1077"/>
      <c r="AZ47" s="1077"/>
      <c r="BA47" s="1077"/>
      <c r="BB47" s="1077"/>
      <c r="BC47" s="1077"/>
      <c r="BD47" s="1077"/>
      <c r="BE47" s="1077"/>
      <c r="BF47" s="1077"/>
      <c r="BG47" s="1077"/>
      <c r="BH47" s="1077"/>
      <c r="BI47" s="1077"/>
      <c r="BJ47" s="1077"/>
      <c r="BK47" s="1077"/>
      <c r="BL47" s="1077"/>
      <c r="BM47" s="1077"/>
      <c r="BN47" s="1077"/>
      <c r="BO47" s="1077"/>
      <c r="BP47" s="1077"/>
      <c r="BQ47" s="1077"/>
      <c r="BR47" s="1077"/>
      <c r="BS47" s="1077"/>
      <c r="BT47" s="1077"/>
      <c r="BU47" s="1077"/>
    </row>
    <row r="48" spans="1:73" x14ac:dyDescent="0.2">
      <c r="A48" s="1077"/>
      <c r="B48" s="1080">
        <v>1</v>
      </c>
      <c r="C48" s="1082">
        <f t="shared" ref="C48:E48" ca="1" si="5">+OFFSET(C50,$B$48,0)</f>
        <v>1</v>
      </c>
      <c r="D48" s="1082">
        <f t="shared" ca="1" si="5"/>
        <v>1</v>
      </c>
      <c r="E48" s="1082">
        <f t="shared" ca="1" si="5"/>
        <v>1</v>
      </c>
      <c r="F48" s="1082">
        <f ca="1">+OFFSET(F50,$B$48,0)</f>
        <v>1</v>
      </c>
      <c r="G48" s="1082">
        <f ca="1">+OFFSET(G50,$B$48,0)</f>
        <v>1</v>
      </c>
      <c r="H48" s="1082">
        <f ca="1">+OFFSET(H50,$B$48,0)</f>
        <v>1</v>
      </c>
      <c r="I48" s="1082">
        <f ca="1">+OFFSET(I50,$B$48,0)</f>
        <v>1</v>
      </c>
      <c r="J48" s="1077"/>
      <c r="K48" s="1094">
        <f ca="1">+'Cash Flow Analysis'!F118</f>
        <v>2.4111382454761561</v>
      </c>
      <c r="L48" s="1094">
        <f ca="1">+'Cash Flow Analysis'!Q118</f>
        <v>0</v>
      </c>
      <c r="M48" s="1094">
        <f ca="1">+'Cash Flow Analysis'!L118</f>
        <v>1.6418275002923967E-3</v>
      </c>
      <c r="N48" s="1094">
        <f ca="1">+'Cash Flow Analysis'!H117</f>
        <v>0.14942045524399045</v>
      </c>
      <c r="O48" s="1094">
        <f ca="1">+'Cash Flow Analysis'!I117</f>
        <v>2.0985595575770056E-2</v>
      </c>
      <c r="P48" s="1094">
        <f ca="1">+'Cash Flow Analysis'!J117</f>
        <v>2.8489350007646817E-2</v>
      </c>
      <c r="Q48" s="1094">
        <f ca="1">+'Cash Flow Analysis'!K117</f>
        <v>5.4915061535724839E-3</v>
      </c>
      <c r="R48" s="1094">
        <f ca="1">+'Cash Flow Analysis'!M117</f>
        <v>1.6201557621688327E-3</v>
      </c>
      <c r="S48" s="1094">
        <f ca="1">+'Cash Flow Analysis'!N117</f>
        <v>0.25862031433665061</v>
      </c>
      <c r="T48" s="1094">
        <f ca="1">+'Cash Flow Analysis'!O117</f>
        <v>1.3716385995415594</v>
      </c>
      <c r="U48" s="1094">
        <f ca="1">+'Cash Flow Analysis'!P117</f>
        <v>0.21197338494250778</v>
      </c>
      <c r="V48" s="1094">
        <f ca="1">+'Cash Flow Analysis'!R117</f>
        <v>0.24553111712834094</v>
      </c>
      <c r="W48" s="1094">
        <f ca="1">+'Cash Flow Analysis'!S117</f>
        <v>9.8159081625125419E-2</v>
      </c>
      <c r="X48" s="1094">
        <f ca="1">+'Cash Flow Analysis'!X117</f>
        <v>1.6440982758693726E-2</v>
      </c>
      <c r="Y48" s="1094">
        <f ca="1">+'Cash Flow Analysis'!Z117</f>
        <v>4.4095299004201019E-3</v>
      </c>
      <c r="Z48" s="1077"/>
      <c r="AA48" s="1077"/>
      <c r="AB48" s="1077"/>
      <c r="AC48" s="1077"/>
      <c r="AD48" s="1077"/>
      <c r="AE48" s="1077"/>
      <c r="AF48" s="1077"/>
      <c r="AG48" s="1077"/>
      <c r="AH48" s="1077"/>
      <c r="AI48" s="1077"/>
      <c r="AJ48" s="1077"/>
      <c r="AK48" s="1077"/>
      <c r="AL48" s="1077"/>
      <c r="AM48" s="1077"/>
      <c r="AN48" s="1077"/>
      <c r="AO48" s="1077"/>
      <c r="AP48" s="1077"/>
      <c r="AQ48" s="1077"/>
      <c r="AR48" s="1077"/>
      <c r="AS48" s="1077"/>
      <c r="AT48" s="1077"/>
      <c r="AU48" s="1077"/>
      <c r="AV48" s="1077"/>
      <c r="AW48" s="1077"/>
      <c r="AX48" s="1077"/>
      <c r="AY48" s="1077"/>
      <c r="AZ48" s="1077"/>
      <c r="BA48" s="1077"/>
      <c r="BB48" s="1077"/>
      <c r="BC48" s="1077"/>
      <c r="BD48" s="1077"/>
      <c r="BE48" s="1077"/>
      <c r="BF48" s="1077"/>
      <c r="BG48" s="1077"/>
      <c r="BH48" s="1077"/>
      <c r="BI48" s="1077"/>
      <c r="BJ48" s="1077"/>
      <c r="BK48" s="1077"/>
      <c r="BL48" s="1077"/>
      <c r="BM48" s="1077"/>
      <c r="BN48" s="1077"/>
      <c r="BO48" s="1077"/>
      <c r="BP48" s="1077"/>
      <c r="BQ48" s="1077"/>
      <c r="BR48" s="1077"/>
      <c r="BS48" s="1077"/>
      <c r="BT48" s="1077"/>
      <c r="BU48" s="1077"/>
    </row>
    <row r="49" spans="1:73" x14ac:dyDescent="0.2">
      <c r="A49" s="1077"/>
      <c r="B49" s="1079"/>
      <c r="C49" s="1079"/>
      <c r="D49" s="1079"/>
      <c r="E49" s="1079"/>
      <c r="F49" s="1079"/>
      <c r="G49" s="1079"/>
      <c r="H49" s="1079"/>
      <c r="I49" s="1079"/>
      <c r="J49" s="1079"/>
      <c r="K49" s="1079"/>
      <c r="L49" s="1079"/>
      <c r="M49" s="1079"/>
      <c r="N49" s="1077"/>
      <c r="O49" s="1077"/>
      <c r="P49" s="1077"/>
      <c r="Q49" s="1077"/>
      <c r="R49" s="1077"/>
      <c r="S49" s="1077"/>
      <c r="T49" s="1077"/>
      <c r="U49" s="1077"/>
      <c r="V49" s="1077"/>
      <c r="W49" s="1077"/>
      <c r="X49" s="1077"/>
      <c r="Y49" s="1077"/>
      <c r="Z49" s="1077"/>
      <c r="AA49" s="1077"/>
      <c r="AB49" s="1077"/>
      <c r="AC49" s="1077"/>
      <c r="AD49" s="1077"/>
      <c r="AE49" s="1077"/>
      <c r="AF49" s="1077"/>
      <c r="AG49" s="1077"/>
      <c r="AH49" s="1077"/>
      <c r="AI49" s="1077"/>
      <c r="AJ49" s="1077"/>
      <c r="AK49" s="1077"/>
      <c r="AL49" s="1077"/>
      <c r="AM49" s="1077"/>
      <c r="AN49" s="1077"/>
      <c r="AO49" s="1077"/>
      <c r="AP49" s="1077"/>
      <c r="AQ49" s="1077"/>
      <c r="AR49" s="1077"/>
      <c r="AS49" s="1077"/>
      <c r="AT49" s="1077"/>
      <c r="AU49" s="1077"/>
      <c r="AV49" s="1077"/>
      <c r="AW49" s="1077"/>
      <c r="AX49" s="1077"/>
      <c r="AY49" s="1077"/>
      <c r="AZ49" s="1077"/>
      <c r="BA49" s="1077"/>
      <c r="BB49" s="1077"/>
      <c r="BC49" s="1077"/>
      <c r="BD49" s="1077"/>
      <c r="BE49" s="1077"/>
      <c r="BF49" s="1077"/>
      <c r="BG49" s="1077"/>
      <c r="BH49" s="1077"/>
      <c r="BI49" s="1077"/>
      <c r="BJ49" s="1077"/>
      <c r="BK49" s="1077"/>
      <c r="BL49" s="1077"/>
      <c r="BM49" s="1077"/>
      <c r="BN49" s="1077"/>
      <c r="BO49" s="1077"/>
      <c r="BP49" s="1077"/>
      <c r="BQ49" s="1077"/>
      <c r="BR49" s="1077"/>
      <c r="BS49" s="1077"/>
      <c r="BT49" s="1077"/>
      <c r="BU49" s="1077"/>
    </row>
    <row r="50" spans="1:73" ht="51" x14ac:dyDescent="0.2">
      <c r="A50" s="1077"/>
      <c r="B50" s="1088" t="s">
        <v>1138</v>
      </c>
      <c r="C50" s="1088" t="s">
        <v>1327</v>
      </c>
      <c r="D50" s="1088" t="s">
        <v>1328</v>
      </c>
      <c r="E50" s="1088" t="s">
        <v>1329</v>
      </c>
      <c r="F50" s="1088" t="s">
        <v>1330</v>
      </c>
      <c r="G50" s="1088" t="s">
        <v>1331</v>
      </c>
      <c r="H50" s="1088" t="s">
        <v>1347</v>
      </c>
      <c r="I50" s="1088" t="s">
        <v>1346</v>
      </c>
      <c r="J50" s="1077"/>
      <c r="K50" s="1088" t="s">
        <v>1348</v>
      </c>
      <c r="L50" s="1088" t="s">
        <v>1332</v>
      </c>
      <c r="M50" s="1088" t="s">
        <v>1333</v>
      </c>
      <c r="N50" s="1088" t="s">
        <v>1334</v>
      </c>
      <c r="O50" s="1088" t="s">
        <v>1335</v>
      </c>
      <c r="P50" s="1088" t="s">
        <v>1336</v>
      </c>
      <c r="Q50" s="1088" t="s">
        <v>1337</v>
      </c>
      <c r="R50" s="1088" t="s">
        <v>1338</v>
      </c>
      <c r="S50" s="1088" t="s">
        <v>1339</v>
      </c>
      <c r="T50" s="1088" t="s">
        <v>1340</v>
      </c>
      <c r="U50" s="1088" t="s">
        <v>1341</v>
      </c>
      <c r="V50" s="1088" t="s">
        <v>1342</v>
      </c>
      <c r="W50" s="1088" t="s">
        <v>1343</v>
      </c>
      <c r="X50" s="1088" t="s">
        <v>1344</v>
      </c>
      <c r="Y50" s="1088" t="s">
        <v>1345</v>
      </c>
      <c r="Z50" s="1077"/>
      <c r="AA50" s="1077"/>
      <c r="AB50" s="1077"/>
      <c r="AC50" s="1077"/>
      <c r="AD50" s="1077"/>
      <c r="AE50" s="1077"/>
      <c r="AF50" s="1077"/>
      <c r="AG50" s="1077"/>
      <c r="AH50" s="1077"/>
      <c r="AI50" s="1077"/>
      <c r="AJ50" s="1077"/>
      <c r="AK50" s="1077"/>
      <c r="AL50" s="1077"/>
      <c r="AM50" s="1077"/>
      <c r="AN50" s="1077"/>
      <c r="AO50" s="1077"/>
      <c r="AP50" s="1077"/>
      <c r="AQ50" s="1077"/>
      <c r="AR50" s="1077"/>
      <c r="AS50" s="1077"/>
      <c r="AT50" s="1077"/>
      <c r="AU50" s="1077"/>
      <c r="AV50" s="1077"/>
      <c r="AW50" s="1077"/>
      <c r="AX50" s="1077"/>
      <c r="AY50" s="1077"/>
      <c r="AZ50" s="1077"/>
      <c r="BA50" s="1077"/>
      <c r="BB50" s="1077"/>
      <c r="BC50" s="1077"/>
      <c r="BD50" s="1077"/>
      <c r="BE50" s="1077"/>
      <c r="BF50" s="1077"/>
      <c r="BG50" s="1077"/>
      <c r="BH50" s="1077"/>
      <c r="BI50" s="1077"/>
      <c r="BJ50" s="1077"/>
      <c r="BK50" s="1077"/>
      <c r="BL50" s="1077"/>
      <c r="BM50" s="1077"/>
      <c r="BN50" s="1077"/>
      <c r="BO50" s="1077"/>
      <c r="BP50" s="1077"/>
      <c r="BQ50" s="1077"/>
      <c r="BR50" s="1077"/>
      <c r="BS50" s="1077"/>
      <c r="BT50" s="1077"/>
      <c r="BU50" s="1077"/>
    </row>
    <row r="51" spans="1:73" x14ac:dyDescent="0.2">
      <c r="A51" s="1077"/>
      <c r="B51" s="1089">
        <v>1</v>
      </c>
      <c r="C51" s="1082">
        <v>1</v>
      </c>
      <c r="D51" s="1082">
        <v>1</v>
      </c>
      <c r="E51" s="1082">
        <v>1</v>
      </c>
      <c r="F51" s="1082">
        <v>1</v>
      </c>
      <c r="G51" s="1082">
        <v>1</v>
      </c>
      <c r="H51" s="1082">
        <v>1</v>
      </c>
      <c r="I51" s="1082">
        <v>1</v>
      </c>
      <c r="J51" s="1077"/>
      <c r="K51" s="1095">
        <v>2.4111382454761561</v>
      </c>
      <c r="L51" s="1096">
        <v>0</v>
      </c>
      <c r="M51" s="1096">
        <v>1.6418275002923967E-3</v>
      </c>
      <c r="N51" s="1096">
        <v>0.14942045524399045</v>
      </c>
      <c r="O51" s="1096">
        <v>2.0985595575770056E-2</v>
      </c>
      <c r="P51" s="1096">
        <v>2.8489350007646817E-2</v>
      </c>
      <c r="Q51" s="1096">
        <v>5.4915061535724839E-3</v>
      </c>
      <c r="R51" s="1096">
        <v>1.6201557621688327E-3</v>
      </c>
      <c r="S51" s="1096">
        <v>0.25862031433665061</v>
      </c>
      <c r="T51" s="1096">
        <v>1.3716385995415594</v>
      </c>
      <c r="U51" s="1096">
        <v>0.21197338494250778</v>
      </c>
      <c r="V51" s="1096">
        <v>0.24553111712834094</v>
      </c>
      <c r="W51" s="1096">
        <v>9.8159081625125419E-2</v>
      </c>
      <c r="X51" s="1096">
        <v>1.6440982758693726E-2</v>
      </c>
      <c r="Y51" s="1096">
        <v>4.4095299004201019E-3</v>
      </c>
      <c r="Z51" s="1211"/>
      <c r="AA51" s="1077"/>
      <c r="AB51" s="1077"/>
      <c r="AC51" s="1077"/>
      <c r="AD51" s="1077"/>
      <c r="AE51" s="1077"/>
      <c r="AF51" s="1077"/>
      <c r="AG51" s="1077"/>
      <c r="AH51" s="1077"/>
      <c r="AI51" s="1077"/>
      <c r="AJ51" s="1077"/>
      <c r="AK51" s="1077"/>
      <c r="AL51" s="1077"/>
      <c r="AM51" s="1077"/>
      <c r="AN51" s="1077"/>
      <c r="AO51" s="1077"/>
      <c r="AP51" s="1077"/>
      <c r="AQ51" s="1077"/>
      <c r="AR51" s="1077"/>
      <c r="AS51" s="1077"/>
      <c r="AT51" s="1077"/>
      <c r="AU51" s="1077"/>
      <c r="AV51" s="1077"/>
      <c r="AW51" s="1077"/>
      <c r="AX51" s="1077"/>
      <c r="AY51" s="1077"/>
      <c r="AZ51" s="1077"/>
      <c r="BA51" s="1077"/>
      <c r="BB51" s="1077"/>
      <c r="BC51" s="1077"/>
      <c r="BD51" s="1077"/>
      <c r="BE51" s="1077"/>
      <c r="BF51" s="1077"/>
      <c r="BG51" s="1077"/>
      <c r="BH51" s="1077"/>
      <c r="BI51" s="1077"/>
      <c r="BJ51" s="1077"/>
      <c r="BK51" s="1077"/>
      <c r="BL51" s="1077"/>
      <c r="BM51" s="1077"/>
      <c r="BN51" s="1077"/>
      <c r="BO51" s="1077"/>
      <c r="BP51" s="1077"/>
      <c r="BQ51" s="1077"/>
      <c r="BR51" s="1077"/>
      <c r="BS51" s="1077"/>
      <c r="BT51" s="1077"/>
      <c r="BU51" s="1077"/>
    </row>
    <row r="52" spans="1:73" x14ac:dyDescent="0.2">
      <c r="A52" s="1077"/>
      <c r="B52" s="1097">
        <f>+B51+1</f>
        <v>2</v>
      </c>
      <c r="C52" s="1098">
        <f>+F3</f>
        <v>1.05</v>
      </c>
      <c r="D52" s="1098">
        <v>1</v>
      </c>
      <c r="E52" s="1098">
        <v>1</v>
      </c>
      <c r="F52" s="1098">
        <v>1</v>
      </c>
      <c r="G52" s="1098">
        <v>1</v>
      </c>
      <c r="H52" s="1098">
        <v>1</v>
      </c>
      <c r="I52" s="1098">
        <v>1</v>
      </c>
      <c r="J52" s="1077"/>
      <c r="K52" s="1095">
        <v>2.3717195249913128</v>
      </c>
      <c r="L52" s="1096">
        <v>0</v>
      </c>
      <c r="M52" s="1096">
        <v>1.563645238373711E-3</v>
      </c>
      <c r="N52" s="1096">
        <v>0.14230519547046708</v>
      </c>
      <c r="O52" s="1096">
        <v>1.998628150073338E-2</v>
      </c>
      <c r="P52" s="1096">
        <v>2.8142974902194199E-2</v>
      </c>
      <c r="Q52" s="1096">
        <v>5.2300058605452221E-3</v>
      </c>
      <c r="R52" s="1096">
        <v>1.5430054877798405E-3</v>
      </c>
      <c r="S52" s="1096">
        <v>0.24630506127300053</v>
      </c>
      <c r="T52" s="1096">
        <v>1.3716385995415585</v>
      </c>
      <c r="U52" s="1096">
        <v>0.20187941423095973</v>
      </c>
      <c r="V52" s="1096">
        <v>0.24255998469951776</v>
      </c>
      <c r="W52" s="1096">
        <v>9.3484839642976575E-2</v>
      </c>
      <c r="X52" s="1096">
        <v>1.6008255333838126E-2</v>
      </c>
      <c r="Y52" s="1096">
        <v>4.1995522861143818E-3</v>
      </c>
      <c r="Z52" s="1211"/>
      <c r="AA52" s="1077"/>
      <c r="AB52" s="1077"/>
      <c r="AC52" s="1077"/>
      <c r="AD52" s="1077"/>
      <c r="AE52" s="1077"/>
      <c r="AF52" s="1077"/>
      <c r="AG52" s="1077"/>
      <c r="AH52" s="1077"/>
      <c r="AI52" s="1077"/>
      <c r="AJ52" s="1077"/>
      <c r="AK52" s="1077"/>
      <c r="AL52" s="1077"/>
      <c r="AM52" s="1077"/>
      <c r="AN52" s="1077"/>
      <c r="AO52" s="1077"/>
      <c r="AP52" s="1077"/>
      <c r="AQ52" s="1077"/>
      <c r="AR52" s="1077"/>
      <c r="AS52" s="1077"/>
      <c r="AT52" s="1077"/>
      <c r="AU52" s="1077"/>
      <c r="AV52" s="1077"/>
      <c r="AW52" s="1077"/>
      <c r="AX52" s="1077"/>
      <c r="AY52" s="1077"/>
      <c r="AZ52" s="1077"/>
      <c r="BA52" s="1077"/>
      <c r="BB52" s="1077"/>
      <c r="BC52" s="1077"/>
      <c r="BD52" s="1077"/>
      <c r="BE52" s="1077"/>
      <c r="BF52" s="1077"/>
      <c r="BG52" s="1077"/>
      <c r="BH52" s="1077"/>
      <c r="BI52" s="1077"/>
      <c r="BJ52" s="1077"/>
      <c r="BK52" s="1077"/>
      <c r="BL52" s="1077"/>
      <c r="BM52" s="1077"/>
      <c r="BN52" s="1077"/>
      <c r="BO52" s="1077"/>
      <c r="BP52" s="1077"/>
      <c r="BQ52" s="1077"/>
      <c r="BR52" s="1077"/>
      <c r="BS52" s="1077"/>
      <c r="BT52" s="1077"/>
      <c r="BU52" s="1077"/>
    </row>
    <row r="53" spans="1:73" x14ac:dyDescent="0.2">
      <c r="A53" s="1077"/>
      <c r="B53" s="1097">
        <f t="shared" ref="B53:B70" si="6">+B52+1</f>
        <v>3</v>
      </c>
      <c r="C53" s="1098">
        <f>+G3</f>
        <v>0.95</v>
      </c>
      <c r="D53" s="1098">
        <v>1</v>
      </c>
      <c r="E53" s="1098">
        <v>1</v>
      </c>
      <c r="F53" s="1098">
        <v>1</v>
      </c>
      <c r="G53" s="1098">
        <v>1</v>
      </c>
      <c r="H53" s="1098">
        <v>1</v>
      </c>
      <c r="I53" s="1098">
        <v>1</v>
      </c>
      <c r="J53" s="1077"/>
      <c r="K53" s="1095">
        <v>2.4547063049594002</v>
      </c>
      <c r="L53" s="1096">
        <v>0</v>
      </c>
      <c r="M53" s="1096">
        <v>1.7282394739919966E-3</v>
      </c>
      <c r="N53" s="1096">
        <v>0.15728468973051624</v>
      </c>
      <c r="O53" s="1096">
        <v>2.2090100606073741E-2</v>
      </c>
      <c r="P53" s="1096">
        <v>2.8872185650515511E-2</v>
      </c>
      <c r="Q53" s="1096">
        <v>5.7805327932341942E-3</v>
      </c>
      <c r="R53" s="1096">
        <v>1.7054271180724553E-3</v>
      </c>
      <c r="S53" s="1096">
        <v>0.27223190982805323</v>
      </c>
      <c r="T53" s="1096">
        <v>1.3716385995415592</v>
      </c>
      <c r="U53" s="1096">
        <v>0.22312987888685026</v>
      </c>
      <c r="V53" s="1096">
        <v>0.2488150003391455</v>
      </c>
      <c r="W53" s="1096">
        <v>0.10332534907907938</v>
      </c>
      <c r="X53" s="1096">
        <v>1.691926043879716E-2</v>
      </c>
      <c r="Y53" s="1096">
        <v>4.6416104214948434E-3</v>
      </c>
      <c r="Z53" s="1211"/>
      <c r="AA53" s="1077"/>
      <c r="AB53" s="1077"/>
      <c r="AC53" s="1077"/>
      <c r="AD53" s="1077"/>
      <c r="AE53" s="1077"/>
      <c r="AF53" s="1077"/>
      <c r="AG53" s="1077"/>
      <c r="AH53" s="1077"/>
      <c r="AI53" s="1077"/>
      <c r="AJ53" s="1077"/>
      <c r="AK53" s="1077"/>
      <c r="AL53" s="1077"/>
      <c r="AM53" s="1077"/>
      <c r="AN53" s="1077"/>
      <c r="AO53" s="1077"/>
      <c r="AP53" s="1077"/>
      <c r="AQ53" s="1077"/>
      <c r="AR53" s="1077"/>
      <c r="AS53" s="1077"/>
      <c r="AT53" s="1077"/>
      <c r="AU53" s="1077"/>
      <c r="AV53" s="1077"/>
      <c r="AW53" s="1077"/>
      <c r="AX53" s="1077"/>
      <c r="AY53" s="1077"/>
      <c r="AZ53" s="1077"/>
      <c r="BA53" s="1077"/>
      <c r="BB53" s="1077"/>
      <c r="BC53" s="1077"/>
      <c r="BD53" s="1077"/>
      <c r="BE53" s="1077"/>
      <c r="BF53" s="1077"/>
      <c r="BG53" s="1077"/>
      <c r="BH53" s="1077"/>
      <c r="BI53" s="1077"/>
      <c r="BJ53" s="1077"/>
      <c r="BK53" s="1077"/>
      <c r="BL53" s="1077"/>
      <c r="BM53" s="1077"/>
      <c r="BN53" s="1077"/>
      <c r="BO53" s="1077"/>
      <c r="BP53" s="1077"/>
      <c r="BQ53" s="1077"/>
      <c r="BR53" s="1077"/>
      <c r="BS53" s="1077"/>
      <c r="BT53" s="1077"/>
      <c r="BU53" s="1077"/>
    </row>
    <row r="54" spans="1:73" x14ac:dyDescent="0.2">
      <c r="A54" s="1077"/>
      <c r="B54" s="1089">
        <f t="shared" si="6"/>
        <v>4</v>
      </c>
      <c r="C54" s="1082">
        <v>1</v>
      </c>
      <c r="D54" s="1082">
        <f>+F4</f>
        <v>1.05</v>
      </c>
      <c r="E54" s="1082">
        <v>1</v>
      </c>
      <c r="F54" s="1082">
        <v>1</v>
      </c>
      <c r="G54" s="1082">
        <v>1</v>
      </c>
      <c r="H54" s="1082">
        <v>1</v>
      </c>
      <c r="I54" s="1082">
        <v>1</v>
      </c>
      <c r="J54" s="1077"/>
      <c r="K54" s="1095">
        <v>2.4017774627996471</v>
      </c>
      <c r="L54" s="1096">
        <v>0</v>
      </c>
      <c r="M54" s="1096">
        <v>1.6242986372420952E-3</v>
      </c>
      <c r="N54" s="1096">
        <v>0.147825177605859</v>
      </c>
      <c r="O54" s="1096">
        <v>2.0761544248324784E-2</v>
      </c>
      <c r="P54" s="1096">
        <v>2.8404680173223534E-2</v>
      </c>
      <c r="Q54" s="1096">
        <v>5.4328764502152701E-3</v>
      </c>
      <c r="R54" s="1096">
        <v>1.6028582760016462E-3</v>
      </c>
      <c r="S54" s="1096">
        <v>0.25241644557762755</v>
      </c>
      <c r="T54" s="1096">
        <v>1.3716385995415585</v>
      </c>
      <c r="U54" s="1096">
        <v>0.2119733849425077</v>
      </c>
      <c r="V54" s="1096">
        <v>0.24553111712834089</v>
      </c>
      <c r="W54" s="1096">
        <v>9.7111092662433673E-2</v>
      </c>
      <c r="X54" s="1096">
        <v>1.6341532985607313E-2</v>
      </c>
      <c r="Y54" s="1096">
        <v>4.3624518451878024E-3</v>
      </c>
      <c r="Z54" s="1211"/>
      <c r="AA54" s="1077"/>
      <c r="AB54" s="1077"/>
      <c r="AC54" s="1077"/>
      <c r="AD54" s="1077"/>
      <c r="AE54" s="1077"/>
      <c r="AF54" s="1077"/>
      <c r="AG54" s="1077"/>
      <c r="AH54" s="1077"/>
      <c r="AI54" s="1077"/>
      <c r="AJ54" s="1077"/>
      <c r="AK54" s="1077"/>
      <c r="AL54" s="1077"/>
      <c r="AM54" s="1077"/>
      <c r="AN54" s="1077"/>
      <c r="AO54" s="1077"/>
      <c r="AP54" s="1077"/>
      <c r="AQ54" s="1077"/>
      <c r="AR54" s="1077"/>
      <c r="AS54" s="1077"/>
      <c r="AT54" s="1077"/>
      <c r="AU54" s="1077"/>
      <c r="AV54" s="1077"/>
      <c r="AW54" s="1077"/>
      <c r="AX54" s="1077"/>
      <c r="AY54" s="1077"/>
      <c r="AZ54" s="1077"/>
      <c r="BA54" s="1077"/>
      <c r="BB54" s="1077"/>
      <c r="BC54" s="1077"/>
      <c r="BD54" s="1077"/>
      <c r="BE54" s="1077"/>
      <c r="BF54" s="1077"/>
      <c r="BG54" s="1077"/>
      <c r="BH54" s="1077"/>
      <c r="BI54" s="1077"/>
      <c r="BJ54" s="1077"/>
      <c r="BK54" s="1077"/>
      <c r="BL54" s="1077"/>
      <c r="BM54" s="1077"/>
      <c r="BN54" s="1077"/>
      <c r="BO54" s="1077"/>
      <c r="BP54" s="1077"/>
      <c r="BQ54" s="1077"/>
      <c r="BR54" s="1077"/>
      <c r="BS54" s="1077"/>
      <c r="BT54" s="1077"/>
      <c r="BU54" s="1077"/>
    </row>
    <row r="55" spans="1:73" x14ac:dyDescent="0.2">
      <c r="A55" s="1077"/>
      <c r="B55" s="1089">
        <f t="shared" si="6"/>
        <v>5</v>
      </c>
      <c r="C55" s="1082">
        <v>1</v>
      </c>
      <c r="D55" s="1082">
        <f>+G4</f>
        <v>0.95</v>
      </c>
      <c r="E55" s="1082">
        <v>1</v>
      </c>
      <c r="F55" s="1082">
        <v>1</v>
      </c>
      <c r="G55" s="1082">
        <v>1</v>
      </c>
      <c r="H55" s="1082">
        <v>1</v>
      </c>
      <c r="I55" s="1082">
        <v>1</v>
      </c>
      <c r="J55" s="1077"/>
      <c r="K55" s="1095">
        <v>2.4212711951023391</v>
      </c>
      <c r="L55" s="1096">
        <v>0</v>
      </c>
      <c r="M55" s="1096">
        <v>1.6604596732696653E-3</v>
      </c>
      <c r="N55" s="1096">
        <v>0.1511161435961178</v>
      </c>
      <c r="O55" s="1096">
        <v>2.122374924704741E-2</v>
      </c>
      <c r="P55" s="1096">
        <v>2.8581801345220675E-2</v>
      </c>
      <c r="Q55" s="1096">
        <v>5.5538261552418875E-3</v>
      </c>
      <c r="R55" s="1096">
        <v>1.6385419948305904E-3</v>
      </c>
      <c r="S55" s="1096">
        <v>0.26539434394012101</v>
      </c>
      <c r="T55" s="1096">
        <v>1.3716385995415592</v>
      </c>
      <c r="U55" s="1096">
        <v>0.21197338494250781</v>
      </c>
      <c r="V55" s="1096">
        <v>0.24553111712834097</v>
      </c>
      <c r="W55" s="1096">
        <v>9.9273033601081154E-2</v>
      </c>
      <c r="X55" s="1096">
        <v>1.6547542118833171E-2</v>
      </c>
      <c r="Y55" s="1096">
        <v>4.4595711647054384E-3</v>
      </c>
      <c r="Z55" s="1211"/>
      <c r="AA55" s="1077"/>
      <c r="AB55" s="1077"/>
      <c r="AC55" s="1077"/>
      <c r="AD55" s="1077"/>
      <c r="AE55" s="1077"/>
      <c r="AF55" s="1077"/>
      <c r="AG55" s="1077"/>
      <c r="AH55" s="1077"/>
      <c r="AI55" s="1077"/>
      <c r="AJ55" s="1077"/>
      <c r="AK55" s="1077"/>
      <c r="AL55" s="1077"/>
      <c r="AM55" s="1077"/>
      <c r="AN55" s="1077"/>
      <c r="AO55" s="1077"/>
      <c r="AP55" s="1077"/>
      <c r="AQ55" s="1077"/>
      <c r="AR55" s="1077"/>
      <c r="AS55" s="1077"/>
      <c r="AT55" s="1077"/>
      <c r="AU55" s="1077"/>
      <c r="AV55" s="1077"/>
      <c r="AW55" s="1077"/>
      <c r="AX55" s="1077"/>
      <c r="AY55" s="1077"/>
      <c r="AZ55" s="1077"/>
      <c r="BA55" s="1077"/>
      <c r="BB55" s="1077"/>
      <c r="BC55" s="1077"/>
      <c r="BD55" s="1077"/>
      <c r="BE55" s="1077"/>
      <c r="BF55" s="1077"/>
      <c r="BG55" s="1077"/>
      <c r="BH55" s="1077"/>
      <c r="BI55" s="1077"/>
      <c r="BJ55" s="1077"/>
      <c r="BK55" s="1077"/>
      <c r="BL55" s="1077"/>
      <c r="BM55" s="1077"/>
      <c r="BN55" s="1077"/>
      <c r="BO55" s="1077"/>
      <c r="BP55" s="1077"/>
      <c r="BQ55" s="1077"/>
      <c r="BR55" s="1077"/>
      <c r="BS55" s="1077"/>
      <c r="BT55" s="1077"/>
      <c r="BU55" s="1077"/>
    </row>
    <row r="56" spans="1:73" x14ac:dyDescent="0.2">
      <c r="A56" s="1077"/>
      <c r="B56" s="1097">
        <f t="shared" si="6"/>
        <v>6</v>
      </c>
      <c r="C56" s="1098">
        <v>1</v>
      </c>
      <c r="D56" s="1098">
        <v>1</v>
      </c>
      <c r="E56" s="1098">
        <f>+F5</f>
        <v>0.95</v>
      </c>
      <c r="F56" s="1098">
        <v>1</v>
      </c>
      <c r="G56" s="1098">
        <v>1</v>
      </c>
      <c r="H56" s="1098">
        <v>1</v>
      </c>
      <c r="I56" s="1098">
        <v>1</v>
      </c>
      <c r="J56" s="1077"/>
      <c r="K56" s="1095">
        <v>2.3981518107823239</v>
      </c>
      <c r="L56" s="1096">
        <v>0</v>
      </c>
      <c r="M56" s="1096">
        <v>1.8205055488574227E-3</v>
      </c>
      <c r="N56" s="1096">
        <v>0.14241276366491534</v>
      </c>
      <c r="O56" s="1096">
        <v>2.0952547202839879E-2</v>
      </c>
      <c r="P56" s="1096">
        <v>2.7404339406443594E-2</v>
      </c>
      <c r="Q56" s="1096">
        <v>5.2104306666281358E-3</v>
      </c>
      <c r="R56" s="1096">
        <v>1.7964753023788451E-3</v>
      </c>
      <c r="S56" s="1096">
        <v>0.25821303589822564</v>
      </c>
      <c r="T56" s="1096">
        <v>1.370562847202597</v>
      </c>
      <c r="U56" s="1096">
        <v>0.2118031716072182</v>
      </c>
      <c r="V56" s="1096">
        <v>0.24571493542281861</v>
      </c>
      <c r="W56" s="1096">
        <v>9.643493075003963E-2</v>
      </c>
      <c r="X56" s="1096">
        <v>1.4577425641924701E-2</v>
      </c>
      <c r="Y56" s="1096">
        <v>4.8894135651509464E-3</v>
      </c>
      <c r="Z56" s="1211"/>
      <c r="AA56" s="1077"/>
      <c r="AB56" s="1077"/>
      <c r="AC56" s="1077"/>
      <c r="AD56" s="1077"/>
      <c r="AE56" s="1077"/>
      <c r="AF56" s="1077"/>
      <c r="AG56" s="1077"/>
      <c r="AH56" s="1077"/>
      <c r="AI56" s="1077"/>
      <c r="AJ56" s="1077"/>
      <c r="AK56" s="1077"/>
      <c r="AL56" s="1077"/>
      <c r="AM56" s="1077"/>
      <c r="AN56" s="1077"/>
      <c r="AO56" s="1077"/>
      <c r="AP56" s="1077"/>
      <c r="AQ56" s="1077"/>
      <c r="AR56" s="1077"/>
      <c r="AS56" s="1077"/>
      <c r="AT56" s="1077"/>
      <c r="AU56" s="1077"/>
      <c r="AV56" s="1077"/>
      <c r="AW56" s="1077"/>
      <c r="AX56" s="1077"/>
      <c r="AY56" s="1077"/>
      <c r="AZ56" s="1077"/>
      <c r="BA56" s="1077"/>
      <c r="BB56" s="1077"/>
      <c r="BC56" s="1077"/>
      <c r="BD56" s="1077"/>
      <c r="BE56" s="1077"/>
      <c r="BF56" s="1077"/>
      <c r="BG56" s="1077"/>
      <c r="BH56" s="1077"/>
      <c r="BI56" s="1077"/>
      <c r="BJ56" s="1077"/>
      <c r="BK56" s="1077"/>
      <c r="BL56" s="1077"/>
      <c r="BM56" s="1077"/>
      <c r="BN56" s="1077"/>
      <c r="BO56" s="1077"/>
      <c r="BP56" s="1077"/>
      <c r="BQ56" s="1077"/>
      <c r="BR56" s="1077"/>
      <c r="BS56" s="1077"/>
      <c r="BT56" s="1077"/>
      <c r="BU56" s="1077"/>
    </row>
    <row r="57" spans="1:73" x14ac:dyDescent="0.2">
      <c r="A57" s="1077"/>
      <c r="B57" s="1097">
        <f t="shared" si="6"/>
        <v>7</v>
      </c>
      <c r="C57" s="1098">
        <v>1</v>
      </c>
      <c r="D57" s="1098">
        <v>1</v>
      </c>
      <c r="E57" s="1098">
        <f>+G5</f>
        <v>1.05</v>
      </c>
      <c r="F57" s="1098">
        <v>1</v>
      </c>
      <c r="G57" s="1098">
        <v>1</v>
      </c>
      <c r="H57" s="1098">
        <v>1</v>
      </c>
      <c r="I57" s="1098">
        <v>1</v>
      </c>
      <c r="J57" s="1077"/>
      <c r="K57" s="1095">
        <v>2.4244248794700054</v>
      </c>
      <c r="L57" s="1096">
        <v>0</v>
      </c>
      <c r="M57" s="1096">
        <v>1.4794948863293543E-3</v>
      </c>
      <c r="N57" s="1096">
        <v>0.15655995420919266</v>
      </c>
      <c r="O57" s="1096">
        <v>2.1018904071997496E-2</v>
      </c>
      <c r="P57" s="1096">
        <v>2.9568156104698755E-2</v>
      </c>
      <c r="Q57" s="1096">
        <v>5.7797564634626767E-3</v>
      </c>
      <c r="R57" s="1096">
        <v>1.4599659006557851E-3</v>
      </c>
      <c r="S57" s="1096">
        <v>0.25903079845816712</v>
      </c>
      <c r="T57" s="1096">
        <v>1.3727252497452316</v>
      </c>
      <c r="U57" s="1096">
        <v>0.21214493802466211</v>
      </c>
      <c r="V57" s="1096">
        <v>0.24535660127597192</v>
      </c>
      <c r="W57" s="1096">
        <v>9.9895435720664921E-2</v>
      </c>
      <c r="X57" s="1096">
        <v>1.8391068477671794E-2</v>
      </c>
      <c r="Y57" s="1096">
        <v>3.9735459039552425E-3</v>
      </c>
      <c r="Z57" s="1211"/>
      <c r="AA57" s="1077"/>
      <c r="AB57" s="1077"/>
      <c r="AC57" s="1077"/>
      <c r="AD57" s="1077"/>
      <c r="AE57" s="1077"/>
      <c r="AF57" s="1077"/>
      <c r="AG57" s="1077"/>
      <c r="AH57" s="1077"/>
      <c r="AI57" s="1077"/>
      <c r="AJ57" s="1077"/>
      <c r="AK57" s="1077"/>
      <c r="AL57" s="1077"/>
      <c r="AM57" s="1077"/>
      <c r="AN57" s="1077"/>
      <c r="AO57" s="1077"/>
      <c r="AP57" s="1077"/>
      <c r="AQ57" s="1077"/>
      <c r="AR57" s="1077"/>
      <c r="AS57" s="1077"/>
      <c r="AT57" s="1077"/>
      <c r="AU57" s="1077"/>
      <c r="AV57" s="1077"/>
      <c r="AW57" s="1077"/>
      <c r="AX57" s="1077"/>
      <c r="AY57" s="1077"/>
      <c r="AZ57" s="1077"/>
      <c r="BA57" s="1077"/>
      <c r="BB57" s="1077"/>
      <c r="BC57" s="1077"/>
      <c r="BD57" s="1077"/>
      <c r="BE57" s="1077"/>
      <c r="BF57" s="1077"/>
      <c r="BG57" s="1077"/>
      <c r="BH57" s="1077"/>
      <c r="BI57" s="1077"/>
      <c r="BJ57" s="1077"/>
      <c r="BK57" s="1077"/>
      <c r="BL57" s="1077"/>
      <c r="BM57" s="1077"/>
      <c r="BN57" s="1077"/>
      <c r="BO57" s="1077"/>
      <c r="BP57" s="1077"/>
      <c r="BQ57" s="1077"/>
      <c r="BR57" s="1077"/>
      <c r="BS57" s="1077"/>
      <c r="BT57" s="1077"/>
      <c r="BU57" s="1077"/>
    </row>
    <row r="58" spans="1:73" x14ac:dyDescent="0.2">
      <c r="A58" s="1077"/>
      <c r="B58" s="1089">
        <f t="shared" si="6"/>
        <v>8</v>
      </c>
      <c r="C58" s="1082">
        <v>1</v>
      </c>
      <c r="D58" s="1082">
        <v>1</v>
      </c>
      <c r="E58" s="1082">
        <v>1</v>
      </c>
      <c r="F58" s="1082">
        <f>+F6</f>
        <v>0.95</v>
      </c>
      <c r="G58" s="1082">
        <v>1</v>
      </c>
      <c r="H58" s="1082">
        <v>1</v>
      </c>
      <c r="I58" s="1082">
        <v>1</v>
      </c>
      <c r="J58" s="1077"/>
      <c r="K58" s="1095">
        <v>2.3412960583840761</v>
      </c>
      <c r="L58" s="1096">
        <v>0</v>
      </c>
      <c r="M58" s="1096">
        <v>1.6418275002923967E-3</v>
      </c>
      <c r="N58" s="1096">
        <v>0.14942045524399045</v>
      </c>
      <c r="O58" s="1096">
        <v>2.0985595575770056E-2</v>
      </c>
      <c r="P58" s="1096">
        <v>2.7553483074046994E-2</v>
      </c>
      <c r="Q58" s="1096">
        <v>5.4915061535724839E-3</v>
      </c>
      <c r="R58" s="1096">
        <v>1.6201557621688327E-3</v>
      </c>
      <c r="S58" s="1096">
        <v>0.25862031433665061</v>
      </c>
      <c r="T58" s="1096">
        <v>1.303056669564481</v>
      </c>
      <c r="U58" s="1096">
        <v>0.21197338494250778</v>
      </c>
      <c r="V58" s="1096">
        <v>0.24553111712834094</v>
      </c>
      <c r="W58" s="1096">
        <v>9.8159081625125419E-2</v>
      </c>
      <c r="X58" s="1096">
        <v>1.6116592577292373E-2</v>
      </c>
      <c r="Y58" s="1096">
        <v>4.4095299004201019E-3</v>
      </c>
      <c r="Z58" s="1211"/>
      <c r="AA58" s="1077"/>
      <c r="AB58" s="1077"/>
      <c r="AC58" s="1077"/>
      <c r="AD58" s="1077"/>
      <c r="AE58" s="1077"/>
      <c r="AF58" s="1077"/>
      <c r="AG58" s="1077"/>
      <c r="AH58" s="1077"/>
      <c r="AI58" s="1077"/>
      <c r="AJ58" s="1077"/>
      <c r="AK58" s="1077"/>
      <c r="AL58" s="1077"/>
      <c r="AM58" s="1077"/>
      <c r="AN58" s="1077"/>
      <c r="AO58" s="1077"/>
      <c r="AP58" s="1077"/>
      <c r="AQ58" s="1077"/>
      <c r="AR58" s="1077"/>
      <c r="AS58" s="1077"/>
      <c r="AT58" s="1077"/>
      <c r="AU58" s="1077"/>
      <c r="AV58" s="1077"/>
      <c r="AW58" s="1077"/>
      <c r="AX58" s="1077"/>
      <c r="AY58" s="1077"/>
      <c r="AZ58" s="1077"/>
      <c r="BA58" s="1077"/>
      <c r="BB58" s="1077"/>
      <c r="BC58" s="1077"/>
      <c r="BD58" s="1077"/>
      <c r="BE58" s="1077"/>
      <c r="BF58" s="1077"/>
      <c r="BG58" s="1077"/>
      <c r="BH58" s="1077"/>
      <c r="BI58" s="1077"/>
      <c r="BJ58" s="1077"/>
      <c r="BK58" s="1077"/>
      <c r="BL58" s="1077"/>
      <c r="BM58" s="1077"/>
      <c r="BN58" s="1077"/>
      <c r="BO58" s="1077"/>
      <c r="BP58" s="1077"/>
      <c r="BQ58" s="1077"/>
      <c r="BR58" s="1077"/>
      <c r="BS58" s="1077"/>
      <c r="BT58" s="1077"/>
      <c r="BU58" s="1077"/>
    </row>
    <row r="59" spans="1:73" x14ac:dyDescent="0.2">
      <c r="A59" s="1077"/>
      <c r="B59" s="1089">
        <f t="shared" si="6"/>
        <v>9</v>
      </c>
      <c r="C59" s="1082">
        <v>1</v>
      </c>
      <c r="D59" s="1082">
        <v>1</v>
      </c>
      <c r="E59" s="1082">
        <v>1</v>
      </c>
      <c r="F59" s="1082">
        <f>+G6</f>
        <v>1.05</v>
      </c>
      <c r="G59" s="1082">
        <v>1</v>
      </c>
      <c r="H59" s="1082">
        <v>1</v>
      </c>
      <c r="I59" s="1082">
        <v>1</v>
      </c>
      <c r="J59" s="1077"/>
      <c r="K59" s="1095">
        <v>2.4809804325682334</v>
      </c>
      <c r="L59" s="1096">
        <v>0</v>
      </c>
      <c r="M59" s="1096">
        <v>1.6418275002923967E-3</v>
      </c>
      <c r="N59" s="1096">
        <v>0.14942045524399045</v>
      </c>
      <c r="O59" s="1096">
        <v>2.0985595575770056E-2</v>
      </c>
      <c r="P59" s="1096">
        <v>2.9425216941246661E-2</v>
      </c>
      <c r="Q59" s="1096">
        <v>5.4915061535724839E-3</v>
      </c>
      <c r="R59" s="1096">
        <v>1.6201557621688327E-3</v>
      </c>
      <c r="S59" s="1096">
        <v>0.25862031433665061</v>
      </c>
      <c r="T59" s="1096">
        <v>1.4402205295186363</v>
      </c>
      <c r="U59" s="1096">
        <v>0.21197338494250778</v>
      </c>
      <c r="V59" s="1096">
        <v>0.24553111712834094</v>
      </c>
      <c r="W59" s="1096">
        <v>9.8159081625125419E-2</v>
      </c>
      <c r="X59" s="1096">
        <v>1.6765372940094808E-2</v>
      </c>
      <c r="Y59" s="1096">
        <v>4.4095299004201019E-3</v>
      </c>
      <c r="Z59" s="1211"/>
      <c r="AA59" s="1077"/>
      <c r="AB59" s="1077"/>
      <c r="AC59" s="1077"/>
      <c r="AD59" s="1077"/>
      <c r="AE59" s="1077"/>
      <c r="AF59" s="1077"/>
      <c r="AG59" s="1077"/>
      <c r="AH59" s="1077"/>
      <c r="AI59" s="1077"/>
      <c r="AJ59" s="1077"/>
      <c r="AK59" s="1077"/>
      <c r="AL59" s="1077"/>
      <c r="AM59" s="1077"/>
      <c r="AN59" s="1077"/>
      <c r="AO59" s="1077"/>
      <c r="AP59" s="1077"/>
      <c r="AQ59" s="1077"/>
      <c r="AR59" s="1077"/>
      <c r="AS59" s="1077"/>
      <c r="AT59" s="1077"/>
      <c r="AU59" s="1077"/>
      <c r="AV59" s="1077"/>
      <c r="AW59" s="1077"/>
      <c r="AX59" s="1077"/>
      <c r="AY59" s="1077"/>
      <c r="AZ59" s="1077"/>
      <c r="BA59" s="1077"/>
      <c r="BB59" s="1077"/>
      <c r="BC59" s="1077"/>
      <c r="BD59" s="1077"/>
      <c r="BE59" s="1077"/>
      <c r="BF59" s="1077"/>
      <c r="BG59" s="1077"/>
      <c r="BH59" s="1077"/>
      <c r="BI59" s="1077"/>
      <c r="BJ59" s="1077"/>
      <c r="BK59" s="1077"/>
      <c r="BL59" s="1077"/>
      <c r="BM59" s="1077"/>
      <c r="BN59" s="1077"/>
      <c r="BO59" s="1077"/>
      <c r="BP59" s="1077"/>
      <c r="BQ59" s="1077"/>
      <c r="BR59" s="1077"/>
      <c r="BS59" s="1077"/>
      <c r="BT59" s="1077"/>
      <c r="BU59" s="1077"/>
    </row>
    <row r="60" spans="1:73" x14ac:dyDescent="0.2">
      <c r="A60" s="1077"/>
      <c r="B60" s="1097">
        <f t="shared" si="6"/>
        <v>10</v>
      </c>
      <c r="C60" s="1098">
        <v>1</v>
      </c>
      <c r="D60" s="1098">
        <v>1</v>
      </c>
      <c r="E60" s="1098">
        <v>1</v>
      </c>
      <c r="F60" s="1098">
        <v>1</v>
      </c>
      <c r="G60" s="1098">
        <f>+F7</f>
        <v>0.95</v>
      </c>
      <c r="H60" s="1098">
        <v>1</v>
      </c>
      <c r="I60" s="1098">
        <v>1</v>
      </c>
      <c r="J60" s="1077"/>
      <c r="K60" s="1095">
        <v>2.4024428512494405</v>
      </c>
      <c r="L60" s="1096">
        <v>0</v>
      </c>
      <c r="M60" s="1096">
        <v>1.6418275002923967E-3</v>
      </c>
      <c r="N60" s="1096">
        <v>0.14942045524399045</v>
      </c>
      <c r="O60" s="1096">
        <v>2.0985595575770056E-2</v>
      </c>
      <c r="P60" s="1096">
        <v>2.8372881315156803E-2</v>
      </c>
      <c r="Q60" s="1096">
        <v>5.4915061535724839E-3</v>
      </c>
      <c r="R60" s="1096">
        <v>1.6201557621688327E-3</v>
      </c>
      <c r="S60" s="1096">
        <v>0.25862031433665061</v>
      </c>
      <c r="T60" s="1096">
        <v>1.3716385995415594</v>
      </c>
      <c r="U60" s="1096">
        <v>0.21197338494250778</v>
      </c>
      <c r="V60" s="1096">
        <v>0.23699256197042473</v>
      </c>
      <c r="W60" s="1096">
        <v>9.8159081625125419E-2</v>
      </c>
      <c r="X60" s="1096">
        <v>1.6400612382384893E-2</v>
      </c>
      <c r="Y60" s="1096">
        <v>4.4095299004201019E-3</v>
      </c>
      <c r="Z60" s="1211"/>
      <c r="AA60" s="1077"/>
      <c r="AB60" s="1077"/>
      <c r="AC60" s="1077"/>
      <c r="AD60" s="1077"/>
      <c r="AE60" s="1077"/>
      <c r="AF60" s="1077"/>
      <c r="AG60" s="1077"/>
      <c r="AH60" s="1077"/>
      <c r="AI60" s="1077"/>
      <c r="AJ60" s="1077"/>
      <c r="AK60" s="1077"/>
      <c r="AL60" s="1077"/>
      <c r="AM60" s="1077"/>
      <c r="AN60" s="1077"/>
      <c r="AO60" s="1077"/>
      <c r="AP60" s="1077"/>
      <c r="AQ60" s="1077"/>
      <c r="AR60" s="1077"/>
      <c r="AS60" s="1077"/>
      <c r="AT60" s="1077"/>
      <c r="AU60" s="1077"/>
      <c r="AV60" s="1077"/>
      <c r="AW60" s="1077"/>
      <c r="AX60" s="1077"/>
      <c r="AY60" s="1077"/>
      <c r="AZ60" s="1077"/>
      <c r="BA60" s="1077"/>
      <c r="BB60" s="1077"/>
      <c r="BC60" s="1077"/>
      <c r="BD60" s="1077"/>
      <c r="BE60" s="1077"/>
      <c r="BF60" s="1077"/>
      <c r="BG60" s="1077"/>
      <c r="BH60" s="1077"/>
      <c r="BI60" s="1077"/>
      <c r="BJ60" s="1077"/>
      <c r="BK60" s="1077"/>
      <c r="BL60" s="1077"/>
      <c r="BM60" s="1077"/>
      <c r="BN60" s="1077"/>
      <c r="BO60" s="1077"/>
      <c r="BP60" s="1077"/>
      <c r="BQ60" s="1077"/>
      <c r="BR60" s="1077"/>
      <c r="BS60" s="1077"/>
      <c r="BT60" s="1077"/>
      <c r="BU60" s="1077"/>
    </row>
    <row r="61" spans="1:73" x14ac:dyDescent="0.2">
      <c r="A61" s="1077"/>
      <c r="B61" s="1097">
        <f t="shared" si="6"/>
        <v>11</v>
      </c>
      <c r="C61" s="1098">
        <v>1</v>
      </c>
      <c r="D61" s="1098">
        <v>1</v>
      </c>
      <c r="E61" s="1098">
        <v>1</v>
      </c>
      <c r="F61" s="1098">
        <v>1</v>
      </c>
      <c r="G61" s="1098">
        <f>+G6</f>
        <v>1.05</v>
      </c>
      <c r="H61" s="1098">
        <v>1</v>
      </c>
      <c r="I61" s="1098">
        <v>1</v>
      </c>
      <c r="J61" s="1077"/>
      <c r="K61" s="1095">
        <v>2.4198336397028712</v>
      </c>
      <c r="L61" s="1096">
        <v>0</v>
      </c>
      <c r="M61" s="1096">
        <v>1.6418275002923967E-3</v>
      </c>
      <c r="N61" s="1096">
        <v>0.14942045524399045</v>
      </c>
      <c r="O61" s="1096">
        <v>2.0985595575770056E-2</v>
      </c>
      <c r="P61" s="1096">
        <v>2.8605818700136856E-2</v>
      </c>
      <c r="Q61" s="1096">
        <v>5.4915061535724839E-3</v>
      </c>
      <c r="R61" s="1096">
        <v>1.6201557621688327E-3</v>
      </c>
      <c r="S61" s="1096">
        <v>0.25862031433665061</v>
      </c>
      <c r="T61" s="1096">
        <v>1.3716385995415594</v>
      </c>
      <c r="U61" s="1096">
        <v>0.21197338494250778</v>
      </c>
      <c r="V61" s="1096">
        <v>0.2540696722862571</v>
      </c>
      <c r="W61" s="1096">
        <v>9.8159081625125419E-2</v>
      </c>
      <c r="X61" s="1096">
        <v>1.6481353135002614E-2</v>
      </c>
      <c r="Y61" s="1096">
        <v>4.4095299004201019E-3</v>
      </c>
      <c r="Z61" s="1211"/>
      <c r="AA61" s="1077"/>
      <c r="AB61" s="1077"/>
      <c r="AC61" s="1077"/>
      <c r="AD61" s="1077"/>
      <c r="AE61" s="1077"/>
      <c r="AF61" s="1077"/>
      <c r="AG61" s="1077"/>
      <c r="AH61" s="1077"/>
      <c r="AI61" s="1077"/>
      <c r="AJ61" s="1077"/>
      <c r="AK61" s="1077"/>
      <c r="AL61" s="1077"/>
      <c r="AM61" s="1077"/>
      <c r="AN61" s="1077"/>
      <c r="AO61" s="1077"/>
      <c r="AP61" s="1077"/>
      <c r="AQ61" s="1077"/>
      <c r="AR61" s="1077"/>
      <c r="AS61" s="1077"/>
      <c r="AT61" s="1077"/>
      <c r="AU61" s="1077"/>
      <c r="AV61" s="1077"/>
      <c r="AW61" s="1077"/>
      <c r="AX61" s="1077"/>
      <c r="AY61" s="1077"/>
      <c r="AZ61" s="1077"/>
      <c r="BA61" s="1077"/>
      <c r="BB61" s="1077"/>
      <c r="BC61" s="1077"/>
      <c r="BD61" s="1077"/>
      <c r="BE61" s="1077"/>
      <c r="BF61" s="1077"/>
      <c r="BG61" s="1077"/>
      <c r="BH61" s="1077"/>
      <c r="BI61" s="1077"/>
      <c r="BJ61" s="1077"/>
      <c r="BK61" s="1077"/>
      <c r="BL61" s="1077"/>
      <c r="BM61" s="1077"/>
      <c r="BN61" s="1077"/>
      <c r="BO61" s="1077"/>
      <c r="BP61" s="1077"/>
      <c r="BQ61" s="1077"/>
      <c r="BR61" s="1077"/>
      <c r="BS61" s="1077"/>
      <c r="BT61" s="1077"/>
      <c r="BU61" s="1077"/>
    </row>
    <row r="62" spans="1:73" x14ac:dyDescent="0.2">
      <c r="A62" s="1077"/>
      <c r="B62" s="1089">
        <f t="shared" si="6"/>
        <v>12</v>
      </c>
      <c r="C62" s="1082">
        <v>1</v>
      </c>
      <c r="D62" s="1082">
        <v>1</v>
      </c>
      <c r="E62" s="1082">
        <v>1</v>
      </c>
      <c r="F62" s="1082">
        <v>1</v>
      </c>
      <c r="G62" s="1082">
        <v>1</v>
      </c>
      <c r="H62" s="1082">
        <f>+F8</f>
        <v>0.95</v>
      </c>
      <c r="I62" s="1082">
        <v>1</v>
      </c>
      <c r="J62" s="1077"/>
      <c r="K62" s="1095">
        <v>2.3939870404855514</v>
      </c>
      <c r="L62" s="1096">
        <v>0</v>
      </c>
      <c r="M62" s="1096">
        <v>1.5597361252777768E-3</v>
      </c>
      <c r="N62" s="1096">
        <v>0.14184949761589821</v>
      </c>
      <c r="O62" s="1096">
        <v>2.0985595575770056E-2</v>
      </c>
      <c r="P62" s="1096">
        <v>2.8431301887573927E-2</v>
      </c>
      <c r="Q62" s="1096">
        <v>5.4915061535724839E-3</v>
      </c>
      <c r="R62" s="1096">
        <v>1.5380643871542128E-3</v>
      </c>
      <c r="S62" s="1096">
        <v>0.25436705317116975</v>
      </c>
      <c r="T62" s="1096">
        <v>1.3716385995415594</v>
      </c>
      <c r="U62" s="1096">
        <v>0.21197338494250778</v>
      </c>
      <c r="V62" s="1096">
        <v>0.24553111712834094</v>
      </c>
      <c r="W62" s="1096">
        <v>9.3185477130461339E-2</v>
      </c>
      <c r="X62" s="1096">
        <v>1.6369074837774656E-2</v>
      </c>
      <c r="Y62" s="1096">
        <v>4.1861042390448086E-3</v>
      </c>
      <c r="Z62" s="1211"/>
      <c r="AA62" s="1077"/>
      <c r="AB62" s="1077"/>
      <c r="AC62" s="1077"/>
      <c r="AD62" s="1077"/>
      <c r="AE62" s="1077"/>
      <c r="AF62" s="1077"/>
      <c r="AG62" s="1077"/>
      <c r="AH62" s="1077"/>
      <c r="AI62" s="1077"/>
      <c r="AJ62" s="1077"/>
      <c r="AK62" s="1077"/>
      <c r="AL62" s="1077"/>
      <c r="AM62" s="1077"/>
      <c r="AN62" s="1077"/>
      <c r="AO62" s="1077"/>
      <c r="AP62" s="1077"/>
      <c r="AQ62" s="1077"/>
      <c r="AR62" s="1077"/>
      <c r="AS62" s="1077"/>
      <c r="AT62" s="1077"/>
      <c r="AU62" s="1077"/>
      <c r="AV62" s="1077"/>
      <c r="AW62" s="1077"/>
      <c r="AX62" s="1077"/>
      <c r="AY62" s="1077"/>
      <c r="AZ62" s="1077"/>
      <c r="BA62" s="1077"/>
      <c r="BB62" s="1077"/>
      <c r="BC62" s="1077"/>
      <c r="BD62" s="1077"/>
      <c r="BE62" s="1077"/>
      <c r="BF62" s="1077"/>
      <c r="BG62" s="1077"/>
      <c r="BH62" s="1077"/>
      <c r="BI62" s="1077"/>
      <c r="BJ62" s="1077"/>
      <c r="BK62" s="1077"/>
      <c r="BL62" s="1077"/>
      <c r="BM62" s="1077"/>
      <c r="BN62" s="1077"/>
      <c r="BO62" s="1077"/>
      <c r="BP62" s="1077"/>
      <c r="BQ62" s="1077"/>
      <c r="BR62" s="1077"/>
      <c r="BS62" s="1077"/>
      <c r="BT62" s="1077"/>
      <c r="BU62" s="1077"/>
    </row>
    <row r="63" spans="1:73" x14ac:dyDescent="0.2">
      <c r="A63" s="1077"/>
      <c r="B63" s="1089">
        <f t="shared" si="6"/>
        <v>13</v>
      </c>
      <c r="C63" s="1082">
        <v>1</v>
      </c>
      <c r="D63" s="1082">
        <v>1</v>
      </c>
      <c r="E63" s="1082">
        <v>1</v>
      </c>
      <c r="F63" s="1082">
        <v>1</v>
      </c>
      <c r="G63" s="1082">
        <v>1</v>
      </c>
      <c r="H63" s="1082">
        <f>+G8</f>
        <v>1.05</v>
      </c>
      <c r="I63" s="1082">
        <v>1</v>
      </c>
      <c r="J63" s="1077"/>
      <c r="K63" s="1095">
        <v>2.4282894504667607</v>
      </c>
      <c r="L63" s="1096">
        <v>0</v>
      </c>
      <c r="M63" s="1096">
        <v>1.723918875307017E-3</v>
      </c>
      <c r="N63" s="1096">
        <v>0.15699141287208263</v>
      </c>
      <c r="O63" s="1096">
        <v>2.0985595575770056E-2</v>
      </c>
      <c r="P63" s="1096">
        <v>2.8547398127719732E-2</v>
      </c>
      <c r="Q63" s="1096">
        <v>5.4915061535724839E-3</v>
      </c>
      <c r="R63" s="1096">
        <v>1.7022471371834528E-3</v>
      </c>
      <c r="S63" s="1096">
        <v>0.26287357550213158</v>
      </c>
      <c r="T63" s="1096">
        <v>1.3716385995415594</v>
      </c>
      <c r="U63" s="1096">
        <v>0.21197338494250778</v>
      </c>
      <c r="V63" s="1096">
        <v>0.24553111712834094</v>
      </c>
      <c r="W63" s="1096">
        <v>0.10313268611978955</v>
      </c>
      <c r="X63" s="1096">
        <v>1.6512890679612906E-2</v>
      </c>
      <c r="Y63" s="1096">
        <v>4.6329555617953986E-3</v>
      </c>
      <c r="Z63" s="1211"/>
      <c r="AA63" s="1077"/>
      <c r="AB63" s="1077"/>
      <c r="AC63" s="1077"/>
      <c r="AD63" s="1077"/>
      <c r="AE63" s="1077"/>
      <c r="AF63" s="1077"/>
      <c r="AG63" s="1077"/>
      <c r="AH63" s="1077"/>
      <c r="AI63" s="1077"/>
      <c r="AJ63" s="1077"/>
      <c r="AK63" s="1077"/>
      <c r="AL63" s="1077"/>
      <c r="AM63" s="1077"/>
      <c r="AN63" s="1077"/>
      <c r="AO63" s="1077"/>
      <c r="AP63" s="1077"/>
      <c r="AQ63" s="1077"/>
      <c r="AR63" s="1077"/>
      <c r="AS63" s="1077"/>
      <c r="AT63" s="1077"/>
      <c r="AU63" s="1077"/>
      <c r="AV63" s="1077"/>
      <c r="AW63" s="1077"/>
      <c r="AX63" s="1077"/>
      <c r="AY63" s="1077"/>
      <c r="AZ63" s="1077"/>
      <c r="BA63" s="1077"/>
      <c r="BB63" s="1077"/>
      <c r="BC63" s="1077"/>
      <c r="BD63" s="1077"/>
      <c r="BE63" s="1077"/>
      <c r="BF63" s="1077"/>
      <c r="BG63" s="1077"/>
      <c r="BH63" s="1077"/>
      <c r="BI63" s="1077"/>
      <c r="BJ63" s="1077"/>
      <c r="BK63" s="1077"/>
      <c r="BL63" s="1077"/>
      <c r="BM63" s="1077"/>
      <c r="BN63" s="1077"/>
      <c r="BO63" s="1077"/>
      <c r="BP63" s="1077"/>
      <c r="BQ63" s="1077"/>
      <c r="BR63" s="1077"/>
      <c r="BS63" s="1077"/>
      <c r="BT63" s="1077"/>
      <c r="BU63" s="1077"/>
    </row>
    <row r="64" spans="1:73" x14ac:dyDescent="0.2">
      <c r="A64" s="1077"/>
      <c r="B64" s="1097">
        <f t="shared" si="6"/>
        <v>14</v>
      </c>
      <c r="C64" s="1082">
        <v>1</v>
      </c>
      <c r="D64" s="1082">
        <v>1</v>
      </c>
      <c r="E64" s="1082">
        <v>1</v>
      </c>
      <c r="F64" s="1082">
        <v>1</v>
      </c>
      <c r="G64" s="1082">
        <v>1</v>
      </c>
      <c r="H64" s="1082">
        <v>1</v>
      </c>
      <c r="I64" s="1082">
        <f>+F9</f>
        <v>0.95</v>
      </c>
      <c r="J64" s="1077"/>
      <c r="K64" s="1095">
        <v>2.3979695764844378</v>
      </c>
      <c r="L64" s="1096">
        <v>0</v>
      </c>
      <c r="M64" s="1096">
        <v>1.6418275002923967E-3</v>
      </c>
      <c r="N64" s="1096">
        <v>0.14942045524399045</v>
      </c>
      <c r="O64" s="1096">
        <v>2.0985595575770056E-2</v>
      </c>
      <c r="P64" s="1096">
        <v>2.8312868685717384E-2</v>
      </c>
      <c r="Q64" s="1096">
        <v>5.4915061535724839E-3</v>
      </c>
      <c r="R64" s="1096">
        <v>1.6201557621688327E-3</v>
      </c>
      <c r="S64" s="1096">
        <v>0.24568929861981814</v>
      </c>
      <c r="T64" s="1096">
        <v>1.3716385995415594</v>
      </c>
      <c r="U64" s="1096">
        <v>0.21197338494250778</v>
      </c>
      <c r="V64" s="1096">
        <v>0.24553111712834094</v>
      </c>
      <c r="W64" s="1096">
        <v>9.8159081625125419E-2</v>
      </c>
      <c r="X64" s="1096">
        <v>1.637981080573836E-2</v>
      </c>
      <c r="Y64" s="1096">
        <v>4.4095299004201019E-3</v>
      </c>
      <c r="Z64" s="1211"/>
      <c r="AA64" s="1077"/>
      <c r="AB64" s="1077"/>
      <c r="AC64" s="1077"/>
      <c r="AD64" s="1077"/>
      <c r="AE64" s="1077"/>
      <c r="AF64" s="1077"/>
      <c r="AG64" s="1077"/>
      <c r="AH64" s="1077"/>
      <c r="AI64" s="1077"/>
      <c r="AJ64" s="1077"/>
      <c r="AK64" s="1077"/>
      <c r="AL64" s="1077"/>
      <c r="AM64" s="1077"/>
      <c r="AN64" s="1077"/>
      <c r="AO64" s="1077"/>
      <c r="AP64" s="1077"/>
      <c r="AQ64" s="1077"/>
      <c r="AR64" s="1077"/>
      <c r="AS64" s="1077"/>
      <c r="AT64" s="1077"/>
      <c r="AU64" s="1077"/>
      <c r="AV64" s="1077"/>
      <c r="AW64" s="1077"/>
      <c r="AX64" s="1077"/>
      <c r="AY64" s="1077"/>
      <c r="AZ64" s="1077"/>
      <c r="BA64" s="1077"/>
      <c r="BB64" s="1077"/>
      <c r="BC64" s="1077"/>
      <c r="BD64" s="1077"/>
      <c r="BE64" s="1077"/>
      <c r="BF64" s="1077"/>
      <c r="BG64" s="1077"/>
      <c r="BH64" s="1077"/>
      <c r="BI64" s="1077"/>
      <c r="BJ64" s="1077"/>
      <c r="BK64" s="1077"/>
      <c r="BL64" s="1077"/>
      <c r="BM64" s="1077"/>
      <c r="BN64" s="1077"/>
      <c r="BO64" s="1077"/>
      <c r="BP64" s="1077"/>
      <c r="BQ64" s="1077"/>
      <c r="BR64" s="1077"/>
      <c r="BS64" s="1077"/>
      <c r="BT64" s="1077"/>
      <c r="BU64" s="1077"/>
    </row>
    <row r="65" spans="1:73" ht="13.5" thickBot="1" x14ac:dyDescent="0.25">
      <c r="A65" s="1077"/>
      <c r="B65" s="1200">
        <f t="shared" si="6"/>
        <v>15</v>
      </c>
      <c r="C65" s="1201">
        <v>1</v>
      </c>
      <c r="D65" s="1201">
        <v>1</v>
      </c>
      <c r="E65" s="1201">
        <v>1</v>
      </c>
      <c r="F65" s="1201">
        <v>1</v>
      </c>
      <c r="G65" s="1201">
        <v>1</v>
      </c>
      <c r="H65" s="1201">
        <v>1</v>
      </c>
      <c r="I65" s="1201">
        <f>+G9</f>
        <v>1.05</v>
      </c>
      <c r="J65" s="1202"/>
      <c r="K65" s="1203">
        <v>2.4243069144678726</v>
      </c>
      <c r="L65" s="1204">
        <v>0</v>
      </c>
      <c r="M65" s="1204">
        <v>1.6418275002923967E-3</v>
      </c>
      <c r="N65" s="1204">
        <v>0.14942045524399045</v>
      </c>
      <c r="O65" s="1204">
        <v>2.0985595575770056E-2</v>
      </c>
      <c r="P65" s="1204">
        <v>2.8665831329576272E-2</v>
      </c>
      <c r="Q65" s="1204">
        <v>5.4915061535724839E-3</v>
      </c>
      <c r="R65" s="1204">
        <v>1.6201557621688327E-3</v>
      </c>
      <c r="S65" s="1204">
        <v>0.27155133005348309</v>
      </c>
      <c r="T65" s="1204">
        <v>1.3716385995415594</v>
      </c>
      <c r="U65" s="1204">
        <v>0.21197338494250778</v>
      </c>
      <c r="V65" s="1204">
        <v>0.24553111712834094</v>
      </c>
      <c r="W65" s="1204">
        <v>9.8159081625125419E-2</v>
      </c>
      <c r="X65" s="1204">
        <v>1.6502154711649036E-2</v>
      </c>
      <c r="Y65" s="1204">
        <v>4.4095299004201019E-3</v>
      </c>
      <c r="Z65" s="1211"/>
      <c r="AA65" s="1077"/>
      <c r="AB65" s="1077"/>
      <c r="AC65" s="1077"/>
      <c r="AD65" s="1077"/>
      <c r="AE65" s="1077"/>
      <c r="AF65" s="1077"/>
      <c r="AG65" s="1077"/>
      <c r="AH65" s="1077"/>
      <c r="AI65" s="1077"/>
      <c r="AJ65" s="1077"/>
      <c r="AK65" s="1077"/>
      <c r="AL65" s="1077"/>
      <c r="AM65" s="1077"/>
      <c r="AN65" s="1077"/>
      <c r="AO65" s="1077"/>
      <c r="AP65" s="1077"/>
      <c r="AQ65" s="1077"/>
      <c r="AR65" s="1077"/>
      <c r="AS65" s="1077"/>
      <c r="AT65" s="1077"/>
      <c r="AU65" s="1077"/>
      <c r="AV65" s="1077"/>
      <c r="AW65" s="1077"/>
      <c r="AX65" s="1077"/>
      <c r="AY65" s="1077"/>
      <c r="AZ65" s="1077"/>
      <c r="BA65" s="1077"/>
      <c r="BB65" s="1077"/>
      <c r="BC65" s="1077"/>
      <c r="BD65" s="1077"/>
      <c r="BE65" s="1077"/>
      <c r="BF65" s="1077"/>
      <c r="BG65" s="1077"/>
      <c r="BH65" s="1077"/>
      <c r="BI65" s="1077"/>
      <c r="BJ65" s="1077"/>
      <c r="BK65" s="1077"/>
      <c r="BL65" s="1077"/>
      <c r="BM65" s="1077"/>
      <c r="BN65" s="1077"/>
      <c r="BO65" s="1077"/>
      <c r="BP65" s="1077"/>
      <c r="BQ65" s="1077"/>
      <c r="BR65" s="1077"/>
      <c r="BS65" s="1077"/>
      <c r="BT65" s="1077"/>
      <c r="BU65" s="1077"/>
    </row>
    <row r="66" spans="1:73" ht="13.5" thickTop="1" x14ac:dyDescent="0.2">
      <c r="A66" s="1077"/>
      <c r="B66" s="1196">
        <f t="shared" si="6"/>
        <v>16</v>
      </c>
      <c r="C66" s="1197">
        <f>(C$72=1)*$F$3
+(C$72=2)
+(C$72=3)
+(C$72=4)
+(C$72=5)</f>
        <v>1</v>
      </c>
      <c r="D66" s="1197">
        <v>1</v>
      </c>
      <c r="E66" s="1197">
        <v>1</v>
      </c>
      <c r="F66" s="1197">
        <f>(F$72=1)*$F$6
+(F$72=2)
+(F$72=3)
+(F$72=4)
+(F$72=5)</f>
        <v>0.95</v>
      </c>
      <c r="G66" s="1197">
        <f>(G$72=1)*$F$7
+(G$72=2)
+(G$72=3)
+(G$72=4)
+(G$72=5)</f>
        <v>1</v>
      </c>
      <c r="H66" s="1197">
        <f>(H$72=1)*$F$8
+(H$72=2)
+(H$72=3)
+(H$72=4)
+(H$72=5)</f>
        <v>1</v>
      </c>
      <c r="I66" s="1197">
        <f>(I$72=1)*$F$9
+(I$72=2)
+(I$72=3)
+(I$72=4)
+(I$72=5)</f>
        <v>1</v>
      </c>
      <c r="J66" s="1077"/>
      <c r="K66" s="1198">
        <v>2.3412960583840761</v>
      </c>
      <c r="L66" s="1199">
        <v>0</v>
      </c>
      <c r="M66" s="1199">
        <v>1.6418275002923967E-3</v>
      </c>
      <c r="N66" s="1199">
        <v>0.14942045524399045</v>
      </c>
      <c r="O66" s="1199">
        <v>2.0985595575770056E-2</v>
      </c>
      <c r="P66" s="1199">
        <v>2.7553483074046994E-2</v>
      </c>
      <c r="Q66" s="1199">
        <v>5.4915061535724839E-3</v>
      </c>
      <c r="R66" s="1199">
        <v>1.6201557621688327E-3</v>
      </c>
      <c r="S66" s="1199">
        <v>0.25862031433665061</v>
      </c>
      <c r="T66" s="1199">
        <v>1.303056669564481</v>
      </c>
      <c r="U66" s="1199">
        <v>0.21197338494250778</v>
      </c>
      <c r="V66" s="1199">
        <v>0.24553111712834094</v>
      </c>
      <c r="W66" s="1199">
        <v>9.8159081625125419E-2</v>
      </c>
      <c r="X66" s="1199">
        <v>1.6116592577292373E-2</v>
      </c>
      <c r="Y66" s="1199">
        <v>4.4095299004201019E-3</v>
      </c>
      <c r="Z66" s="1211"/>
      <c r="AA66" s="1077"/>
      <c r="AB66" s="1077"/>
      <c r="AC66" s="1077"/>
      <c r="AD66" s="1077"/>
      <c r="AE66" s="1077"/>
      <c r="AF66" s="1077"/>
      <c r="AG66" s="1077"/>
      <c r="AH66" s="1077"/>
      <c r="AI66" s="1077"/>
      <c r="AJ66" s="1077"/>
      <c r="AK66" s="1077"/>
      <c r="AL66" s="1077"/>
      <c r="AM66" s="1077"/>
      <c r="AN66" s="1077"/>
      <c r="AO66" s="1077"/>
      <c r="AP66" s="1077"/>
      <c r="AQ66" s="1077"/>
      <c r="AR66" s="1077"/>
      <c r="AS66" s="1077"/>
      <c r="AT66" s="1077"/>
      <c r="AU66" s="1077"/>
      <c r="AV66" s="1077"/>
      <c r="AW66" s="1077"/>
      <c r="AX66" s="1077"/>
      <c r="AY66" s="1077"/>
      <c r="AZ66" s="1077"/>
      <c r="BA66" s="1077"/>
      <c r="BB66" s="1077"/>
      <c r="BC66" s="1077"/>
      <c r="BD66" s="1077"/>
      <c r="BE66" s="1077"/>
      <c r="BF66" s="1077"/>
      <c r="BG66" s="1077"/>
      <c r="BH66" s="1077"/>
      <c r="BI66" s="1077"/>
      <c r="BJ66" s="1077"/>
      <c r="BK66" s="1077"/>
      <c r="BL66" s="1077"/>
      <c r="BM66" s="1077"/>
      <c r="BN66" s="1077"/>
      <c r="BO66" s="1077"/>
      <c r="BP66" s="1077"/>
      <c r="BQ66" s="1077"/>
      <c r="BR66" s="1077"/>
      <c r="BS66" s="1077"/>
      <c r="BT66" s="1077"/>
      <c r="BU66" s="1077"/>
    </row>
    <row r="67" spans="1:73" x14ac:dyDescent="0.2">
      <c r="A67" s="1077"/>
      <c r="B67" s="1089">
        <f t="shared" si="6"/>
        <v>17</v>
      </c>
      <c r="C67" s="1197">
        <f>(C$72=1)*$F$3
+(C$72=2)*$F$3
+(C$72=3)
+(C$72=4)
+(C$72=5)</f>
        <v>1.05</v>
      </c>
      <c r="D67" s="1082">
        <v>1</v>
      </c>
      <c r="E67" s="1082">
        <v>1</v>
      </c>
      <c r="F67" s="1197">
        <f>(F$72=1)*$F$6
+(F$72=2)*$F$6
+(F$72=3)
+(F$72=4)
+(F$72=5)</f>
        <v>0.95</v>
      </c>
      <c r="G67" s="1197">
        <f>(G$72=1)*$F$7
+(G$72=2)*$F$7
+(G$72=3)
+(G$72=4)
+(G$72=5)</f>
        <v>1</v>
      </c>
      <c r="H67" s="1197">
        <f>(H$72=1)*$F$8
+(H$72=2)*$F$8
+(H$72=3)
+(H$72=4)
+(H$72=5)</f>
        <v>1</v>
      </c>
      <c r="I67" s="1197">
        <f>(I$72=1)*$F$9
+(I$72=2)*$F$9
+(I$72=3)
+(I$72=4)
+(I$72=5)</f>
        <v>1</v>
      </c>
      <c r="J67" s="1077"/>
      <c r="K67" s="1095">
        <v>2.3018773378992341</v>
      </c>
      <c r="L67" s="1096">
        <v>0</v>
      </c>
      <c r="M67" s="1096">
        <v>1.563645238373711E-3</v>
      </c>
      <c r="N67" s="1096">
        <v>0.14230519547046708</v>
      </c>
      <c r="O67" s="1096">
        <v>1.998628150073338E-2</v>
      </c>
      <c r="P67" s="1096">
        <v>2.7207107968594348E-2</v>
      </c>
      <c r="Q67" s="1096">
        <v>5.2300058605452221E-3</v>
      </c>
      <c r="R67" s="1096">
        <v>1.5430054877798405E-3</v>
      </c>
      <c r="S67" s="1096">
        <v>0.24630506127300053</v>
      </c>
      <c r="T67" s="1096">
        <v>1.3030566695644805</v>
      </c>
      <c r="U67" s="1096">
        <v>0.20187941423095973</v>
      </c>
      <c r="V67" s="1096">
        <v>0.24255998469951776</v>
      </c>
      <c r="W67" s="1096">
        <v>9.3484839642976575E-2</v>
      </c>
      <c r="X67" s="1096">
        <v>1.5683865152436648E-2</v>
      </c>
      <c r="Y67" s="1096">
        <v>4.1995522861143818E-3</v>
      </c>
      <c r="Z67" s="1211"/>
      <c r="AA67" s="1077"/>
      <c r="AB67" s="1077"/>
      <c r="AC67" s="1077"/>
      <c r="AD67" s="1077"/>
      <c r="AE67" s="1077"/>
      <c r="AF67" s="1077"/>
      <c r="AG67" s="1077"/>
      <c r="AH67" s="1077"/>
      <c r="AI67" s="1077"/>
      <c r="AJ67" s="1077"/>
      <c r="AK67" s="1077"/>
      <c r="AL67" s="1077"/>
      <c r="AM67" s="1077"/>
      <c r="AN67" s="1077"/>
      <c r="AO67" s="1077"/>
      <c r="AP67" s="1077"/>
      <c r="AQ67" s="1077"/>
      <c r="AR67" s="1077"/>
      <c r="AS67" s="1077"/>
      <c r="AT67" s="1077"/>
      <c r="AU67" s="1077"/>
      <c r="AV67" s="1077"/>
      <c r="AW67" s="1077"/>
      <c r="AX67" s="1077"/>
      <c r="AY67" s="1077"/>
      <c r="AZ67" s="1077"/>
      <c r="BA67" s="1077"/>
      <c r="BB67" s="1077"/>
      <c r="BC67" s="1077"/>
      <c r="BD67" s="1077"/>
      <c r="BE67" s="1077"/>
      <c r="BF67" s="1077"/>
      <c r="BG67" s="1077"/>
      <c r="BH67" s="1077"/>
      <c r="BI67" s="1077"/>
      <c r="BJ67" s="1077"/>
      <c r="BK67" s="1077"/>
      <c r="BL67" s="1077"/>
      <c r="BM67" s="1077"/>
      <c r="BN67" s="1077"/>
      <c r="BO67" s="1077"/>
      <c r="BP67" s="1077"/>
      <c r="BQ67" s="1077"/>
      <c r="BR67" s="1077"/>
      <c r="BS67" s="1077"/>
      <c r="BT67" s="1077"/>
      <c r="BU67" s="1077"/>
    </row>
    <row r="68" spans="1:73" x14ac:dyDescent="0.2">
      <c r="A68" s="1077"/>
      <c r="B68" s="1097">
        <f t="shared" si="6"/>
        <v>18</v>
      </c>
      <c r="C68" s="1197">
        <f>(C$72=1)*$F$3
+(C$72=2)*$F$3
+(C$72=3)*$F$3
+(C$72=4)
+(C$72=5)</f>
        <v>1.05</v>
      </c>
      <c r="D68" s="1082">
        <v>1</v>
      </c>
      <c r="E68" s="1082">
        <v>1</v>
      </c>
      <c r="F68" s="1197">
        <f>(F$72=1)*$F$6
+(F$72=2)*$F$6
+(F$72=3)*$F$6
+(F$72=4)
+(F$72=5)</f>
        <v>0.95</v>
      </c>
      <c r="G68" s="1197">
        <f>(G$72=1)*$F$7
+(G$72=2)*$F$7
+(G$72=3)*$F$7
+(G$72=4)
+(G$72=5)</f>
        <v>1</v>
      </c>
      <c r="H68" s="1197">
        <f>(H$72=1)*$F$8
+(H$72=2)*$F$8
+(H$72=3)*$F$8
+(H$72=4)
+(H$72=5)</f>
        <v>0.95</v>
      </c>
      <c r="I68" s="1197">
        <f>(I$72=1)*$F$9
+(I$72=2)*$F$9
+(I$72=3)*$F$9
+(I$72=4)
+(I$72=5)</f>
        <v>1</v>
      </c>
      <c r="J68" s="1077"/>
      <c r="K68" s="1095">
        <v>2.2855428569558001</v>
      </c>
      <c r="L68" s="1096">
        <v>0</v>
      </c>
      <c r="M68" s="1096">
        <v>1.4854629764550255E-3</v>
      </c>
      <c r="N68" s="1096">
        <v>0.13509475963418877</v>
      </c>
      <c r="O68" s="1096">
        <v>1.998628150073338E-2</v>
      </c>
      <c r="P68" s="1096">
        <v>2.7151824044715406E-2</v>
      </c>
      <c r="Q68" s="1096">
        <v>5.2300058605452221E-3</v>
      </c>
      <c r="R68" s="1096">
        <v>1.4648232258611549E-3</v>
      </c>
      <c r="S68" s="1096">
        <v>0.24225433635349497</v>
      </c>
      <c r="T68" s="1096">
        <v>1.3030566695644805</v>
      </c>
      <c r="U68" s="1096">
        <v>0.20187941423095973</v>
      </c>
      <c r="V68" s="1096">
        <v>0.24255998469951776</v>
      </c>
      <c r="W68" s="1096">
        <v>8.8748073457582205E-2</v>
      </c>
      <c r="X68" s="1096">
        <v>1.5615381418228023E-2</v>
      </c>
      <c r="Y68" s="1096">
        <v>3.9867659419474356E-3</v>
      </c>
      <c r="Z68" s="1211"/>
      <c r="AA68" s="1077"/>
      <c r="AB68" s="1077"/>
      <c r="AC68" s="1077"/>
      <c r="AD68" s="1077"/>
      <c r="AE68" s="1077"/>
      <c r="AF68" s="1077"/>
      <c r="AG68" s="1077"/>
      <c r="AH68" s="1077"/>
      <c r="AI68" s="1077"/>
      <c r="AJ68" s="1077"/>
      <c r="AK68" s="1077"/>
      <c r="AL68" s="1077"/>
      <c r="AM68" s="1077"/>
      <c r="AN68" s="1077"/>
      <c r="AO68" s="1077"/>
      <c r="AP68" s="1077"/>
      <c r="AQ68" s="1077"/>
      <c r="AR68" s="1077"/>
      <c r="AS68" s="1077"/>
      <c r="AT68" s="1077"/>
      <c r="AU68" s="1077"/>
      <c r="AV68" s="1077"/>
      <c r="AW68" s="1077"/>
      <c r="AX68" s="1077"/>
      <c r="AY68" s="1077"/>
      <c r="AZ68" s="1077"/>
      <c r="BA68" s="1077"/>
      <c r="BB68" s="1077"/>
      <c r="BC68" s="1077"/>
      <c r="BD68" s="1077"/>
      <c r="BE68" s="1077"/>
      <c r="BF68" s="1077"/>
      <c r="BG68" s="1077"/>
      <c r="BH68" s="1077"/>
      <c r="BI68" s="1077"/>
      <c r="BJ68" s="1077"/>
      <c r="BK68" s="1077"/>
      <c r="BL68" s="1077"/>
      <c r="BM68" s="1077"/>
      <c r="BN68" s="1077"/>
      <c r="BO68" s="1077"/>
      <c r="BP68" s="1077"/>
      <c r="BQ68" s="1077"/>
      <c r="BR68" s="1077"/>
      <c r="BS68" s="1077"/>
      <c r="BT68" s="1077"/>
      <c r="BU68" s="1077"/>
    </row>
    <row r="69" spans="1:73" x14ac:dyDescent="0.2">
      <c r="A69" s="1077"/>
      <c r="B69" s="1097">
        <f t="shared" si="6"/>
        <v>19</v>
      </c>
      <c r="C69" s="1197">
        <f>(C$72=1)*$F$3
+(C$72=2)*$F$3
+(C$72=3)*$F$3
+(C$72=4)*$F$3
+(C$72=5)</f>
        <v>1.05</v>
      </c>
      <c r="D69" s="1082">
        <v>1</v>
      </c>
      <c r="E69" s="1082">
        <v>1</v>
      </c>
      <c r="F69" s="1197">
        <f>(F$72=1)*$F$6
+(F$72=2)*$F$6
+(F$72=3)*$F$6
+(F$72=4)*$F$6
+(F$72=5)</f>
        <v>0.95</v>
      </c>
      <c r="G69" s="1197">
        <f>(G$72=1)*$F$7
+(G$72=2)*$F$7
+(G$72=3)*$F$7
+(G$72=4)*$F$7
+(G$72=5)</f>
        <v>1</v>
      </c>
      <c r="H69" s="1197">
        <f>(H$72=1)*$F$8
+(H$72=2)*$F$8
+(H$72=3)*$F$8
+(H$72=4)*$F$8
+(H$72=5)</f>
        <v>0.95</v>
      </c>
      <c r="I69" s="1197">
        <f>(I$72=1)*$F$9
+(I$72=2)*$F$9
+(I$72=3)*$F$9
+(I$72=4)*$F$9
+(I$72=5)</f>
        <v>0.95</v>
      </c>
      <c r="J69" s="1077"/>
      <c r="K69" s="1095">
        <v>2.2732075260076887</v>
      </c>
      <c r="L69" s="1096">
        <v>0</v>
      </c>
      <c r="M69" s="1096">
        <v>1.4854629764550255E-3</v>
      </c>
      <c r="N69" s="1096">
        <v>0.13509475963418877</v>
      </c>
      <c r="O69" s="1096">
        <v>1.998628150073338E-2</v>
      </c>
      <c r="P69" s="1096">
        <v>2.6986510791452749E-2</v>
      </c>
      <c r="Q69" s="1096">
        <v>5.2300058605452221E-3</v>
      </c>
      <c r="R69" s="1096">
        <v>1.4648232258611549E-3</v>
      </c>
      <c r="S69" s="1096">
        <v>0.2301416195358203</v>
      </c>
      <c r="T69" s="1096">
        <v>1.3030566695644805</v>
      </c>
      <c r="U69" s="1096">
        <v>0.20187941423095973</v>
      </c>
      <c r="V69" s="1096">
        <v>0.24255998469951776</v>
      </c>
      <c r="W69" s="1096">
        <v>8.8748073457582205E-2</v>
      </c>
      <c r="X69" s="1096">
        <v>1.5558080541053445E-2</v>
      </c>
      <c r="Y69" s="1096">
        <v>3.9867659419474356E-3</v>
      </c>
      <c r="Z69" s="1211"/>
      <c r="AA69" s="1077"/>
      <c r="AB69" s="1077"/>
      <c r="AC69" s="1077"/>
      <c r="AD69" s="1077"/>
      <c r="AE69" s="1077"/>
      <c r="AF69" s="1077"/>
      <c r="AG69" s="1077"/>
      <c r="AH69" s="1077"/>
      <c r="AI69" s="1077"/>
      <c r="AJ69" s="1077"/>
      <c r="AK69" s="1077"/>
      <c r="AL69" s="1077"/>
      <c r="AM69" s="1077"/>
      <c r="AN69" s="1077"/>
      <c r="AO69" s="1077"/>
      <c r="AP69" s="1077"/>
      <c r="AQ69" s="1077"/>
      <c r="AR69" s="1077"/>
      <c r="AS69" s="1077"/>
      <c r="AT69" s="1077"/>
      <c r="AU69" s="1077"/>
      <c r="AV69" s="1077"/>
      <c r="AW69" s="1077"/>
      <c r="AX69" s="1077"/>
      <c r="AY69" s="1077"/>
      <c r="AZ69" s="1077"/>
      <c r="BA69" s="1077"/>
      <c r="BB69" s="1077"/>
      <c r="BC69" s="1077"/>
      <c r="BD69" s="1077"/>
      <c r="BE69" s="1077"/>
      <c r="BF69" s="1077"/>
      <c r="BG69" s="1077"/>
      <c r="BH69" s="1077"/>
      <c r="BI69" s="1077"/>
      <c r="BJ69" s="1077"/>
      <c r="BK69" s="1077"/>
      <c r="BL69" s="1077"/>
      <c r="BM69" s="1077"/>
      <c r="BN69" s="1077"/>
      <c r="BO69" s="1077"/>
      <c r="BP69" s="1077"/>
      <c r="BQ69" s="1077"/>
      <c r="BR69" s="1077"/>
      <c r="BS69" s="1077"/>
      <c r="BT69" s="1077"/>
      <c r="BU69" s="1077"/>
    </row>
    <row r="70" spans="1:73" x14ac:dyDescent="0.2">
      <c r="A70" s="1077"/>
      <c r="B70" s="1089">
        <f t="shared" si="6"/>
        <v>20</v>
      </c>
      <c r="C70" s="1197">
        <f>(C$72=1)*$F$3
+(C$72=2)*$F$3
+(C$72=3)*$F$3
+(C$72=4)*$F$3
+(C$72=5)*$F$3</f>
        <v>1.05</v>
      </c>
      <c r="D70" s="1082">
        <v>1</v>
      </c>
      <c r="E70" s="1082">
        <v>1</v>
      </c>
      <c r="F70" s="1197">
        <f>(F$72=1)*$F$6
+(F$72=2)*$F$6
+(F$72=3)*$F$6
+(F$72=4)*$F$6
+(F$72=5)*$F$6</f>
        <v>0.95</v>
      </c>
      <c r="G70" s="1197">
        <f>(G$72=1)*$F$7
+(G$72=2)*$F$7
+(G$72=3)*$F$7
+(G$72=4)*$F$7
+(G$72=5)*$F$7</f>
        <v>0.95</v>
      </c>
      <c r="H70" s="1197">
        <f>(H$72=1)*$F$8
+(H$72=2)*$F$8
+(H$72=3)*$F$8
+(H$72=4)*$F$8
+(H$72=5)*$F$8</f>
        <v>0.95</v>
      </c>
      <c r="I70" s="1197">
        <f>(I$72=1)*$F$9
+(I$72=2)*$F$9
+(I$72=3)*$F$9
+(I$72=4)*$F$9
+(I$72=5)*$F$9</f>
        <v>0.95</v>
      </c>
      <c r="J70" s="1077"/>
      <c r="K70" s="1095">
        <v>2.264512131780974</v>
      </c>
      <c r="L70" s="1096">
        <v>0</v>
      </c>
      <c r="M70" s="1096">
        <v>1.4854629764550255E-3</v>
      </c>
      <c r="N70" s="1096">
        <v>0.13509475963418877</v>
      </c>
      <c r="O70" s="1096">
        <v>1.998628150073338E-2</v>
      </c>
      <c r="P70" s="1096">
        <v>2.687004209896271E-2</v>
      </c>
      <c r="Q70" s="1096">
        <v>5.2300058605452221E-3</v>
      </c>
      <c r="R70" s="1096">
        <v>1.4648232258611549E-3</v>
      </c>
      <c r="S70" s="1096">
        <v>0.2301416195358203</v>
      </c>
      <c r="T70" s="1096">
        <v>1.3030566695644805</v>
      </c>
      <c r="U70" s="1096">
        <v>0.20187941423095973</v>
      </c>
      <c r="V70" s="1096">
        <v>0.23402142954160163</v>
      </c>
      <c r="W70" s="1096">
        <v>8.8748073457582205E-2</v>
      </c>
      <c r="X70" s="1096">
        <v>1.5517710164744701E-2</v>
      </c>
      <c r="Y70" s="1096">
        <v>3.9867659419474356E-3</v>
      </c>
      <c r="Z70" s="1211"/>
      <c r="AA70" s="1077"/>
      <c r="AB70" s="1077"/>
      <c r="AC70" s="1077"/>
      <c r="AD70" s="1077"/>
      <c r="AE70" s="1077"/>
      <c r="AF70" s="1077"/>
      <c r="AG70" s="1077"/>
      <c r="AH70" s="1077"/>
      <c r="AI70" s="1077"/>
      <c r="AJ70" s="1077"/>
      <c r="AK70" s="1077"/>
      <c r="AL70" s="1077"/>
      <c r="AM70" s="1077"/>
      <c r="AN70" s="1077"/>
      <c r="AO70" s="1077"/>
      <c r="AP70" s="1077"/>
      <c r="AQ70" s="1077"/>
      <c r="AR70" s="1077"/>
      <c r="AS70" s="1077"/>
      <c r="AT70" s="1077"/>
      <c r="AU70" s="1077"/>
      <c r="AV70" s="1077"/>
      <c r="AW70" s="1077"/>
      <c r="AX70" s="1077"/>
      <c r="AY70" s="1077"/>
      <c r="AZ70" s="1077"/>
      <c r="BA70" s="1077"/>
      <c r="BB70" s="1077"/>
      <c r="BC70" s="1077"/>
      <c r="BD70" s="1077"/>
      <c r="BE70" s="1077"/>
      <c r="BF70" s="1077"/>
      <c r="BG70" s="1077"/>
      <c r="BH70" s="1077"/>
      <c r="BI70" s="1077"/>
      <c r="BJ70" s="1077"/>
      <c r="BK70" s="1077"/>
      <c r="BL70" s="1077"/>
      <c r="BM70" s="1077"/>
      <c r="BN70" s="1077"/>
      <c r="BO70" s="1077"/>
      <c r="BP70" s="1077"/>
      <c r="BQ70" s="1077"/>
      <c r="BR70" s="1077"/>
      <c r="BS70" s="1077"/>
      <c r="BT70" s="1077"/>
      <c r="BU70" s="1077"/>
    </row>
    <row r="71" spans="1:73" x14ac:dyDescent="0.2">
      <c r="A71" s="1077"/>
      <c r="B71" s="1077"/>
      <c r="C71" s="1077"/>
      <c r="D71" s="1077"/>
      <c r="E71" s="1077"/>
      <c r="F71" s="1077"/>
      <c r="G71" s="1077"/>
      <c r="H71" s="1077"/>
      <c r="I71" s="1077"/>
      <c r="J71" s="1077"/>
      <c r="K71" s="1077"/>
      <c r="L71" s="1077"/>
      <c r="M71" s="1077"/>
      <c r="N71" s="1077"/>
      <c r="O71" s="1077"/>
      <c r="P71" s="1077"/>
      <c r="Q71" s="1077"/>
      <c r="R71" s="1077"/>
      <c r="S71" s="1077"/>
      <c r="T71" s="1077"/>
      <c r="U71" s="1077"/>
      <c r="V71" s="1077"/>
      <c r="W71" s="1077"/>
      <c r="X71" s="1077"/>
      <c r="Y71" s="1077"/>
      <c r="Z71" s="1077"/>
      <c r="AA71" s="1077"/>
      <c r="AB71" s="1077"/>
      <c r="AC71" s="1077"/>
      <c r="AD71" s="1077"/>
      <c r="AE71" s="1077"/>
      <c r="AF71" s="1077"/>
      <c r="AG71" s="1077"/>
      <c r="AH71" s="1077"/>
      <c r="AI71" s="1077"/>
      <c r="AJ71" s="1077"/>
      <c r="AK71" s="1077"/>
      <c r="AL71" s="1077"/>
      <c r="AM71" s="1077"/>
      <c r="AN71" s="1077"/>
      <c r="AO71" s="1077"/>
      <c r="AP71" s="1077"/>
      <c r="AQ71" s="1077"/>
      <c r="AR71" s="1077"/>
      <c r="AS71" s="1077"/>
      <c r="AT71" s="1077"/>
      <c r="AU71" s="1077"/>
      <c r="AV71" s="1077"/>
      <c r="AW71" s="1077"/>
      <c r="AX71" s="1077"/>
      <c r="AY71" s="1077"/>
      <c r="AZ71" s="1077"/>
      <c r="BA71" s="1077"/>
      <c r="BB71" s="1077"/>
      <c r="BC71" s="1077"/>
      <c r="BD71" s="1077"/>
      <c r="BE71" s="1077"/>
      <c r="BF71" s="1077"/>
      <c r="BG71" s="1077"/>
      <c r="BH71" s="1077"/>
      <c r="BI71" s="1077"/>
      <c r="BJ71" s="1077"/>
      <c r="BK71" s="1077"/>
      <c r="BL71" s="1077"/>
      <c r="BM71" s="1077"/>
      <c r="BN71" s="1077"/>
      <c r="BO71" s="1077"/>
      <c r="BP71" s="1077"/>
      <c r="BQ71" s="1077"/>
      <c r="BR71" s="1077"/>
      <c r="BS71" s="1077"/>
      <c r="BT71" s="1077"/>
      <c r="BU71" s="1077"/>
    </row>
    <row r="72" spans="1:73" x14ac:dyDescent="0.2">
      <c r="A72" s="1077"/>
      <c r="B72" s="1205" t="s">
        <v>1184</v>
      </c>
      <c r="C72" s="1081">
        <f>6-RANK($N$101,($N$101,$N$104:$N$107))</f>
        <v>2</v>
      </c>
      <c r="D72" s="1206"/>
      <c r="E72" s="1206"/>
      <c r="F72" s="1081">
        <f>6-RANK($N$104,($N$101,$N$104:$N$107))</f>
        <v>1</v>
      </c>
      <c r="G72" s="1081">
        <f>6-RANK($N$105,($N$101,$N$104:$N$107))</f>
        <v>5</v>
      </c>
      <c r="H72" s="1081">
        <f>6-RANK($N$106,($N$101,$N$104:$N$107))</f>
        <v>3</v>
      </c>
      <c r="I72" s="1081">
        <f>6-RANK($N$107,($N$101,$N$104:$N$107))</f>
        <v>4</v>
      </c>
      <c r="J72" s="1077"/>
      <c r="K72" s="1077"/>
      <c r="L72" s="1077"/>
      <c r="M72" s="1077"/>
      <c r="N72" s="1077"/>
      <c r="O72" s="1077"/>
      <c r="P72" s="1077"/>
      <c r="Q72" s="1077"/>
      <c r="R72" s="1077"/>
      <c r="S72" s="1077"/>
      <c r="T72" s="1077"/>
      <c r="U72" s="1077"/>
      <c r="V72" s="1077"/>
      <c r="W72" s="1077"/>
      <c r="X72" s="1077"/>
      <c r="Y72" s="1077"/>
      <c r="Z72" s="1077"/>
      <c r="AA72" s="1077"/>
      <c r="AB72" s="1077"/>
      <c r="AC72" s="1077"/>
      <c r="AD72" s="1077"/>
      <c r="AE72" s="1077"/>
      <c r="AF72" s="1077"/>
      <c r="AG72" s="1077"/>
      <c r="AH72" s="1077"/>
      <c r="AI72" s="1077"/>
      <c r="AJ72" s="1077"/>
      <c r="AK72" s="1077"/>
      <c r="AL72" s="1077"/>
      <c r="AM72" s="1077"/>
      <c r="AN72" s="1077"/>
      <c r="AO72" s="1077"/>
      <c r="AP72" s="1077"/>
      <c r="AQ72" s="1077"/>
      <c r="AR72" s="1077"/>
      <c r="AS72" s="1077"/>
      <c r="AT72" s="1077"/>
      <c r="AU72" s="1077"/>
      <c r="AV72" s="1077"/>
      <c r="AW72" s="1077"/>
      <c r="AX72" s="1077"/>
      <c r="AY72" s="1077"/>
      <c r="AZ72" s="1077"/>
      <c r="BA72" s="1077"/>
      <c r="BB72" s="1077"/>
      <c r="BC72" s="1077"/>
      <c r="BD72" s="1077"/>
      <c r="BE72" s="1077"/>
      <c r="BF72" s="1077"/>
      <c r="BG72" s="1077"/>
      <c r="BH72" s="1077"/>
      <c r="BI72" s="1077"/>
      <c r="BJ72" s="1077"/>
      <c r="BK72" s="1077"/>
      <c r="BL72" s="1077"/>
      <c r="BM72" s="1077"/>
      <c r="BN72" s="1077"/>
      <c r="BO72" s="1077"/>
      <c r="BP72" s="1077"/>
      <c r="BQ72" s="1077"/>
      <c r="BR72" s="1077"/>
      <c r="BS72" s="1077"/>
      <c r="BT72" s="1077"/>
      <c r="BU72" s="1077"/>
    </row>
    <row r="73" spans="1:73" x14ac:dyDescent="0.2">
      <c r="A73" s="1077"/>
      <c r="B73" s="1077"/>
      <c r="C73" s="1077"/>
      <c r="D73" s="1077"/>
      <c r="E73" s="1077"/>
      <c r="F73" s="1077"/>
      <c r="G73" s="1077"/>
      <c r="H73" s="1077"/>
      <c r="I73" s="1077"/>
      <c r="J73" s="1077"/>
      <c r="K73" s="1077"/>
      <c r="L73" s="1077"/>
      <c r="M73" s="1077"/>
      <c r="N73" s="1077"/>
      <c r="O73" s="1077"/>
      <c r="P73" s="1077"/>
      <c r="Q73" s="1077"/>
      <c r="R73" s="1077"/>
      <c r="S73" s="1077"/>
      <c r="T73" s="1077"/>
      <c r="U73" s="1077"/>
      <c r="V73" s="1077"/>
      <c r="W73" s="1077"/>
      <c r="X73" s="1077"/>
      <c r="Y73" s="1077"/>
      <c r="Z73" s="1077"/>
      <c r="AA73" s="1077"/>
      <c r="AB73" s="1077"/>
      <c r="AC73" s="1077"/>
      <c r="AD73" s="1077"/>
      <c r="AE73" s="1077"/>
      <c r="AF73" s="1077"/>
      <c r="AG73" s="1077"/>
      <c r="AH73" s="1077"/>
      <c r="AI73" s="1077"/>
      <c r="AJ73" s="1077"/>
      <c r="AK73" s="1077"/>
      <c r="AL73" s="1077"/>
      <c r="AM73" s="1077"/>
      <c r="AN73" s="1077"/>
      <c r="AO73" s="1077"/>
      <c r="AP73" s="1077"/>
      <c r="AQ73" s="1077"/>
      <c r="AR73" s="1077"/>
      <c r="AS73" s="1077"/>
      <c r="AT73" s="1077"/>
      <c r="AU73" s="1077"/>
      <c r="AV73" s="1077"/>
      <c r="AW73" s="1077"/>
      <c r="AX73" s="1077"/>
      <c r="AY73" s="1077"/>
      <c r="AZ73" s="1077"/>
      <c r="BA73" s="1077"/>
      <c r="BB73" s="1077"/>
      <c r="BC73" s="1077"/>
      <c r="BD73" s="1077"/>
      <c r="BE73" s="1077"/>
      <c r="BF73" s="1077"/>
      <c r="BG73" s="1077"/>
      <c r="BH73" s="1077"/>
      <c r="BI73" s="1077"/>
      <c r="BJ73" s="1077"/>
      <c r="BK73" s="1077"/>
      <c r="BL73" s="1077"/>
      <c r="BM73" s="1077"/>
      <c r="BN73" s="1077"/>
      <c r="BO73" s="1077"/>
      <c r="BP73" s="1077"/>
      <c r="BQ73" s="1077"/>
      <c r="BR73" s="1077"/>
      <c r="BS73" s="1077"/>
      <c r="BT73" s="1077"/>
      <c r="BU73" s="1077"/>
    </row>
    <row r="74" spans="1:73" x14ac:dyDescent="0.2">
      <c r="A74" s="1077"/>
      <c r="B74" s="1079" t="s">
        <v>1148</v>
      </c>
      <c r="C74" s="1077"/>
      <c r="D74" s="1077"/>
      <c r="E74" s="1077"/>
      <c r="F74" s="1077"/>
      <c r="G74" s="1077"/>
      <c r="H74" s="1077"/>
      <c r="I74" s="1077"/>
      <c r="J74" s="1077"/>
      <c r="K74" s="1077"/>
      <c r="L74" s="1077"/>
      <c r="M74" s="1077"/>
      <c r="N74" s="1077"/>
      <c r="O74" s="1077"/>
      <c r="P74" s="1077"/>
      <c r="Q74" s="1077"/>
      <c r="R74" s="1077"/>
      <c r="S74" s="1077"/>
      <c r="T74" s="1077"/>
      <c r="U74" s="1077"/>
      <c r="V74" s="1077"/>
      <c r="W74" s="1077"/>
      <c r="X74" s="1077"/>
      <c r="Y74" s="1077"/>
      <c r="Z74" s="1077"/>
      <c r="AA74" s="1077"/>
      <c r="AB74" s="1077"/>
      <c r="AC74" s="1077"/>
      <c r="AD74" s="1077"/>
      <c r="AE74" s="1077"/>
      <c r="AF74" s="1077"/>
      <c r="AG74" s="1077"/>
      <c r="AH74" s="1077"/>
      <c r="AI74" s="1077"/>
      <c r="AJ74" s="1077"/>
      <c r="AK74" s="1077"/>
      <c r="AL74" s="1077"/>
      <c r="AM74" s="1077"/>
      <c r="AN74" s="1077"/>
      <c r="AO74" s="1077"/>
      <c r="AP74" s="1077"/>
      <c r="AQ74" s="1077"/>
      <c r="AR74" s="1077"/>
      <c r="AS74" s="1077"/>
      <c r="AT74" s="1077"/>
      <c r="AU74" s="1077"/>
      <c r="AV74" s="1077"/>
      <c r="AW74" s="1077"/>
      <c r="AX74" s="1077"/>
      <c r="AY74" s="1077"/>
      <c r="AZ74" s="1077"/>
      <c r="BA74" s="1077"/>
      <c r="BB74" s="1077"/>
      <c r="BC74" s="1077"/>
      <c r="BD74" s="1077"/>
      <c r="BE74" s="1077"/>
      <c r="BF74" s="1077"/>
      <c r="BG74" s="1077"/>
      <c r="BH74" s="1077"/>
      <c r="BI74" s="1077"/>
      <c r="BJ74" s="1077"/>
      <c r="BK74" s="1077"/>
      <c r="BL74" s="1077"/>
      <c r="BM74" s="1077"/>
      <c r="BN74" s="1077"/>
      <c r="BO74" s="1077"/>
      <c r="BP74" s="1077"/>
      <c r="BQ74" s="1077"/>
      <c r="BR74" s="1077"/>
      <c r="BS74" s="1077"/>
      <c r="BT74" s="1077"/>
      <c r="BU74" s="1077"/>
    </row>
    <row r="75" spans="1:73" x14ac:dyDescent="0.2">
      <c r="A75" s="1077"/>
      <c r="B75" s="1077"/>
      <c r="C75" s="1077"/>
      <c r="D75" s="1077"/>
      <c r="E75" s="1077"/>
      <c r="F75" s="1077"/>
      <c r="G75" s="1077"/>
      <c r="H75" s="1077"/>
      <c r="I75" s="1077"/>
      <c r="J75" s="1077"/>
      <c r="K75" s="1077"/>
      <c r="L75" s="1077"/>
      <c r="M75" s="1077"/>
      <c r="N75" s="1077"/>
      <c r="O75" s="1077"/>
      <c r="P75" s="1077"/>
      <c r="Q75" s="1077"/>
      <c r="R75" s="1077"/>
      <c r="S75" s="1077"/>
      <c r="T75" s="1077"/>
      <c r="U75" s="1077"/>
      <c r="V75" s="1077"/>
      <c r="W75" s="1077"/>
      <c r="X75" s="1077"/>
      <c r="Y75" s="1077"/>
      <c r="Z75" s="1077"/>
      <c r="AA75" s="1077"/>
      <c r="AB75" s="1077"/>
      <c r="AC75" s="1077"/>
      <c r="AD75" s="1077"/>
      <c r="AE75" s="1077"/>
      <c r="AF75" s="1077"/>
      <c r="AG75" s="1077"/>
      <c r="AH75" s="1077"/>
      <c r="AI75" s="1077"/>
      <c r="AJ75" s="1077"/>
      <c r="AK75" s="1077"/>
      <c r="AL75" s="1077"/>
      <c r="AM75" s="1077"/>
      <c r="AN75" s="1077"/>
      <c r="AO75" s="1077"/>
      <c r="AP75" s="1077"/>
      <c r="AQ75" s="1077"/>
      <c r="AR75" s="1077"/>
      <c r="AS75" s="1077"/>
      <c r="AT75" s="1077"/>
      <c r="AU75" s="1077"/>
      <c r="AV75" s="1077"/>
      <c r="AW75" s="1077"/>
      <c r="AX75" s="1077"/>
      <c r="AY75" s="1077"/>
      <c r="AZ75" s="1077"/>
      <c r="BA75" s="1077"/>
      <c r="BB75" s="1077"/>
      <c r="BC75" s="1077"/>
      <c r="BD75" s="1077"/>
      <c r="BE75" s="1077"/>
      <c r="BF75" s="1077"/>
      <c r="BG75" s="1077"/>
      <c r="BH75" s="1077"/>
      <c r="BI75" s="1077"/>
      <c r="BJ75" s="1077"/>
      <c r="BK75" s="1077"/>
      <c r="BL75" s="1077"/>
      <c r="BM75" s="1077"/>
      <c r="BN75" s="1077"/>
      <c r="BO75" s="1077"/>
      <c r="BP75" s="1077"/>
      <c r="BQ75" s="1077"/>
      <c r="BR75" s="1077"/>
      <c r="BS75" s="1077"/>
      <c r="BT75" s="1077"/>
      <c r="BU75" s="1077"/>
    </row>
    <row r="76" spans="1:73" ht="51" x14ac:dyDescent="0.2">
      <c r="A76" s="1077"/>
      <c r="B76" s="1088" t="s">
        <v>1145</v>
      </c>
      <c r="C76" s="1088" t="s">
        <v>1146</v>
      </c>
      <c r="D76" s="1088" t="s">
        <v>1147</v>
      </c>
      <c r="E76" s="1088" t="s">
        <v>1134</v>
      </c>
      <c r="F76" s="1088" t="s">
        <v>1135</v>
      </c>
      <c r="G76" s="1088" t="s">
        <v>994</v>
      </c>
      <c r="H76" s="1088" t="s">
        <v>122</v>
      </c>
      <c r="I76" s="1088" t="s">
        <v>123</v>
      </c>
      <c r="J76" s="1088" t="s">
        <v>1173</v>
      </c>
      <c r="K76" s="1088" t="s">
        <v>135</v>
      </c>
      <c r="L76" s="1088" t="s">
        <v>84</v>
      </c>
      <c r="M76" s="1088" t="s">
        <v>136</v>
      </c>
      <c r="N76" s="1088" t="s">
        <v>1133</v>
      </c>
      <c r="O76" s="1088" t="s">
        <v>137</v>
      </c>
      <c r="P76" s="1088" t="s">
        <v>138</v>
      </c>
      <c r="Q76" s="1088" t="s">
        <v>139</v>
      </c>
      <c r="R76" s="1088" t="s">
        <v>1139</v>
      </c>
      <c r="S76" s="1088" t="s">
        <v>45</v>
      </c>
      <c r="T76" s="1077"/>
      <c r="U76" s="1077"/>
      <c r="V76" s="1077"/>
      <c r="W76" s="1077"/>
      <c r="X76" s="1077"/>
      <c r="Y76" s="1077"/>
      <c r="Z76" s="1077"/>
      <c r="AA76" s="1077"/>
      <c r="AB76" s="1077"/>
      <c r="AC76" s="1077"/>
      <c r="AD76" s="1077"/>
      <c r="AE76" s="1077"/>
      <c r="AF76" s="1077"/>
      <c r="AG76" s="1077"/>
      <c r="AH76" s="1077"/>
      <c r="AI76" s="1077"/>
      <c r="AJ76" s="1077"/>
      <c r="AK76" s="1077"/>
      <c r="AL76" s="1077"/>
      <c r="AM76" s="1077"/>
      <c r="AN76" s="1077"/>
      <c r="AO76" s="1077"/>
      <c r="AP76" s="1077"/>
      <c r="AQ76" s="1077"/>
      <c r="AR76" s="1077"/>
      <c r="AS76" s="1077"/>
      <c r="AT76" s="1077"/>
      <c r="AU76" s="1077"/>
      <c r="AV76" s="1077"/>
      <c r="AW76" s="1077"/>
      <c r="AX76" s="1077"/>
      <c r="AY76" s="1077"/>
      <c r="AZ76" s="1077"/>
      <c r="BA76" s="1077"/>
      <c r="BB76" s="1077"/>
      <c r="BC76" s="1077"/>
      <c r="BD76" s="1077"/>
      <c r="BE76" s="1077"/>
      <c r="BF76" s="1077"/>
      <c r="BG76" s="1077"/>
      <c r="BH76" s="1077"/>
      <c r="BI76" s="1077"/>
      <c r="BJ76" s="1077"/>
      <c r="BK76" s="1077"/>
      <c r="BL76" s="1077"/>
      <c r="BM76" s="1077"/>
      <c r="BN76" s="1077"/>
      <c r="BO76" s="1077"/>
      <c r="BP76" s="1077"/>
      <c r="BQ76" s="1077"/>
      <c r="BR76" s="1077"/>
      <c r="BS76" s="1077"/>
      <c r="BT76" s="1077"/>
      <c r="BU76" s="1077"/>
    </row>
    <row r="77" spans="1:73" x14ac:dyDescent="0.2">
      <c r="A77" s="1077"/>
      <c r="B77" s="1081" t="str">
        <f>+$B$3</f>
        <v>Operating Capacity Factor</v>
      </c>
      <c r="C77" s="1090">
        <f ca="1">+H3</f>
        <v>0.94500000000000006</v>
      </c>
      <c r="D77" s="1090" t="str">
        <f ca="1">+B77&amp;" = "&amp;C77*100&amp;"%"</f>
        <v>Operating Capacity Factor = 94.5%</v>
      </c>
      <c r="E77" s="1094">
        <f t="shared" ref="E77:S77" si="7">+K52</f>
        <v>2.3717195249913128</v>
      </c>
      <c r="F77" s="1094">
        <f t="shared" si="7"/>
        <v>0</v>
      </c>
      <c r="G77" s="1094">
        <f t="shared" si="7"/>
        <v>1.563645238373711E-3</v>
      </c>
      <c r="H77" s="1094">
        <f t="shared" si="7"/>
        <v>0.14230519547046708</v>
      </c>
      <c r="I77" s="1094">
        <f t="shared" si="7"/>
        <v>1.998628150073338E-2</v>
      </c>
      <c r="J77" s="1094">
        <f t="shared" si="7"/>
        <v>2.8142974902194199E-2</v>
      </c>
      <c r="K77" s="1094">
        <f t="shared" si="7"/>
        <v>5.2300058605452221E-3</v>
      </c>
      <c r="L77" s="1094">
        <f t="shared" si="7"/>
        <v>1.5430054877798405E-3</v>
      </c>
      <c r="M77" s="1094">
        <f t="shared" si="7"/>
        <v>0.24630506127300053</v>
      </c>
      <c r="N77" s="1094">
        <f t="shared" si="7"/>
        <v>1.3716385995415585</v>
      </c>
      <c r="O77" s="1094">
        <f t="shared" si="7"/>
        <v>0.20187941423095973</v>
      </c>
      <c r="P77" s="1094">
        <f t="shared" si="7"/>
        <v>0.24255998469951776</v>
      </c>
      <c r="Q77" s="1094">
        <f t="shared" si="7"/>
        <v>9.3484839642976575E-2</v>
      </c>
      <c r="R77" s="1094">
        <f t="shared" si="7"/>
        <v>1.6008255333838126E-2</v>
      </c>
      <c r="S77" s="1094">
        <f t="shared" si="7"/>
        <v>4.1995522861143818E-3</v>
      </c>
      <c r="T77" s="1077"/>
      <c r="U77" s="1077"/>
      <c r="V77" s="1077"/>
      <c r="W77" s="1077"/>
      <c r="X77" s="1077"/>
      <c r="Y77" s="1077"/>
      <c r="Z77" s="1077"/>
      <c r="AA77" s="1077"/>
      <c r="AB77" s="1077"/>
      <c r="AC77" s="1077"/>
      <c r="AD77" s="1077"/>
      <c r="AE77" s="1077"/>
      <c r="AF77" s="1077"/>
      <c r="AG77" s="1077"/>
      <c r="AH77" s="1077"/>
      <c r="AI77" s="1077"/>
      <c r="AJ77" s="1077"/>
      <c r="AK77" s="1077"/>
      <c r="AL77" s="1077"/>
      <c r="AM77" s="1077"/>
      <c r="AN77" s="1077"/>
      <c r="AO77" s="1077"/>
      <c r="AP77" s="1077"/>
      <c r="AQ77" s="1077"/>
      <c r="AR77" s="1077"/>
      <c r="AS77" s="1077"/>
      <c r="AT77" s="1077"/>
      <c r="AU77" s="1077"/>
      <c r="AV77" s="1077"/>
      <c r="AW77" s="1077"/>
      <c r="AX77" s="1077"/>
      <c r="AY77" s="1077"/>
      <c r="AZ77" s="1077"/>
      <c r="BA77" s="1077"/>
      <c r="BB77" s="1077"/>
      <c r="BC77" s="1077"/>
      <c r="BD77" s="1077"/>
      <c r="BE77" s="1077"/>
      <c r="BF77" s="1077"/>
      <c r="BG77" s="1077"/>
      <c r="BH77" s="1077"/>
      <c r="BI77" s="1077"/>
      <c r="BJ77" s="1077"/>
      <c r="BK77" s="1077"/>
      <c r="BL77" s="1077"/>
      <c r="BM77" s="1077"/>
      <c r="BN77" s="1077"/>
      <c r="BO77" s="1077"/>
      <c r="BP77" s="1077"/>
      <c r="BQ77" s="1077"/>
      <c r="BR77" s="1077"/>
      <c r="BS77" s="1077"/>
      <c r="BT77" s="1077"/>
      <c r="BU77" s="1077"/>
    </row>
    <row r="78" spans="1:73" x14ac:dyDescent="0.2">
      <c r="A78" s="1077"/>
      <c r="B78" s="1081" t="str">
        <f t="shared" ref="B78:B79" si="8">+$B$3</f>
        <v>Operating Capacity Factor</v>
      </c>
      <c r="C78" s="1090">
        <f ca="1">+C3</f>
        <v>0.9</v>
      </c>
      <c r="D78" s="1081" t="str">
        <f t="shared" ref="D78:D79" ca="1" si="9">+B78&amp;" = "&amp;C78*100&amp;"%"</f>
        <v>Operating Capacity Factor = 90%</v>
      </c>
      <c r="E78" s="1094">
        <f t="shared" ref="E78:S78" si="10">+K$51</f>
        <v>2.4111382454761561</v>
      </c>
      <c r="F78" s="1094">
        <f t="shared" si="10"/>
        <v>0</v>
      </c>
      <c r="G78" s="1094">
        <f t="shared" si="10"/>
        <v>1.6418275002923967E-3</v>
      </c>
      <c r="H78" s="1094">
        <f t="shared" si="10"/>
        <v>0.14942045524399045</v>
      </c>
      <c r="I78" s="1094">
        <f t="shared" si="10"/>
        <v>2.0985595575770056E-2</v>
      </c>
      <c r="J78" s="1094">
        <f t="shared" si="10"/>
        <v>2.8489350007646817E-2</v>
      </c>
      <c r="K78" s="1094">
        <f t="shared" si="10"/>
        <v>5.4915061535724839E-3</v>
      </c>
      <c r="L78" s="1094">
        <f t="shared" si="10"/>
        <v>1.6201557621688327E-3</v>
      </c>
      <c r="M78" s="1094">
        <f t="shared" si="10"/>
        <v>0.25862031433665061</v>
      </c>
      <c r="N78" s="1094">
        <f t="shared" si="10"/>
        <v>1.3716385995415594</v>
      </c>
      <c r="O78" s="1094">
        <f t="shared" si="10"/>
        <v>0.21197338494250778</v>
      </c>
      <c r="P78" s="1094">
        <f t="shared" si="10"/>
        <v>0.24553111712834094</v>
      </c>
      <c r="Q78" s="1094">
        <f t="shared" si="10"/>
        <v>9.8159081625125419E-2</v>
      </c>
      <c r="R78" s="1094">
        <f t="shared" si="10"/>
        <v>1.6440982758693726E-2</v>
      </c>
      <c r="S78" s="1094">
        <f t="shared" si="10"/>
        <v>4.4095299004201019E-3</v>
      </c>
      <c r="T78" s="1077"/>
      <c r="U78" s="1077"/>
      <c r="V78" s="1077"/>
      <c r="W78" s="1077"/>
      <c r="X78" s="1077"/>
      <c r="Y78" s="1077"/>
      <c r="Z78" s="1077"/>
      <c r="AA78" s="1077"/>
      <c r="AB78" s="1077"/>
      <c r="AC78" s="1077"/>
      <c r="AD78" s="1077"/>
      <c r="AE78" s="1077"/>
      <c r="AF78" s="1077"/>
      <c r="AG78" s="1077"/>
      <c r="AH78" s="1077"/>
      <c r="AI78" s="1077"/>
      <c r="AJ78" s="1077"/>
      <c r="AK78" s="1077"/>
      <c r="AL78" s="1077"/>
      <c r="AM78" s="1077"/>
      <c r="AN78" s="1077"/>
      <c r="AO78" s="1077"/>
      <c r="AP78" s="1077"/>
      <c r="AQ78" s="1077"/>
      <c r="AR78" s="1077"/>
      <c r="AS78" s="1077"/>
      <c r="AT78" s="1077"/>
      <c r="AU78" s="1077"/>
      <c r="AV78" s="1077"/>
      <c r="AW78" s="1077"/>
      <c r="AX78" s="1077"/>
      <c r="AY78" s="1077"/>
      <c r="AZ78" s="1077"/>
      <c r="BA78" s="1077"/>
      <c r="BB78" s="1077"/>
      <c r="BC78" s="1077"/>
      <c r="BD78" s="1077"/>
      <c r="BE78" s="1077"/>
      <c r="BF78" s="1077"/>
      <c r="BG78" s="1077"/>
      <c r="BH78" s="1077"/>
      <c r="BI78" s="1077"/>
      <c r="BJ78" s="1077"/>
      <c r="BK78" s="1077"/>
      <c r="BL78" s="1077"/>
      <c r="BM78" s="1077"/>
      <c r="BN78" s="1077"/>
      <c r="BO78" s="1077"/>
      <c r="BP78" s="1077"/>
      <c r="BQ78" s="1077"/>
      <c r="BR78" s="1077"/>
      <c r="BS78" s="1077"/>
      <c r="BT78" s="1077"/>
      <c r="BU78" s="1077"/>
    </row>
    <row r="79" spans="1:73" x14ac:dyDescent="0.2">
      <c r="A79" s="1077"/>
      <c r="B79" s="1081" t="str">
        <f t="shared" si="8"/>
        <v>Operating Capacity Factor</v>
      </c>
      <c r="C79" s="1090">
        <f ca="1">+I3</f>
        <v>0.85499999999999998</v>
      </c>
      <c r="D79" s="1081" t="str">
        <f t="shared" ca="1" si="9"/>
        <v>Operating Capacity Factor = 85.5%</v>
      </c>
      <c r="E79" s="1094">
        <f t="shared" ref="E79:S80" si="11">+K53</f>
        <v>2.4547063049594002</v>
      </c>
      <c r="F79" s="1094">
        <f t="shared" si="11"/>
        <v>0</v>
      </c>
      <c r="G79" s="1094">
        <f t="shared" si="11"/>
        <v>1.7282394739919966E-3</v>
      </c>
      <c r="H79" s="1094">
        <f t="shared" si="11"/>
        <v>0.15728468973051624</v>
      </c>
      <c r="I79" s="1094">
        <f t="shared" si="11"/>
        <v>2.2090100606073741E-2</v>
      </c>
      <c r="J79" s="1094">
        <f t="shared" si="11"/>
        <v>2.8872185650515511E-2</v>
      </c>
      <c r="K79" s="1094">
        <f t="shared" si="11"/>
        <v>5.7805327932341942E-3</v>
      </c>
      <c r="L79" s="1094">
        <f t="shared" si="11"/>
        <v>1.7054271180724553E-3</v>
      </c>
      <c r="M79" s="1094">
        <f t="shared" si="11"/>
        <v>0.27223190982805323</v>
      </c>
      <c r="N79" s="1094">
        <f t="shared" si="11"/>
        <v>1.3716385995415592</v>
      </c>
      <c r="O79" s="1094">
        <f t="shared" si="11"/>
        <v>0.22312987888685026</v>
      </c>
      <c r="P79" s="1094">
        <f t="shared" si="11"/>
        <v>0.2488150003391455</v>
      </c>
      <c r="Q79" s="1094">
        <f t="shared" si="11"/>
        <v>0.10332534907907938</v>
      </c>
      <c r="R79" s="1094">
        <f t="shared" si="11"/>
        <v>1.691926043879716E-2</v>
      </c>
      <c r="S79" s="1094">
        <f t="shared" si="11"/>
        <v>4.6416104214948434E-3</v>
      </c>
      <c r="T79" s="1077"/>
      <c r="U79" s="1077"/>
      <c r="V79" s="1077"/>
      <c r="W79" s="1077"/>
      <c r="X79" s="1077"/>
      <c r="Y79" s="1077"/>
      <c r="Z79" s="1077"/>
      <c r="AA79" s="1077"/>
      <c r="AB79" s="1077"/>
      <c r="AC79" s="1077"/>
      <c r="AD79" s="1077"/>
      <c r="AE79" s="1077"/>
      <c r="AF79" s="1077"/>
      <c r="AG79" s="1077"/>
      <c r="AH79" s="1077"/>
      <c r="AI79" s="1077"/>
      <c r="AJ79" s="1077"/>
      <c r="AK79" s="1077"/>
      <c r="AL79" s="1077"/>
      <c r="AM79" s="1077"/>
      <c r="AN79" s="1077"/>
      <c r="AO79" s="1077"/>
      <c r="AP79" s="1077"/>
      <c r="AQ79" s="1077"/>
      <c r="AR79" s="1077"/>
      <c r="AS79" s="1077"/>
      <c r="AT79" s="1077"/>
      <c r="AU79" s="1077"/>
      <c r="AV79" s="1077"/>
      <c r="AW79" s="1077"/>
      <c r="AX79" s="1077"/>
      <c r="AY79" s="1077"/>
      <c r="AZ79" s="1077"/>
      <c r="BA79" s="1077"/>
      <c r="BB79" s="1077"/>
      <c r="BC79" s="1077"/>
      <c r="BD79" s="1077"/>
      <c r="BE79" s="1077"/>
      <c r="BF79" s="1077"/>
      <c r="BG79" s="1077"/>
      <c r="BH79" s="1077"/>
      <c r="BI79" s="1077"/>
      <c r="BJ79" s="1077"/>
      <c r="BK79" s="1077"/>
      <c r="BL79" s="1077"/>
      <c r="BM79" s="1077"/>
      <c r="BN79" s="1077"/>
      <c r="BO79" s="1077"/>
      <c r="BP79" s="1077"/>
      <c r="BQ79" s="1077"/>
      <c r="BR79" s="1077"/>
      <c r="BS79" s="1077"/>
      <c r="BT79" s="1077"/>
      <c r="BU79" s="1077"/>
    </row>
    <row r="80" spans="1:73" x14ac:dyDescent="0.2">
      <c r="A80" s="1077"/>
      <c r="B80" s="1081" t="str">
        <f>+$B$4</f>
        <v>Plant Design Capacity (kg of H2/day)</v>
      </c>
      <c r="C80" s="1099">
        <f ca="1">ROUND(H4,0)</f>
        <v>162998</v>
      </c>
      <c r="D80" s="1081" t="str">
        <f ca="1">+B80&amp;" = "&amp;TEXT(C80,"0,000")</f>
        <v>Plant Design Capacity (kg of H2/day) = 162,998</v>
      </c>
      <c r="E80" s="1094">
        <f t="shared" si="11"/>
        <v>2.4017774627996471</v>
      </c>
      <c r="F80" s="1094">
        <f t="shared" si="11"/>
        <v>0</v>
      </c>
      <c r="G80" s="1094">
        <f t="shared" si="11"/>
        <v>1.6242986372420952E-3</v>
      </c>
      <c r="H80" s="1094">
        <f t="shared" si="11"/>
        <v>0.147825177605859</v>
      </c>
      <c r="I80" s="1094">
        <f t="shared" si="11"/>
        <v>2.0761544248324784E-2</v>
      </c>
      <c r="J80" s="1094">
        <f t="shared" si="11"/>
        <v>2.8404680173223534E-2</v>
      </c>
      <c r="K80" s="1094">
        <f t="shared" si="11"/>
        <v>5.4328764502152701E-3</v>
      </c>
      <c r="L80" s="1094">
        <f t="shared" si="11"/>
        <v>1.6028582760016462E-3</v>
      </c>
      <c r="M80" s="1094">
        <f t="shared" si="11"/>
        <v>0.25241644557762755</v>
      </c>
      <c r="N80" s="1094">
        <f t="shared" si="11"/>
        <v>1.3716385995415585</v>
      </c>
      <c r="O80" s="1094">
        <f t="shared" si="11"/>
        <v>0.2119733849425077</v>
      </c>
      <c r="P80" s="1094">
        <f t="shared" si="11"/>
        <v>0.24553111712834089</v>
      </c>
      <c r="Q80" s="1094">
        <f t="shared" si="11"/>
        <v>9.7111092662433673E-2</v>
      </c>
      <c r="R80" s="1094">
        <f t="shared" si="11"/>
        <v>1.6341532985607313E-2</v>
      </c>
      <c r="S80" s="1094">
        <f t="shared" si="11"/>
        <v>4.3624518451878024E-3</v>
      </c>
      <c r="T80" s="1077"/>
      <c r="U80" s="1077"/>
      <c r="V80" s="1077"/>
      <c r="W80" s="1077"/>
      <c r="X80" s="1077"/>
      <c r="Y80" s="1077"/>
      <c r="Z80" s="1077"/>
      <c r="AA80" s="1077"/>
      <c r="AB80" s="1077"/>
      <c r="AC80" s="1077"/>
      <c r="AD80" s="1077"/>
      <c r="AE80" s="1077"/>
      <c r="AF80" s="1077"/>
      <c r="AG80" s="1077"/>
      <c r="AH80" s="1077"/>
      <c r="AI80" s="1077"/>
      <c r="AJ80" s="1077"/>
      <c r="AK80" s="1077"/>
      <c r="AL80" s="1077"/>
      <c r="AM80" s="1077"/>
      <c r="AN80" s="1077"/>
      <c r="AO80" s="1077"/>
      <c r="AP80" s="1077"/>
      <c r="AQ80" s="1077"/>
      <c r="AR80" s="1077"/>
      <c r="AS80" s="1077"/>
      <c r="AT80" s="1077"/>
      <c r="AU80" s="1077"/>
      <c r="AV80" s="1077"/>
      <c r="AW80" s="1077"/>
      <c r="AX80" s="1077"/>
      <c r="AY80" s="1077"/>
      <c r="AZ80" s="1077"/>
      <c r="BA80" s="1077"/>
      <c r="BB80" s="1077"/>
      <c r="BC80" s="1077"/>
      <c r="BD80" s="1077"/>
      <c r="BE80" s="1077"/>
      <c r="BF80" s="1077"/>
      <c r="BG80" s="1077"/>
      <c r="BH80" s="1077"/>
      <c r="BI80" s="1077"/>
      <c r="BJ80" s="1077"/>
      <c r="BK80" s="1077"/>
      <c r="BL80" s="1077"/>
      <c r="BM80" s="1077"/>
      <c r="BN80" s="1077"/>
      <c r="BO80" s="1077"/>
      <c r="BP80" s="1077"/>
      <c r="BQ80" s="1077"/>
      <c r="BR80" s="1077"/>
      <c r="BS80" s="1077"/>
      <c r="BT80" s="1077"/>
      <c r="BU80" s="1077"/>
    </row>
    <row r="81" spans="1:73" x14ac:dyDescent="0.2">
      <c r="A81" s="1077"/>
      <c r="B81" s="1081" t="str">
        <f t="shared" ref="B81:B82" si="12">+$B$4</f>
        <v>Plant Design Capacity (kg of H2/day)</v>
      </c>
      <c r="C81" s="1099">
        <f ca="1">+ROUND(C4,0)</f>
        <v>155236</v>
      </c>
      <c r="D81" s="1081" t="str">
        <f t="shared" ref="D81:D82" ca="1" si="13">+B81&amp;" = "&amp;TEXT(C81,"0,000")</f>
        <v>Plant Design Capacity (kg of H2/day) = 155,236</v>
      </c>
      <c r="E81" s="1094">
        <f t="shared" ref="E81:S81" si="14">+K$51</f>
        <v>2.4111382454761561</v>
      </c>
      <c r="F81" s="1094">
        <f t="shared" si="14"/>
        <v>0</v>
      </c>
      <c r="G81" s="1094">
        <f t="shared" si="14"/>
        <v>1.6418275002923967E-3</v>
      </c>
      <c r="H81" s="1094">
        <f t="shared" si="14"/>
        <v>0.14942045524399045</v>
      </c>
      <c r="I81" s="1094">
        <f t="shared" si="14"/>
        <v>2.0985595575770056E-2</v>
      </c>
      <c r="J81" s="1094">
        <f t="shared" si="14"/>
        <v>2.8489350007646817E-2</v>
      </c>
      <c r="K81" s="1094">
        <f t="shared" si="14"/>
        <v>5.4915061535724839E-3</v>
      </c>
      <c r="L81" s="1094">
        <f t="shared" si="14"/>
        <v>1.6201557621688327E-3</v>
      </c>
      <c r="M81" s="1094">
        <f t="shared" si="14"/>
        <v>0.25862031433665061</v>
      </c>
      <c r="N81" s="1094">
        <f t="shared" si="14"/>
        <v>1.3716385995415594</v>
      </c>
      <c r="O81" s="1094">
        <f t="shared" si="14"/>
        <v>0.21197338494250778</v>
      </c>
      <c r="P81" s="1094">
        <f t="shared" si="14"/>
        <v>0.24553111712834094</v>
      </c>
      <c r="Q81" s="1094">
        <f t="shared" si="14"/>
        <v>9.8159081625125419E-2</v>
      </c>
      <c r="R81" s="1094">
        <f t="shared" si="14"/>
        <v>1.6440982758693726E-2</v>
      </c>
      <c r="S81" s="1094">
        <f t="shared" si="14"/>
        <v>4.4095299004201019E-3</v>
      </c>
      <c r="T81" s="1077"/>
      <c r="U81" s="1077"/>
      <c r="V81" s="1077"/>
      <c r="W81" s="1077"/>
      <c r="X81" s="1077"/>
      <c r="Y81" s="1077"/>
      <c r="Z81" s="1077"/>
      <c r="AA81" s="1077"/>
      <c r="AB81" s="1077"/>
      <c r="AC81" s="1077"/>
      <c r="AD81" s="1077"/>
      <c r="AE81" s="1077"/>
      <c r="AF81" s="1077"/>
      <c r="AG81" s="1077"/>
      <c r="AH81" s="1077"/>
      <c r="AI81" s="1077"/>
      <c r="AJ81" s="1077"/>
      <c r="AK81" s="1077"/>
      <c r="AL81" s="1077"/>
      <c r="AM81" s="1077"/>
      <c r="AN81" s="1077"/>
      <c r="AO81" s="1077"/>
      <c r="AP81" s="1077"/>
      <c r="AQ81" s="1077"/>
      <c r="AR81" s="1077"/>
      <c r="AS81" s="1077"/>
      <c r="AT81" s="1077"/>
      <c r="AU81" s="1077"/>
      <c r="AV81" s="1077"/>
      <c r="AW81" s="1077"/>
      <c r="AX81" s="1077"/>
      <c r="AY81" s="1077"/>
      <c r="AZ81" s="1077"/>
      <c r="BA81" s="1077"/>
      <c r="BB81" s="1077"/>
      <c r="BC81" s="1077"/>
      <c r="BD81" s="1077"/>
      <c r="BE81" s="1077"/>
      <c r="BF81" s="1077"/>
      <c r="BG81" s="1077"/>
      <c r="BH81" s="1077"/>
      <c r="BI81" s="1077"/>
      <c r="BJ81" s="1077"/>
      <c r="BK81" s="1077"/>
      <c r="BL81" s="1077"/>
      <c r="BM81" s="1077"/>
      <c r="BN81" s="1077"/>
      <c r="BO81" s="1077"/>
      <c r="BP81" s="1077"/>
      <c r="BQ81" s="1077"/>
      <c r="BR81" s="1077"/>
      <c r="BS81" s="1077"/>
      <c r="BT81" s="1077"/>
      <c r="BU81" s="1077"/>
    </row>
    <row r="82" spans="1:73" x14ac:dyDescent="0.2">
      <c r="A82" s="1077"/>
      <c r="B82" s="1081" t="str">
        <f t="shared" si="12"/>
        <v>Plant Design Capacity (kg of H2/day)</v>
      </c>
      <c r="C82" s="1099">
        <f ca="1">ROUND(I4,0)</f>
        <v>147474</v>
      </c>
      <c r="D82" s="1081" t="str">
        <f t="shared" ca="1" si="13"/>
        <v>Plant Design Capacity (kg of H2/day) = 147,474</v>
      </c>
      <c r="E82" s="1094">
        <f t="shared" ref="E82:S83" si="15">+K55</f>
        <v>2.4212711951023391</v>
      </c>
      <c r="F82" s="1094">
        <f t="shared" si="15"/>
        <v>0</v>
      </c>
      <c r="G82" s="1094">
        <f t="shared" si="15"/>
        <v>1.6604596732696653E-3</v>
      </c>
      <c r="H82" s="1094">
        <f t="shared" si="15"/>
        <v>0.1511161435961178</v>
      </c>
      <c r="I82" s="1094">
        <f t="shared" si="15"/>
        <v>2.122374924704741E-2</v>
      </c>
      <c r="J82" s="1094">
        <f t="shared" si="15"/>
        <v>2.8581801345220675E-2</v>
      </c>
      <c r="K82" s="1094">
        <f t="shared" si="15"/>
        <v>5.5538261552418875E-3</v>
      </c>
      <c r="L82" s="1094">
        <f t="shared" si="15"/>
        <v>1.6385419948305904E-3</v>
      </c>
      <c r="M82" s="1094">
        <f t="shared" si="15"/>
        <v>0.26539434394012101</v>
      </c>
      <c r="N82" s="1094">
        <f t="shared" si="15"/>
        <v>1.3716385995415592</v>
      </c>
      <c r="O82" s="1094">
        <f t="shared" si="15"/>
        <v>0.21197338494250781</v>
      </c>
      <c r="P82" s="1094">
        <f t="shared" si="15"/>
        <v>0.24553111712834097</v>
      </c>
      <c r="Q82" s="1094">
        <f t="shared" si="15"/>
        <v>9.9273033601081154E-2</v>
      </c>
      <c r="R82" s="1094">
        <f t="shared" si="15"/>
        <v>1.6547542118833171E-2</v>
      </c>
      <c r="S82" s="1094">
        <f t="shared" si="15"/>
        <v>4.4595711647054384E-3</v>
      </c>
      <c r="T82" s="1077"/>
      <c r="U82" s="1077"/>
      <c r="V82" s="1077"/>
      <c r="W82" s="1077"/>
      <c r="X82" s="1077"/>
      <c r="Y82" s="1077"/>
      <c r="Z82" s="1077"/>
      <c r="AA82" s="1077"/>
      <c r="AB82" s="1077"/>
      <c r="AC82" s="1077"/>
      <c r="AD82" s="1077"/>
      <c r="AE82" s="1077"/>
      <c r="AF82" s="1077"/>
      <c r="AG82" s="1077"/>
      <c r="AH82" s="1077"/>
      <c r="AI82" s="1077"/>
      <c r="AJ82" s="1077"/>
      <c r="AK82" s="1077"/>
      <c r="AL82" s="1077"/>
      <c r="AM82" s="1077"/>
      <c r="AN82" s="1077"/>
      <c r="AO82" s="1077"/>
      <c r="AP82" s="1077"/>
      <c r="AQ82" s="1077"/>
      <c r="AR82" s="1077"/>
      <c r="AS82" s="1077"/>
      <c r="AT82" s="1077"/>
      <c r="AU82" s="1077"/>
      <c r="AV82" s="1077"/>
      <c r="AW82" s="1077"/>
      <c r="AX82" s="1077"/>
      <c r="AY82" s="1077"/>
      <c r="AZ82" s="1077"/>
      <c r="BA82" s="1077"/>
      <c r="BB82" s="1077"/>
      <c r="BC82" s="1077"/>
      <c r="BD82" s="1077"/>
      <c r="BE82" s="1077"/>
      <c r="BF82" s="1077"/>
      <c r="BG82" s="1077"/>
      <c r="BH82" s="1077"/>
      <c r="BI82" s="1077"/>
      <c r="BJ82" s="1077"/>
      <c r="BK82" s="1077"/>
      <c r="BL82" s="1077"/>
      <c r="BM82" s="1077"/>
      <c r="BN82" s="1077"/>
      <c r="BO82" s="1077"/>
      <c r="BP82" s="1077"/>
      <c r="BQ82" s="1077"/>
      <c r="BR82" s="1077"/>
      <c r="BS82" s="1077"/>
      <c r="BT82" s="1077"/>
      <c r="BU82" s="1077"/>
    </row>
    <row r="83" spans="1:73" x14ac:dyDescent="0.2">
      <c r="A83" s="1077"/>
      <c r="B83" s="1081" t="str">
        <f>+$B$5</f>
        <v>After-tax Real IRR</v>
      </c>
      <c r="C83" s="1090">
        <f ca="1">+ROUND(H5,2)</f>
        <v>0.08</v>
      </c>
      <c r="D83" s="1081" t="str">
        <f t="shared" ref="D83:D85" ca="1" si="16">+B83&amp;" = "&amp;C83*100&amp;"%"</f>
        <v>After-tax Real IRR = 8%</v>
      </c>
      <c r="E83" s="1094">
        <f t="shared" si="15"/>
        <v>2.3981518107823239</v>
      </c>
      <c r="F83" s="1094">
        <f t="shared" si="15"/>
        <v>0</v>
      </c>
      <c r="G83" s="1094">
        <f t="shared" si="15"/>
        <v>1.8205055488574227E-3</v>
      </c>
      <c r="H83" s="1094">
        <f t="shared" si="15"/>
        <v>0.14241276366491534</v>
      </c>
      <c r="I83" s="1094">
        <f t="shared" si="15"/>
        <v>2.0952547202839879E-2</v>
      </c>
      <c r="J83" s="1094">
        <f t="shared" si="15"/>
        <v>2.7404339406443594E-2</v>
      </c>
      <c r="K83" s="1094">
        <f t="shared" si="15"/>
        <v>5.2104306666281358E-3</v>
      </c>
      <c r="L83" s="1094">
        <f t="shared" si="15"/>
        <v>1.7964753023788451E-3</v>
      </c>
      <c r="M83" s="1094">
        <f t="shared" si="15"/>
        <v>0.25821303589822564</v>
      </c>
      <c r="N83" s="1094">
        <f t="shared" si="15"/>
        <v>1.370562847202597</v>
      </c>
      <c r="O83" s="1094">
        <f t="shared" si="15"/>
        <v>0.2118031716072182</v>
      </c>
      <c r="P83" s="1094">
        <f t="shared" si="15"/>
        <v>0.24571493542281861</v>
      </c>
      <c r="Q83" s="1094">
        <f t="shared" si="15"/>
        <v>9.643493075003963E-2</v>
      </c>
      <c r="R83" s="1094">
        <f t="shared" si="15"/>
        <v>1.4577425641924701E-2</v>
      </c>
      <c r="S83" s="1094">
        <f t="shared" si="15"/>
        <v>4.8894135651509464E-3</v>
      </c>
      <c r="T83" s="1077"/>
      <c r="U83" s="1077"/>
      <c r="V83" s="1077"/>
      <c r="W83" s="1077"/>
      <c r="X83" s="1077"/>
      <c r="Y83" s="1077"/>
      <c r="Z83" s="1077"/>
      <c r="AA83" s="1077"/>
      <c r="AB83" s="1077"/>
      <c r="AC83" s="1077"/>
      <c r="AD83" s="1077"/>
      <c r="AE83" s="1077"/>
      <c r="AF83" s="1077"/>
      <c r="AG83" s="1077"/>
      <c r="AH83" s="1077"/>
      <c r="AI83" s="1077"/>
      <c r="AJ83" s="1077"/>
      <c r="AK83" s="1077"/>
      <c r="AL83" s="1077"/>
      <c r="AM83" s="1077"/>
      <c r="AN83" s="1077"/>
      <c r="AO83" s="1077"/>
      <c r="AP83" s="1077"/>
      <c r="AQ83" s="1077"/>
      <c r="AR83" s="1077"/>
      <c r="AS83" s="1077"/>
      <c r="AT83" s="1077"/>
      <c r="AU83" s="1077"/>
      <c r="AV83" s="1077"/>
      <c r="AW83" s="1077"/>
      <c r="AX83" s="1077"/>
      <c r="AY83" s="1077"/>
      <c r="AZ83" s="1077"/>
      <c r="BA83" s="1077"/>
      <c r="BB83" s="1077"/>
      <c r="BC83" s="1077"/>
      <c r="BD83" s="1077"/>
      <c r="BE83" s="1077"/>
      <c r="BF83" s="1077"/>
      <c r="BG83" s="1077"/>
      <c r="BH83" s="1077"/>
      <c r="BI83" s="1077"/>
      <c r="BJ83" s="1077"/>
      <c r="BK83" s="1077"/>
      <c r="BL83" s="1077"/>
      <c r="BM83" s="1077"/>
      <c r="BN83" s="1077"/>
      <c r="BO83" s="1077"/>
      <c r="BP83" s="1077"/>
      <c r="BQ83" s="1077"/>
      <c r="BR83" s="1077"/>
      <c r="BS83" s="1077"/>
      <c r="BT83" s="1077"/>
      <c r="BU83" s="1077"/>
    </row>
    <row r="84" spans="1:73" x14ac:dyDescent="0.2">
      <c r="A84" s="1077"/>
      <c r="B84" s="1081" t="str">
        <f t="shared" ref="B84:B85" si="17">+$B$5</f>
        <v>After-tax Real IRR</v>
      </c>
      <c r="C84" s="1090">
        <f ca="1">ROUND(C5,2)</f>
        <v>0.08</v>
      </c>
      <c r="D84" s="1081" t="str">
        <f t="shared" ca="1" si="16"/>
        <v>After-tax Real IRR = 8%</v>
      </c>
      <c r="E84" s="1094">
        <f t="shared" ref="E84:S84" si="18">+K$51</f>
        <v>2.4111382454761561</v>
      </c>
      <c r="F84" s="1094">
        <f t="shared" si="18"/>
        <v>0</v>
      </c>
      <c r="G84" s="1094">
        <f t="shared" si="18"/>
        <v>1.6418275002923967E-3</v>
      </c>
      <c r="H84" s="1094">
        <f t="shared" si="18"/>
        <v>0.14942045524399045</v>
      </c>
      <c r="I84" s="1094">
        <f t="shared" si="18"/>
        <v>2.0985595575770056E-2</v>
      </c>
      <c r="J84" s="1094">
        <f t="shared" si="18"/>
        <v>2.8489350007646817E-2</v>
      </c>
      <c r="K84" s="1094">
        <f t="shared" si="18"/>
        <v>5.4915061535724839E-3</v>
      </c>
      <c r="L84" s="1094">
        <f t="shared" si="18"/>
        <v>1.6201557621688327E-3</v>
      </c>
      <c r="M84" s="1094">
        <f t="shared" si="18"/>
        <v>0.25862031433665061</v>
      </c>
      <c r="N84" s="1094">
        <f t="shared" si="18"/>
        <v>1.3716385995415594</v>
      </c>
      <c r="O84" s="1094">
        <f t="shared" si="18"/>
        <v>0.21197338494250778</v>
      </c>
      <c r="P84" s="1094">
        <f t="shared" si="18"/>
        <v>0.24553111712834094</v>
      </c>
      <c r="Q84" s="1094">
        <f t="shared" si="18"/>
        <v>9.8159081625125419E-2</v>
      </c>
      <c r="R84" s="1094">
        <f t="shared" si="18"/>
        <v>1.6440982758693726E-2</v>
      </c>
      <c r="S84" s="1094">
        <f t="shared" si="18"/>
        <v>4.4095299004201019E-3</v>
      </c>
      <c r="T84" s="1077"/>
      <c r="U84" s="1077"/>
      <c r="V84" s="1077"/>
      <c r="W84" s="1077"/>
      <c r="X84" s="1077"/>
      <c r="Y84" s="1077"/>
      <c r="Z84" s="1077"/>
      <c r="AA84" s="1077"/>
      <c r="AB84" s="1077"/>
      <c r="AC84" s="1077"/>
      <c r="AD84" s="1077"/>
      <c r="AE84" s="1077"/>
      <c r="AF84" s="1077"/>
      <c r="AG84" s="1077"/>
      <c r="AH84" s="1077"/>
      <c r="AI84" s="1077"/>
      <c r="AJ84" s="1077"/>
      <c r="AK84" s="1077"/>
      <c r="AL84" s="1077"/>
      <c r="AM84" s="1077"/>
      <c r="AN84" s="1077"/>
      <c r="AO84" s="1077"/>
      <c r="AP84" s="1077"/>
      <c r="AQ84" s="1077"/>
      <c r="AR84" s="1077"/>
      <c r="AS84" s="1077"/>
      <c r="AT84" s="1077"/>
      <c r="AU84" s="1077"/>
      <c r="AV84" s="1077"/>
      <c r="AW84" s="1077"/>
      <c r="AX84" s="1077"/>
      <c r="AY84" s="1077"/>
      <c r="AZ84" s="1077"/>
      <c r="BA84" s="1077"/>
      <c r="BB84" s="1077"/>
      <c r="BC84" s="1077"/>
      <c r="BD84" s="1077"/>
      <c r="BE84" s="1077"/>
      <c r="BF84" s="1077"/>
      <c r="BG84" s="1077"/>
      <c r="BH84" s="1077"/>
      <c r="BI84" s="1077"/>
      <c r="BJ84" s="1077"/>
      <c r="BK84" s="1077"/>
      <c r="BL84" s="1077"/>
      <c r="BM84" s="1077"/>
      <c r="BN84" s="1077"/>
      <c r="BO84" s="1077"/>
      <c r="BP84" s="1077"/>
      <c r="BQ84" s="1077"/>
      <c r="BR84" s="1077"/>
      <c r="BS84" s="1077"/>
      <c r="BT84" s="1077"/>
      <c r="BU84" s="1077"/>
    </row>
    <row r="85" spans="1:73" x14ac:dyDescent="0.2">
      <c r="A85" s="1077"/>
      <c r="B85" s="1081" t="str">
        <f t="shared" si="17"/>
        <v>After-tax Real IRR</v>
      </c>
      <c r="C85" s="1090">
        <f ca="1">ROUND(I5,2)</f>
        <v>0.08</v>
      </c>
      <c r="D85" s="1081" t="str">
        <f t="shared" ca="1" si="16"/>
        <v>After-tax Real IRR = 8%</v>
      </c>
      <c r="E85" s="1094">
        <f t="shared" ref="E85:S86" si="19">+K57</f>
        <v>2.4244248794700054</v>
      </c>
      <c r="F85" s="1094">
        <f t="shared" si="19"/>
        <v>0</v>
      </c>
      <c r="G85" s="1094">
        <f t="shared" si="19"/>
        <v>1.4794948863293543E-3</v>
      </c>
      <c r="H85" s="1094">
        <f t="shared" si="19"/>
        <v>0.15655995420919266</v>
      </c>
      <c r="I85" s="1094">
        <f t="shared" si="19"/>
        <v>2.1018904071997496E-2</v>
      </c>
      <c r="J85" s="1094">
        <f t="shared" si="19"/>
        <v>2.9568156104698755E-2</v>
      </c>
      <c r="K85" s="1094">
        <f t="shared" si="19"/>
        <v>5.7797564634626767E-3</v>
      </c>
      <c r="L85" s="1094">
        <f t="shared" si="19"/>
        <v>1.4599659006557851E-3</v>
      </c>
      <c r="M85" s="1094">
        <f t="shared" si="19"/>
        <v>0.25903079845816712</v>
      </c>
      <c r="N85" s="1094">
        <f t="shared" si="19"/>
        <v>1.3727252497452316</v>
      </c>
      <c r="O85" s="1094">
        <f t="shared" si="19"/>
        <v>0.21214493802466211</v>
      </c>
      <c r="P85" s="1094">
        <f t="shared" si="19"/>
        <v>0.24535660127597192</v>
      </c>
      <c r="Q85" s="1094">
        <f t="shared" si="19"/>
        <v>9.9895435720664921E-2</v>
      </c>
      <c r="R85" s="1094">
        <f t="shared" si="19"/>
        <v>1.8391068477671794E-2</v>
      </c>
      <c r="S85" s="1094">
        <f t="shared" si="19"/>
        <v>3.9735459039552425E-3</v>
      </c>
      <c r="T85" s="1077"/>
      <c r="U85" s="1077"/>
      <c r="V85" s="1077"/>
      <c r="W85" s="1077"/>
      <c r="X85" s="1077"/>
      <c r="Y85" s="1077"/>
      <c r="Z85" s="1077"/>
      <c r="AA85" s="1077"/>
      <c r="AB85" s="1077"/>
      <c r="AC85" s="1077"/>
      <c r="AD85" s="1077"/>
      <c r="AE85" s="1077"/>
      <c r="AF85" s="1077"/>
      <c r="AG85" s="1077"/>
      <c r="AH85" s="1077"/>
      <c r="AI85" s="1077"/>
      <c r="AJ85" s="1077"/>
      <c r="AK85" s="1077"/>
      <c r="AL85" s="1077"/>
      <c r="AM85" s="1077"/>
      <c r="AN85" s="1077"/>
      <c r="AO85" s="1077"/>
      <c r="AP85" s="1077"/>
      <c r="AQ85" s="1077"/>
      <c r="AR85" s="1077"/>
      <c r="AS85" s="1077"/>
      <c r="AT85" s="1077"/>
      <c r="AU85" s="1077"/>
      <c r="AV85" s="1077"/>
      <c r="AW85" s="1077"/>
      <c r="AX85" s="1077"/>
      <c r="AY85" s="1077"/>
      <c r="AZ85" s="1077"/>
      <c r="BA85" s="1077"/>
      <c r="BB85" s="1077"/>
      <c r="BC85" s="1077"/>
      <c r="BD85" s="1077"/>
      <c r="BE85" s="1077"/>
      <c r="BF85" s="1077"/>
      <c r="BG85" s="1077"/>
      <c r="BH85" s="1077"/>
      <c r="BI85" s="1077"/>
      <c r="BJ85" s="1077"/>
      <c r="BK85" s="1077"/>
      <c r="BL85" s="1077"/>
      <c r="BM85" s="1077"/>
      <c r="BN85" s="1077"/>
      <c r="BO85" s="1077"/>
      <c r="BP85" s="1077"/>
      <c r="BQ85" s="1077"/>
      <c r="BR85" s="1077"/>
      <c r="BS85" s="1077"/>
      <c r="BT85" s="1077"/>
      <c r="BU85" s="1077"/>
    </row>
    <row r="86" spans="1:73" x14ac:dyDescent="0.2">
      <c r="A86" s="1077"/>
      <c r="B86" s="1081" t="str">
        <f>+$B$6</f>
        <v>Feedstock Consumption (% of baseline)</v>
      </c>
      <c r="C86" s="1081">
        <f>+ROUND(H6,3)</f>
        <v>0.95</v>
      </c>
      <c r="D86" s="1080" t="str">
        <f>+B86&amp;" = "&amp;C86*100&amp;"%"</f>
        <v>Feedstock Consumption (% of baseline) = 95%</v>
      </c>
      <c r="E86" s="1102">
        <f t="shared" si="19"/>
        <v>2.3412960583840761</v>
      </c>
      <c r="F86" s="1094">
        <f t="shared" si="19"/>
        <v>0</v>
      </c>
      <c r="G86" s="1094">
        <f t="shared" si="19"/>
        <v>1.6418275002923967E-3</v>
      </c>
      <c r="H86" s="1094">
        <f t="shared" si="19"/>
        <v>0.14942045524399045</v>
      </c>
      <c r="I86" s="1094">
        <f t="shared" si="19"/>
        <v>2.0985595575770056E-2</v>
      </c>
      <c r="J86" s="1094">
        <f t="shared" si="19"/>
        <v>2.7553483074046994E-2</v>
      </c>
      <c r="K86" s="1094">
        <f t="shared" si="19"/>
        <v>5.4915061535724839E-3</v>
      </c>
      <c r="L86" s="1094">
        <f t="shared" si="19"/>
        <v>1.6201557621688327E-3</v>
      </c>
      <c r="M86" s="1094">
        <f t="shared" si="19"/>
        <v>0.25862031433665061</v>
      </c>
      <c r="N86" s="1094">
        <f t="shared" si="19"/>
        <v>1.303056669564481</v>
      </c>
      <c r="O86" s="1094">
        <f t="shared" si="19"/>
        <v>0.21197338494250778</v>
      </c>
      <c r="P86" s="1094">
        <f t="shared" si="19"/>
        <v>0.24553111712834094</v>
      </c>
      <c r="Q86" s="1094">
        <f t="shared" si="19"/>
        <v>9.8159081625125419E-2</v>
      </c>
      <c r="R86" s="1094">
        <f t="shared" si="19"/>
        <v>1.6116592577292373E-2</v>
      </c>
      <c r="S86" s="1094">
        <f t="shared" si="19"/>
        <v>4.4095299004201019E-3</v>
      </c>
      <c r="T86" s="1077"/>
      <c r="U86" s="1077"/>
      <c r="V86" s="1077"/>
      <c r="W86" s="1077"/>
      <c r="X86" s="1077"/>
      <c r="Y86" s="1077"/>
      <c r="Z86" s="1077"/>
      <c r="AA86" s="1077"/>
      <c r="AB86" s="1077"/>
      <c r="AC86" s="1077"/>
      <c r="AD86" s="1077"/>
      <c r="AE86" s="1077"/>
      <c r="AF86" s="1077"/>
      <c r="AG86" s="1077"/>
      <c r="AH86" s="1077"/>
      <c r="AI86" s="1077"/>
      <c r="AJ86" s="1077"/>
      <c r="AK86" s="1077"/>
      <c r="AL86" s="1077"/>
      <c r="AM86" s="1077"/>
      <c r="AN86" s="1077"/>
      <c r="AO86" s="1077"/>
      <c r="AP86" s="1077"/>
      <c r="AQ86" s="1077"/>
      <c r="AR86" s="1077"/>
      <c r="AS86" s="1077"/>
      <c r="AT86" s="1077"/>
      <c r="AU86" s="1077"/>
      <c r="AV86" s="1077"/>
      <c r="AW86" s="1077"/>
      <c r="AX86" s="1077"/>
      <c r="AY86" s="1077"/>
      <c r="AZ86" s="1077"/>
      <c r="BA86" s="1077"/>
      <c r="BB86" s="1077"/>
      <c r="BC86" s="1077"/>
      <c r="BD86" s="1077"/>
      <c r="BE86" s="1077"/>
      <c r="BF86" s="1077"/>
      <c r="BG86" s="1077"/>
      <c r="BH86" s="1077"/>
      <c r="BI86" s="1077"/>
      <c r="BJ86" s="1077"/>
      <c r="BK86" s="1077"/>
      <c r="BL86" s="1077"/>
      <c r="BM86" s="1077"/>
      <c r="BN86" s="1077"/>
      <c r="BO86" s="1077"/>
      <c r="BP86" s="1077"/>
      <c r="BQ86" s="1077"/>
      <c r="BR86" s="1077"/>
      <c r="BS86" s="1077"/>
      <c r="BT86" s="1077"/>
      <c r="BU86" s="1077"/>
    </row>
    <row r="87" spans="1:73" x14ac:dyDescent="0.2">
      <c r="A87" s="1077"/>
      <c r="B87" s="1081" t="str">
        <f t="shared" ref="B87:B88" si="20">+$B$6</f>
        <v>Feedstock Consumption (% of baseline)</v>
      </c>
      <c r="C87" s="1081">
        <f>+ROUND(C6,3)</f>
        <v>1</v>
      </c>
      <c r="D87" s="1080" t="str">
        <f>+B87&amp;" = "&amp;C87*100&amp;"%"</f>
        <v>Feedstock Consumption (% of baseline) = 100%</v>
      </c>
      <c r="E87" s="1102">
        <f t="shared" ref="E87:S87" si="21">+K$51</f>
        <v>2.4111382454761561</v>
      </c>
      <c r="F87" s="1094">
        <f t="shared" si="21"/>
        <v>0</v>
      </c>
      <c r="G87" s="1094">
        <f t="shared" si="21"/>
        <v>1.6418275002923967E-3</v>
      </c>
      <c r="H87" s="1094">
        <f t="shared" si="21"/>
        <v>0.14942045524399045</v>
      </c>
      <c r="I87" s="1094">
        <f t="shared" si="21"/>
        <v>2.0985595575770056E-2</v>
      </c>
      <c r="J87" s="1094">
        <f t="shared" si="21"/>
        <v>2.8489350007646817E-2</v>
      </c>
      <c r="K87" s="1094">
        <f t="shared" si="21"/>
        <v>5.4915061535724839E-3</v>
      </c>
      <c r="L87" s="1094">
        <f t="shared" si="21"/>
        <v>1.6201557621688327E-3</v>
      </c>
      <c r="M87" s="1094">
        <f t="shared" si="21"/>
        <v>0.25862031433665061</v>
      </c>
      <c r="N87" s="1094">
        <f t="shared" si="21"/>
        <v>1.3716385995415594</v>
      </c>
      <c r="O87" s="1094">
        <f t="shared" si="21"/>
        <v>0.21197338494250778</v>
      </c>
      <c r="P87" s="1094">
        <f t="shared" si="21"/>
        <v>0.24553111712834094</v>
      </c>
      <c r="Q87" s="1094">
        <f t="shared" si="21"/>
        <v>9.8159081625125419E-2</v>
      </c>
      <c r="R87" s="1094">
        <f t="shared" si="21"/>
        <v>1.6440982758693726E-2</v>
      </c>
      <c r="S87" s="1094">
        <f t="shared" si="21"/>
        <v>4.4095299004201019E-3</v>
      </c>
      <c r="T87" s="1077"/>
      <c r="U87" s="1077"/>
      <c r="V87" s="1077"/>
      <c r="W87" s="1077"/>
      <c r="X87" s="1077"/>
      <c r="Y87" s="1077"/>
      <c r="Z87" s="1077"/>
      <c r="AA87" s="1077"/>
      <c r="AB87" s="1077"/>
      <c r="AC87" s="1077"/>
      <c r="AD87" s="1077"/>
      <c r="AE87" s="1077"/>
      <c r="AF87" s="1077"/>
      <c r="AG87" s="1077"/>
      <c r="AH87" s="1077"/>
      <c r="AI87" s="1077"/>
      <c r="AJ87" s="1077"/>
      <c r="AK87" s="1077"/>
      <c r="AL87" s="1077"/>
      <c r="AM87" s="1077"/>
      <c r="AN87" s="1077"/>
      <c r="AO87" s="1077"/>
      <c r="AP87" s="1077"/>
      <c r="AQ87" s="1077"/>
      <c r="AR87" s="1077"/>
      <c r="AS87" s="1077"/>
      <c r="AT87" s="1077"/>
      <c r="AU87" s="1077"/>
      <c r="AV87" s="1077"/>
      <c r="AW87" s="1077"/>
      <c r="AX87" s="1077"/>
      <c r="AY87" s="1077"/>
      <c r="AZ87" s="1077"/>
      <c r="BA87" s="1077"/>
      <c r="BB87" s="1077"/>
      <c r="BC87" s="1077"/>
      <c r="BD87" s="1077"/>
      <c r="BE87" s="1077"/>
      <c r="BF87" s="1077"/>
      <c r="BG87" s="1077"/>
      <c r="BH87" s="1077"/>
      <c r="BI87" s="1077"/>
      <c r="BJ87" s="1077"/>
      <c r="BK87" s="1077"/>
      <c r="BL87" s="1077"/>
      <c r="BM87" s="1077"/>
      <c r="BN87" s="1077"/>
      <c r="BO87" s="1077"/>
      <c r="BP87" s="1077"/>
      <c r="BQ87" s="1077"/>
      <c r="BR87" s="1077"/>
      <c r="BS87" s="1077"/>
      <c r="BT87" s="1077"/>
      <c r="BU87" s="1077"/>
    </row>
    <row r="88" spans="1:73" x14ac:dyDescent="0.2">
      <c r="A88" s="1077"/>
      <c r="B88" s="1081" t="str">
        <f t="shared" si="20"/>
        <v>Feedstock Consumption (% of baseline)</v>
      </c>
      <c r="C88" s="1081">
        <f>+ROUND(I6,3)</f>
        <v>1.05</v>
      </c>
      <c r="D88" s="1080" t="str">
        <f>+B88&amp;" = "&amp;C88*100&amp;"%"</f>
        <v>Feedstock Consumption (% of baseline) = 105%</v>
      </c>
      <c r="E88" s="1102">
        <f t="shared" ref="E88:S89" si="22">+K59</f>
        <v>2.4809804325682334</v>
      </c>
      <c r="F88" s="1094">
        <f t="shared" si="22"/>
        <v>0</v>
      </c>
      <c r="G88" s="1094">
        <f t="shared" si="22"/>
        <v>1.6418275002923967E-3</v>
      </c>
      <c r="H88" s="1094">
        <f t="shared" si="22"/>
        <v>0.14942045524399045</v>
      </c>
      <c r="I88" s="1094">
        <f t="shared" si="22"/>
        <v>2.0985595575770056E-2</v>
      </c>
      <c r="J88" s="1094">
        <f t="shared" si="22"/>
        <v>2.9425216941246661E-2</v>
      </c>
      <c r="K88" s="1094">
        <f t="shared" si="22"/>
        <v>5.4915061535724839E-3</v>
      </c>
      <c r="L88" s="1094">
        <f t="shared" si="22"/>
        <v>1.6201557621688327E-3</v>
      </c>
      <c r="M88" s="1094">
        <f t="shared" si="22"/>
        <v>0.25862031433665061</v>
      </c>
      <c r="N88" s="1094">
        <f t="shared" si="22"/>
        <v>1.4402205295186363</v>
      </c>
      <c r="O88" s="1094">
        <f t="shared" si="22"/>
        <v>0.21197338494250778</v>
      </c>
      <c r="P88" s="1094">
        <f t="shared" si="22"/>
        <v>0.24553111712834094</v>
      </c>
      <c r="Q88" s="1094">
        <f t="shared" si="22"/>
        <v>9.8159081625125419E-2</v>
      </c>
      <c r="R88" s="1094">
        <f t="shared" si="22"/>
        <v>1.6765372940094808E-2</v>
      </c>
      <c r="S88" s="1094">
        <f t="shared" si="22"/>
        <v>4.4095299004201019E-3</v>
      </c>
      <c r="T88" s="1077"/>
      <c r="U88" s="1077"/>
      <c r="V88" s="1077"/>
      <c r="W88" s="1077"/>
      <c r="X88" s="1077"/>
      <c r="Y88" s="1077"/>
      <c r="Z88" s="1077"/>
      <c r="AA88" s="1077"/>
      <c r="AB88" s="1077"/>
      <c r="AC88" s="1077"/>
      <c r="AD88" s="1077"/>
      <c r="AE88" s="1077"/>
      <c r="AF88" s="1077"/>
      <c r="AG88" s="1077"/>
      <c r="AH88" s="1077"/>
      <c r="AI88" s="1077"/>
      <c r="AJ88" s="1077"/>
      <c r="AK88" s="1077"/>
      <c r="AL88" s="1077"/>
      <c r="AM88" s="1077"/>
      <c r="AN88" s="1077"/>
      <c r="AO88" s="1077"/>
      <c r="AP88" s="1077"/>
      <c r="AQ88" s="1077"/>
      <c r="AR88" s="1077"/>
      <c r="AS88" s="1077"/>
      <c r="AT88" s="1077"/>
      <c r="AU88" s="1077"/>
      <c r="AV88" s="1077"/>
      <c r="AW88" s="1077"/>
      <c r="AX88" s="1077"/>
      <c r="AY88" s="1077"/>
      <c r="AZ88" s="1077"/>
      <c r="BA88" s="1077"/>
      <c r="BB88" s="1077"/>
      <c r="BC88" s="1077"/>
      <c r="BD88" s="1077"/>
      <c r="BE88" s="1077"/>
      <c r="BF88" s="1077"/>
      <c r="BG88" s="1077"/>
      <c r="BH88" s="1077"/>
      <c r="BI88" s="1077"/>
      <c r="BJ88" s="1077"/>
      <c r="BK88" s="1077"/>
      <c r="BL88" s="1077"/>
      <c r="BM88" s="1077"/>
      <c r="BN88" s="1077"/>
      <c r="BO88" s="1077"/>
      <c r="BP88" s="1077"/>
      <c r="BQ88" s="1077"/>
      <c r="BR88" s="1077"/>
      <c r="BS88" s="1077"/>
      <c r="BT88" s="1077"/>
      <c r="BU88" s="1077"/>
    </row>
    <row r="89" spans="1:73" x14ac:dyDescent="0.2">
      <c r="A89" s="1077"/>
      <c r="B89" s="1081" t="str">
        <f>+$B$7</f>
        <v>Utilities Consumption (% of baseline)</v>
      </c>
      <c r="C89" s="1081">
        <f>+ROUND(H7,3)</f>
        <v>0.95</v>
      </c>
      <c r="D89" s="1080" t="str">
        <f t="shared" ref="D89:D91" si="23">+B89&amp;" = "&amp;C89*100&amp;"%"</f>
        <v>Utilities Consumption (% of baseline) = 95%</v>
      </c>
      <c r="E89" s="1102">
        <f t="shared" si="22"/>
        <v>2.4024428512494405</v>
      </c>
      <c r="F89" s="1102">
        <f t="shared" si="22"/>
        <v>0</v>
      </c>
      <c r="G89" s="1102">
        <f t="shared" si="22"/>
        <v>1.6418275002923967E-3</v>
      </c>
      <c r="H89" s="1102">
        <f t="shared" si="22"/>
        <v>0.14942045524399045</v>
      </c>
      <c r="I89" s="1102">
        <f t="shared" si="22"/>
        <v>2.0985595575770056E-2</v>
      </c>
      <c r="J89" s="1102">
        <f t="shared" si="22"/>
        <v>2.8372881315156803E-2</v>
      </c>
      <c r="K89" s="1102">
        <f t="shared" si="22"/>
        <v>5.4915061535724839E-3</v>
      </c>
      <c r="L89" s="1102">
        <f t="shared" si="22"/>
        <v>1.6201557621688327E-3</v>
      </c>
      <c r="M89" s="1102">
        <f t="shared" si="22"/>
        <v>0.25862031433665061</v>
      </c>
      <c r="N89" s="1102">
        <f t="shared" si="22"/>
        <v>1.3716385995415594</v>
      </c>
      <c r="O89" s="1102">
        <f t="shared" si="22"/>
        <v>0.21197338494250778</v>
      </c>
      <c r="P89" s="1102">
        <f t="shared" si="22"/>
        <v>0.23699256197042473</v>
      </c>
      <c r="Q89" s="1102">
        <f t="shared" si="22"/>
        <v>9.8159081625125419E-2</v>
      </c>
      <c r="R89" s="1102">
        <f t="shared" si="22"/>
        <v>1.6400612382384893E-2</v>
      </c>
      <c r="S89" s="1102">
        <f t="shared" si="22"/>
        <v>4.4095299004201019E-3</v>
      </c>
      <c r="T89" s="1077"/>
      <c r="U89" s="1077"/>
      <c r="V89" s="1077"/>
      <c r="W89" s="1077"/>
      <c r="X89" s="1077"/>
      <c r="Y89" s="1077"/>
      <c r="Z89" s="1077"/>
      <c r="AA89" s="1077"/>
      <c r="AB89" s="1077"/>
      <c r="AC89" s="1077"/>
      <c r="AD89" s="1077"/>
      <c r="AE89" s="1077"/>
      <c r="AF89" s="1077"/>
      <c r="AG89" s="1077"/>
      <c r="AH89" s="1077"/>
      <c r="AI89" s="1077"/>
      <c r="AJ89" s="1077"/>
      <c r="AK89" s="1077"/>
      <c r="AL89" s="1077"/>
      <c r="AM89" s="1077"/>
      <c r="AN89" s="1077"/>
      <c r="AO89" s="1077"/>
      <c r="AP89" s="1077"/>
      <c r="AQ89" s="1077"/>
      <c r="AR89" s="1077"/>
      <c r="AS89" s="1077"/>
      <c r="AT89" s="1077"/>
      <c r="AU89" s="1077"/>
      <c r="AV89" s="1077"/>
      <c r="AW89" s="1077"/>
      <c r="AX89" s="1077"/>
      <c r="AY89" s="1077"/>
      <c r="AZ89" s="1077"/>
      <c r="BA89" s="1077"/>
      <c r="BB89" s="1077"/>
      <c r="BC89" s="1077"/>
      <c r="BD89" s="1077"/>
      <c r="BE89" s="1077"/>
      <c r="BF89" s="1077"/>
      <c r="BG89" s="1077"/>
      <c r="BH89" s="1077"/>
      <c r="BI89" s="1077"/>
      <c r="BJ89" s="1077"/>
      <c r="BK89" s="1077"/>
      <c r="BL89" s="1077"/>
      <c r="BM89" s="1077"/>
      <c r="BN89" s="1077"/>
      <c r="BO89" s="1077"/>
      <c r="BP89" s="1077"/>
      <c r="BQ89" s="1077"/>
      <c r="BR89" s="1077"/>
      <c r="BS89" s="1077"/>
      <c r="BT89" s="1077"/>
      <c r="BU89" s="1077"/>
    </row>
    <row r="90" spans="1:73" x14ac:dyDescent="0.2">
      <c r="A90" s="1077"/>
      <c r="B90" s="1081" t="str">
        <f t="shared" ref="B90:B91" si="24">+$B$7</f>
        <v>Utilities Consumption (% of baseline)</v>
      </c>
      <c r="C90" s="1081">
        <f>+ROUND(C7,3)</f>
        <v>1</v>
      </c>
      <c r="D90" s="1080" t="str">
        <f t="shared" si="23"/>
        <v>Utilities Consumption (% of baseline) = 100%</v>
      </c>
      <c r="E90" s="1102">
        <f>+K$51</f>
        <v>2.4111382454761561</v>
      </c>
      <c r="F90" s="1102">
        <f t="shared" ref="F90:S90" si="25">+L$51</f>
        <v>0</v>
      </c>
      <c r="G90" s="1102">
        <f t="shared" si="25"/>
        <v>1.6418275002923967E-3</v>
      </c>
      <c r="H90" s="1102">
        <f t="shared" si="25"/>
        <v>0.14942045524399045</v>
      </c>
      <c r="I90" s="1102">
        <f t="shared" si="25"/>
        <v>2.0985595575770056E-2</v>
      </c>
      <c r="J90" s="1102">
        <f t="shared" si="25"/>
        <v>2.8489350007646817E-2</v>
      </c>
      <c r="K90" s="1102">
        <f t="shared" si="25"/>
        <v>5.4915061535724839E-3</v>
      </c>
      <c r="L90" s="1102">
        <f t="shared" si="25"/>
        <v>1.6201557621688327E-3</v>
      </c>
      <c r="M90" s="1102">
        <f t="shared" si="25"/>
        <v>0.25862031433665061</v>
      </c>
      <c r="N90" s="1102">
        <f t="shared" si="25"/>
        <v>1.3716385995415594</v>
      </c>
      <c r="O90" s="1102">
        <f t="shared" si="25"/>
        <v>0.21197338494250778</v>
      </c>
      <c r="P90" s="1102">
        <f t="shared" si="25"/>
        <v>0.24553111712834094</v>
      </c>
      <c r="Q90" s="1102">
        <f t="shared" si="25"/>
        <v>9.8159081625125419E-2</v>
      </c>
      <c r="R90" s="1102">
        <f t="shared" si="25"/>
        <v>1.6440982758693726E-2</v>
      </c>
      <c r="S90" s="1102">
        <f t="shared" si="25"/>
        <v>4.4095299004201019E-3</v>
      </c>
      <c r="T90" s="1077"/>
      <c r="U90" s="1077"/>
      <c r="V90" s="1077"/>
      <c r="W90" s="1077"/>
      <c r="X90" s="1077"/>
      <c r="Y90" s="1077"/>
      <c r="Z90" s="1077"/>
      <c r="AA90" s="1077"/>
      <c r="AB90" s="1077"/>
      <c r="AC90" s="1077"/>
      <c r="AD90" s="1077"/>
      <c r="AE90" s="1077"/>
      <c r="AF90" s="1077"/>
      <c r="AG90" s="1077"/>
      <c r="AH90" s="1077"/>
      <c r="AI90" s="1077"/>
      <c r="AJ90" s="1077"/>
      <c r="AK90" s="1077"/>
      <c r="AL90" s="1077"/>
      <c r="AM90" s="1077"/>
      <c r="AN90" s="1077"/>
      <c r="AO90" s="1077"/>
      <c r="AP90" s="1077"/>
      <c r="AQ90" s="1077"/>
      <c r="AR90" s="1077"/>
      <c r="AS90" s="1077"/>
      <c r="AT90" s="1077"/>
      <c r="AU90" s="1077"/>
      <c r="AV90" s="1077"/>
      <c r="AW90" s="1077"/>
      <c r="AX90" s="1077"/>
      <c r="AY90" s="1077"/>
      <c r="AZ90" s="1077"/>
      <c r="BA90" s="1077"/>
      <c r="BB90" s="1077"/>
      <c r="BC90" s="1077"/>
      <c r="BD90" s="1077"/>
      <c r="BE90" s="1077"/>
      <c r="BF90" s="1077"/>
      <c r="BG90" s="1077"/>
      <c r="BH90" s="1077"/>
      <c r="BI90" s="1077"/>
      <c r="BJ90" s="1077"/>
      <c r="BK90" s="1077"/>
      <c r="BL90" s="1077"/>
      <c r="BM90" s="1077"/>
      <c r="BN90" s="1077"/>
      <c r="BO90" s="1077"/>
      <c r="BP90" s="1077"/>
      <c r="BQ90" s="1077"/>
      <c r="BR90" s="1077"/>
      <c r="BS90" s="1077"/>
      <c r="BT90" s="1077"/>
      <c r="BU90" s="1077"/>
    </row>
    <row r="91" spans="1:73" x14ac:dyDescent="0.2">
      <c r="A91" s="1077"/>
      <c r="B91" s="1081" t="str">
        <f t="shared" si="24"/>
        <v>Utilities Consumption (% of baseline)</v>
      </c>
      <c r="C91" s="1081">
        <f>+ROUND(I7,3)</f>
        <v>1.05</v>
      </c>
      <c r="D91" s="1080" t="str">
        <f t="shared" si="23"/>
        <v>Utilities Consumption (% of baseline) = 105%</v>
      </c>
      <c r="E91" s="1102">
        <f t="shared" ref="E91:S92" si="26">+K61</f>
        <v>2.4198336397028712</v>
      </c>
      <c r="F91" s="1102">
        <f t="shared" si="26"/>
        <v>0</v>
      </c>
      <c r="G91" s="1102">
        <f t="shared" si="26"/>
        <v>1.6418275002923967E-3</v>
      </c>
      <c r="H91" s="1102">
        <f t="shared" si="26"/>
        <v>0.14942045524399045</v>
      </c>
      <c r="I91" s="1102">
        <f t="shared" si="26"/>
        <v>2.0985595575770056E-2</v>
      </c>
      <c r="J91" s="1102">
        <f t="shared" si="26"/>
        <v>2.8605818700136856E-2</v>
      </c>
      <c r="K91" s="1102">
        <f t="shared" si="26"/>
        <v>5.4915061535724839E-3</v>
      </c>
      <c r="L91" s="1102">
        <f t="shared" si="26"/>
        <v>1.6201557621688327E-3</v>
      </c>
      <c r="M91" s="1102">
        <f t="shared" si="26"/>
        <v>0.25862031433665061</v>
      </c>
      <c r="N91" s="1102">
        <f t="shared" si="26"/>
        <v>1.3716385995415594</v>
      </c>
      <c r="O91" s="1102">
        <f t="shared" si="26"/>
        <v>0.21197338494250778</v>
      </c>
      <c r="P91" s="1102">
        <f t="shared" si="26"/>
        <v>0.2540696722862571</v>
      </c>
      <c r="Q91" s="1102">
        <f t="shared" si="26"/>
        <v>9.8159081625125419E-2</v>
      </c>
      <c r="R91" s="1102">
        <f t="shared" si="26"/>
        <v>1.6481353135002614E-2</v>
      </c>
      <c r="S91" s="1102">
        <f t="shared" si="26"/>
        <v>4.4095299004201019E-3</v>
      </c>
      <c r="T91" s="1077"/>
      <c r="U91" s="1077"/>
      <c r="V91" s="1077"/>
      <c r="W91" s="1077"/>
      <c r="X91" s="1077"/>
      <c r="Y91" s="1077"/>
      <c r="Z91" s="1077"/>
      <c r="AA91" s="1077"/>
      <c r="AB91" s="1077"/>
      <c r="AC91" s="1077"/>
      <c r="AD91" s="1077"/>
      <c r="AE91" s="1077"/>
      <c r="AF91" s="1077"/>
      <c r="AG91" s="1077"/>
      <c r="AH91" s="1077"/>
      <c r="AI91" s="1077"/>
      <c r="AJ91" s="1077"/>
      <c r="AK91" s="1077"/>
      <c r="AL91" s="1077"/>
      <c r="AM91" s="1077"/>
      <c r="AN91" s="1077"/>
      <c r="AO91" s="1077"/>
      <c r="AP91" s="1077"/>
      <c r="AQ91" s="1077"/>
      <c r="AR91" s="1077"/>
      <c r="AS91" s="1077"/>
      <c r="AT91" s="1077"/>
      <c r="AU91" s="1077"/>
      <c r="AV91" s="1077"/>
      <c r="AW91" s="1077"/>
      <c r="AX91" s="1077"/>
      <c r="AY91" s="1077"/>
      <c r="AZ91" s="1077"/>
      <c r="BA91" s="1077"/>
      <c r="BB91" s="1077"/>
      <c r="BC91" s="1077"/>
      <c r="BD91" s="1077"/>
      <c r="BE91" s="1077"/>
      <c r="BF91" s="1077"/>
      <c r="BG91" s="1077"/>
      <c r="BH91" s="1077"/>
      <c r="BI91" s="1077"/>
      <c r="BJ91" s="1077"/>
      <c r="BK91" s="1077"/>
      <c r="BL91" s="1077"/>
      <c r="BM91" s="1077"/>
      <c r="BN91" s="1077"/>
      <c r="BO91" s="1077"/>
      <c r="BP91" s="1077"/>
      <c r="BQ91" s="1077"/>
      <c r="BR91" s="1077"/>
      <c r="BS91" s="1077"/>
      <c r="BT91" s="1077"/>
      <c r="BU91" s="1077"/>
    </row>
    <row r="92" spans="1:73" x14ac:dyDescent="0.2">
      <c r="A92" s="1077"/>
      <c r="B92" s="1081" t="str">
        <f>+$B$8</f>
        <v>Total Capital Investment</v>
      </c>
      <c r="C92" s="1099">
        <f ca="1">+ROUND(H8,0)</f>
        <v>198050674</v>
      </c>
      <c r="D92" s="1081" t="str">
        <f t="shared" ref="D92:D97" ca="1" si="27">+B92&amp;" = "&amp;TEXT(C92/1000,"$0,000K")</f>
        <v>Total Capital Investment = $198,051K</v>
      </c>
      <c r="E92" s="1094">
        <f t="shared" si="26"/>
        <v>2.3939870404855514</v>
      </c>
      <c r="F92" s="1094">
        <f t="shared" si="26"/>
        <v>0</v>
      </c>
      <c r="G92" s="1094">
        <f t="shared" si="26"/>
        <v>1.5597361252777768E-3</v>
      </c>
      <c r="H92" s="1094">
        <f t="shared" si="26"/>
        <v>0.14184949761589821</v>
      </c>
      <c r="I92" s="1094">
        <f t="shared" si="26"/>
        <v>2.0985595575770056E-2</v>
      </c>
      <c r="J92" s="1094">
        <f t="shared" si="26"/>
        <v>2.8431301887573927E-2</v>
      </c>
      <c r="K92" s="1094">
        <f t="shared" si="26"/>
        <v>5.4915061535724839E-3</v>
      </c>
      <c r="L92" s="1094">
        <f t="shared" si="26"/>
        <v>1.5380643871542128E-3</v>
      </c>
      <c r="M92" s="1094">
        <f t="shared" si="26"/>
        <v>0.25436705317116975</v>
      </c>
      <c r="N92" s="1094">
        <f t="shared" si="26"/>
        <v>1.3716385995415594</v>
      </c>
      <c r="O92" s="1094">
        <f t="shared" si="26"/>
        <v>0.21197338494250778</v>
      </c>
      <c r="P92" s="1094">
        <f t="shared" si="26"/>
        <v>0.24553111712834094</v>
      </c>
      <c r="Q92" s="1094">
        <f t="shared" si="26"/>
        <v>9.3185477130461339E-2</v>
      </c>
      <c r="R92" s="1094">
        <f t="shared" si="26"/>
        <v>1.6369074837774656E-2</v>
      </c>
      <c r="S92" s="1094">
        <f t="shared" si="26"/>
        <v>4.1861042390448086E-3</v>
      </c>
      <c r="T92" s="1077"/>
      <c r="U92" s="1077"/>
      <c r="V92" s="1077"/>
      <c r="W92" s="1077"/>
      <c r="X92" s="1077"/>
      <c r="Y92" s="1077"/>
      <c r="Z92" s="1077"/>
      <c r="AA92" s="1077"/>
      <c r="AB92" s="1077"/>
      <c r="AC92" s="1077"/>
      <c r="AD92" s="1077"/>
      <c r="AE92" s="1077"/>
      <c r="AF92" s="1077"/>
      <c r="AG92" s="1077"/>
      <c r="AH92" s="1077"/>
      <c r="AI92" s="1077"/>
      <c r="AJ92" s="1077"/>
      <c r="AK92" s="1077"/>
      <c r="AL92" s="1077"/>
      <c r="AM92" s="1077"/>
      <c r="AN92" s="1077"/>
      <c r="AO92" s="1077"/>
      <c r="AP92" s="1077"/>
      <c r="AQ92" s="1077"/>
      <c r="AR92" s="1077"/>
      <c r="AS92" s="1077"/>
      <c r="AT92" s="1077"/>
      <c r="AU92" s="1077"/>
      <c r="AV92" s="1077"/>
      <c r="AW92" s="1077"/>
      <c r="AX92" s="1077"/>
      <c r="AY92" s="1077"/>
      <c r="AZ92" s="1077"/>
      <c r="BA92" s="1077"/>
      <c r="BB92" s="1077"/>
      <c r="BC92" s="1077"/>
      <c r="BD92" s="1077"/>
      <c r="BE92" s="1077"/>
      <c r="BF92" s="1077"/>
      <c r="BG92" s="1077"/>
      <c r="BH92" s="1077"/>
      <c r="BI92" s="1077"/>
      <c r="BJ92" s="1077"/>
      <c r="BK92" s="1077"/>
      <c r="BL92" s="1077"/>
      <c r="BM92" s="1077"/>
      <c r="BN92" s="1077"/>
      <c r="BO92" s="1077"/>
      <c r="BP92" s="1077"/>
      <c r="BQ92" s="1077"/>
      <c r="BR92" s="1077"/>
      <c r="BS92" s="1077"/>
      <c r="BT92" s="1077"/>
      <c r="BU92" s="1077"/>
    </row>
    <row r="93" spans="1:73" x14ac:dyDescent="0.2">
      <c r="A93" s="1077"/>
      <c r="B93" s="1081" t="str">
        <f t="shared" ref="B93:B94" si="28">+$B$8</f>
        <v>Total Capital Investment</v>
      </c>
      <c r="C93" s="1099">
        <f ca="1">+ROUND(C8,0)</f>
        <v>208474394</v>
      </c>
      <c r="D93" s="1081" t="str">
        <f t="shared" ca="1" si="27"/>
        <v>Total Capital Investment = $208,474K</v>
      </c>
      <c r="E93" s="1094">
        <f t="shared" ref="E93:S93" si="29">+K$51</f>
        <v>2.4111382454761561</v>
      </c>
      <c r="F93" s="1094">
        <f t="shared" si="29"/>
        <v>0</v>
      </c>
      <c r="G93" s="1094">
        <f t="shared" si="29"/>
        <v>1.6418275002923967E-3</v>
      </c>
      <c r="H93" s="1094">
        <f t="shared" si="29"/>
        <v>0.14942045524399045</v>
      </c>
      <c r="I93" s="1094">
        <f t="shared" si="29"/>
        <v>2.0985595575770056E-2</v>
      </c>
      <c r="J93" s="1094">
        <f t="shared" si="29"/>
        <v>2.8489350007646817E-2</v>
      </c>
      <c r="K93" s="1094">
        <f t="shared" si="29"/>
        <v>5.4915061535724839E-3</v>
      </c>
      <c r="L93" s="1094">
        <f t="shared" si="29"/>
        <v>1.6201557621688327E-3</v>
      </c>
      <c r="M93" s="1094">
        <f t="shared" si="29"/>
        <v>0.25862031433665061</v>
      </c>
      <c r="N93" s="1094">
        <f t="shared" si="29"/>
        <v>1.3716385995415594</v>
      </c>
      <c r="O93" s="1094">
        <f t="shared" si="29"/>
        <v>0.21197338494250778</v>
      </c>
      <c r="P93" s="1094">
        <f t="shared" si="29"/>
        <v>0.24553111712834094</v>
      </c>
      <c r="Q93" s="1094">
        <f t="shared" si="29"/>
        <v>9.8159081625125419E-2</v>
      </c>
      <c r="R93" s="1094">
        <f t="shared" si="29"/>
        <v>1.6440982758693726E-2</v>
      </c>
      <c r="S93" s="1094">
        <f t="shared" si="29"/>
        <v>4.4095299004201019E-3</v>
      </c>
      <c r="T93" s="1077"/>
      <c r="U93" s="1077"/>
      <c r="V93" s="1077"/>
      <c r="W93" s="1077"/>
      <c r="X93" s="1077"/>
      <c r="Y93" s="1077"/>
      <c r="Z93" s="1077"/>
      <c r="AA93" s="1077"/>
      <c r="AB93" s="1077"/>
      <c r="AC93" s="1077"/>
      <c r="AD93" s="1077"/>
      <c r="AE93" s="1077"/>
      <c r="AF93" s="1077"/>
      <c r="AG93" s="1077"/>
      <c r="AH93" s="1077"/>
      <c r="AI93" s="1077"/>
      <c r="AJ93" s="1077"/>
      <c r="AK93" s="1077"/>
      <c r="AL93" s="1077"/>
      <c r="AM93" s="1077"/>
      <c r="AN93" s="1077"/>
      <c r="AO93" s="1077"/>
      <c r="AP93" s="1077"/>
      <c r="AQ93" s="1077"/>
      <c r="AR93" s="1077"/>
      <c r="AS93" s="1077"/>
      <c r="AT93" s="1077"/>
      <c r="AU93" s="1077"/>
      <c r="AV93" s="1077"/>
      <c r="AW93" s="1077"/>
      <c r="AX93" s="1077"/>
      <c r="AY93" s="1077"/>
      <c r="AZ93" s="1077"/>
      <c r="BA93" s="1077"/>
      <c r="BB93" s="1077"/>
      <c r="BC93" s="1077"/>
      <c r="BD93" s="1077"/>
      <c r="BE93" s="1077"/>
      <c r="BF93" s="1077"/>
      <c r="BG93" s="1077"/>
      <c r="BH93" s="1077"/>
      <c r="BI93" s="1077"/>
      <c r="BJ93" s="1077"/>
      <c r="BK93" s="1077"/>
      <c r="BL93" s="1077"/>
      <c r="BM93" s="1077"/>
      <c r="BN93" s="1077"/>
      <c r="BO93" s="1077"/>
      <c r="BP93" s="1077"/>
      <c r="BQ93" s="1077"/>
      <c r="BR93" s="1077"/>
      <c r="BS93" s="1077"/>
      <c r="BT93" s="1077"/>
      <c r="BU93" s="1077"/>
    </row>
    <row r="94" spans="1:73" x14ac:dyDescent="0.2">
      <c r="A94" s="1077"/>
      <c r="B94" s="1081" t="str">
        <f t="shared" si="28"/>
        <v>Total Capital Investment</v>
      </c>
      <c r="C94" s="1099">
        <f ca="1">+ROUND(I8,0)</f>
        <v>218898113</v>
      </c>
      <c r="D94" s="1081" t="str">
        <f t="shared" ca="1" si="27"/>
        <v>Total Capital Investment = $218,898K</v>
      </c>
      <c r="E94" s="1094">
        <f t="shared" ref="E94:S95" si="30">+K63</f>
        <v>2.4282894504667607</v>
      </c>
      <c r="F94" s="1094">
        <f t="shared" si="30"/>
        <v>0</v>
      </c>
      <c r="G94" s="1094">
        <f t="shared" si="30"/>
        <v>1.723918875307017E-3</v>
      </c>
      <c r="H94" s="1094">
        <f t="shared" si="30"/>
        <v>0.15699141287208263</v>
      </c>
      <c r="I94" s="1094">
        <f t="shared" si="30"/>
        <v>2.0985595575770056E-2</v>
      </c>
      <c r="J94" s="1094">
        <f t="shared" si="30"/>
        <v>2.8547398127719732E-2</v>
      </c>
      <c r="K94" s="1094">
        <f t="shared" si="30"/>
        <v>5.4915061535724839E-3</v>
      </c>
      <c r="L94" s="1094">
        <f t="shared" si="30"/>
        <v>1.7022471371834528E-3</v>
      </c>
      <c r="M94" s="1094">
        <f t="shared" si="30"/>
        <v>0.26287357550213158</v>
      </c>
      <c r="N94" s="1094">
        <f t="shared" si="30"/>
        <v>1.3716385995415594</v>
      </c>
      <c r="O94" s="1094">
        <f t="shared" si="30"/>
        <v>0.21197338494250778</v>
      </c>
      <c r="P94" s="1094">
        <f t="shared" si="30"/>
        <v>0.24553111712834094</v>
      </c>
      <c r="Q94" s="1094">
        <f t="shared" si="30"/>
        <v>0.10313268611978955</v>
      </c>
      <c r="R94" s="1094">
        <f t="shared" si="30"/>
        <v>1.6512890679612906E-2</v>
      </c>
      <c r="S94" s="1094">
        <f t="shared" si="30"/>
        <v>4.6329555617953986E-3</v>
      </c>
      <c r="T94" s="1077"/>
      <c r="U94" s="1077"/>
      <c r="V94" s="1077"/>
      <c r="W94" s="1077"/>
      <c r="X94" s="1077"/>
      <c r="Y94" s="1077"/>
      <c r="Z94" s="1077"/>
      <c r="AA94" s="1077"/>
      <c r="AB94" s="1077"/>
      <c r="AC94" s="1077"/>
      <c r="AD94" s="1077"/>
      <c r="AE94" s="1077"/>
      <c r="AF94" s="1077"/>
      <c r="AG94" s="1077"/>
      <c r="AH94" s="1077"/>
      <c r="AI94" s="1077"/>
      <c r="AJ94" s="1077"/>
      <c r="AK94" s="1077"/>
      <c r="AL94" s="1077"/>
      <c r="AM94" s="1077"/>
      <c r="AN94" s="1077"/>
      <c r="AO94" s="1077"/>
      <c r="AP94" s="1077"/>
      <c r="AQ94" s="1077"/>
      <c r="AR94" s="1077"/>
      <c r="AS94" s="1077"/>
      <c r="AT94" s="1077"/>
      <c r="AU94" s="1077"/>
      <c r="AV94" s="1077"/>
      <c r="AW94" s="1077"/>
      <c r="AX94" s="1077"/>
      <c r="AY94" s="1077"/>
      <c r="AZ94" s="1077"/>
      <c r="BA94" s="1077"/>
      <c r="BB94" s="1077"/>
      <c r="BC94" s="1077"/>
      <c r="BD94" s="1077"/>
      <c r="BE94" s="1077"/>
      <c r="BF94" s="1077"/>
      <c r="BG94" s="1077"/>
      <c r="BH94" s="1077"/>
      <c r="BI94" s="1077"/>
      <c r="BJ94" s="1077"/>
      <c r="BK94" s="1077"/>
      <c r="BL94" s="1077"/>
      <c r="BM94" s="1077"/>
      <c r="BN94" s="1077"/>
      <c r="BO94" s="1077"/>
      <c r="BP94" s="1077"/>
      <c r="BQ94" s="1077"/>
      <c r="BR94" s="1077"/>
      <c r="BS94" s="1077"/>
      <c r="BT94" s="1077"/>
      <c r="BU94" s="1077"/>
    </row>
    <row r="95" spans="1:73" x14ac:dyDescent="0.2">
      <c r="A95" s="1077"/>
      <c r="B95" s="1081" t="str">
        <f>+$B$9</f>
        <v>Total Fixed Operating Cost</v>
      </c>
      <c r="C95" s="1099">
        <f ca="1">+ROUND(H9,0)</f>
        <v>12042507</v>
      </c>
      <c r="D95" s="1081" t="str">
        <f t="shared" ca="1" si="27"/>
        <v>Total Fixed Operating Cost = $12,043K</v>
      </c>
      <c r="E95" s="1094">
        <f t="shared" si="30"/>
        <v>2.3979695764844378</v>
      </c>
      <c r="F95" s="1094">
        <f t="shared" si="30"/>
        <v>0</v>
      </c>
      <c r="G95" s="1094">
        <f t="shared" si="30"/>
        <v>1.6418275002923967E-3</v>
      </c>
      <c r="H95" s="1094">
        <f t="shared" si="30"/>
        <v>0.14942045524399045</v>
      </c>
      <c r="I95" s="1094">
        <f t="shared" si="30"/>
        <v>2.0985595575770056E-2</v>
      </c>
      <c r="J95" s="1094">
        <f t="shared" si="30"/>
        <v>2.8312868685717384E-2</v>
      </c>
      <c r="K95" s="1094">
        <f t="shared" si="30"/>
        <v>5.4915061535724839E-3</v>
      </c>
      <c r="L95" s="1094">
        <f t="shared" si="30"/>
        <v>1.6201557621688327E-3</v>
      </c>
      <c r="M95" s="1094">
        <f t="shared" si="30"/>
        <v>0.24568929861981814</v>
      </c>
      <c r="N95" s="1094">
        <f t="shared" si="30"/>
        <v>1.3716385995415594</v>
      </c>
      <c r="O95" s="1094">
        <f t="shared" si="30"/>
        <v>0.21197338494250778</v>
      </c>
      <c r="P95" s="1094">
        <f t="shared" si="30"/>
        <v>0.24553111712834094</v>
      </c>
      <c r="Q95" s="1094">
        <f t="shared" si="30"/>
        <v>9.8159081625125419E-2</v>
      </c>
      <c r="R95" s="1094">
        <f t="shared" si="30"/>
        <v>1.637981080573836E-2</v>
      </c>
      <c r="S95" s="1094">
        <f t="shared" si="30"/>
        <v>4.4095299004201019E-3</v>
      </c>
      <c r="T95" s="1077"/>
      <c r="U95" s="1077"/>
      <c r="V95" s="1077"/>
      <c r="W95" s="1077"/>
      <c r="X95" s="1077"/>
      <c r="Y95" s="1077"/>
      <c r="Z95" s="1077"/>
      <c r="AA95" s="1077"/>
      <c r="AB95" s="1077"/>
      <c r="AC95" s="1077"/>
      <c r="AD95" s="1077"/>
      <c r="AE95" s="1077"/>
      <c r="AF95" s="1077"/>
      <c r="AG95" s="1077"/>
      <c r="AH95" s="1077"/>
      <c r="AI95" s="1077"/>
      <c r="AJ95" s="1077"/>
      <c r="AK95" s="1077"/>
      <c r="AL95" s="1077"/>
      <c r="AM95" s="1077"/>
      <c r="AN95" s="1077"/>
      <c r="AO95" s="1077"/>
      <c r="AP95" s="1077"/>
      <c r="AQ95" s="1077"/>
      <c r="AR95" s="1077"/>
      <c r="AS95" s="1077"/>
      <c r="AT95" s="1077"/>
      <c r="AU95" s="1077"/>
      <c r="AV95" s="1077"/>
      <c r="AW95" s="1077"/>
      <c r="AX95" s="1077"/>
      <c r="AY95" s="1077"/>
      <c r="AZ95" s="1077"/>
      <c r="BA95" s="1077"/>
      <c r="BB95" s="1077"/>
      <c r="BC95" s="1077"/>
      <c r="BD95" s="1077"/>
      <c r="BE95" s="1077"/>
      <c r="BF95" s="1077"/>
      <c r="BG95" s="1077"/>
      <c r="BH95" s="1077"/>
      <c r="BI95" s="1077"/>
      <c r="BJ95" s="1077"/>
      <c r="BK95" s="1077"/>
      <c r="BL95" s="1077"/>
      <c r="BM95" s="1077"/>
      <c r="BN95" s="1077"/>
      <c r="BO95" s="1077"/>
      <c r="BP95" s="1077"/>
      <c r="BQ95" s="1077"/>
      <c r="BR95" s="1077"/>
      <c r="BS95" s="1077"/>
      <c r="BT95" s="1077"/>
      <c r="BU95" s="1077"/>
    </row>
    <row r="96" spans="1:73" x14ac:dyDescent="0.2">
      <c r="A96" s="1077"/>
      <c r="B96" s="1081" t="str">
        <f t="shared" ref="B96:B97" si="31">+$B$9</f>
        <v>Total Fixed Operating Cost</v>
      </c>
      <c r="C96" s="1099">
        <f ca="1">+ROUND(C9,0)</f>
        <v>12676323</v>
      </c>
      <c r="D96" s="1081" t="str">
        <f t="shared" ca="1" si="27"/>
        <v>Total Fixed Operating Cost = $12,676K</v>
      </c>
      <c r="E96" s="1094">
        <f t="shared" ref="E96:S96" si="32">+K$51</f>
        <v>2.4111382454761561</v>
      </c>
      <c r="F96" s="1094">
        <f t="shared" si="32"/>
        <v>0</v>
      </c>
      <c r="G96" s="1094">
        <f t="shared" si="32"/>
        <v>1.6418275002923967E-3</v>
      </c>
      <c r="H96" s="1094">
        <f t="shared" si="32"/>
        <v>0.14942045524399045</v>
      </c>
      <c r="I96" s="1094">
        <f t="shared" si="32"/>
        <v>2.0985595575770056E-2</v>
      </c>
      <c r="J96" s="1094">
        <f t="shared" si="32"/>
        <v>2.8489350007646817E-2</v>
      </c>
      <c r="K96" s="1094">
        <f t="shared" si="32"/>
        <v>5.4915061535724839E-3</v>
      </c>
      <c r="L96" s="1094">
        <f t="shared" si="32"/>
        <v>1.6201557621688327E-3</v>
      </c>
      <c r="M96" s="1094">
        <f t="shared" si="32"/>
        <v>0.25862031433665061</v>
      </c>
      <c r="N96" s="1094">
        <f t="shared" si="32"/>
        <v>1.3716385995415594</v>
      </c>
      <c r="O96" s="1094">
        <f t="shared" si="32"/>
        <v>0.21197338494250778</v>
      </c>
      <c r="P96" s="1094">
        <f t="shared" si="32"/>
        <v>0.24553111712834094</v>
      </c>
      <c r="Q96" s="1094">
        <f t="shared" si="32"/>
        <v>9.8159081625125419E-2</v>
      </c>
      <c r="R96" s="1094">
        <f t="shared" si="32"/>
        <v>1.6440982758693726E-2</v>
      </c>
      <c r="S96" s="1094">
        <f t="shared" si="32"/>
        <v>4.4095299004201019E-3</v>
      </c>
      <c r="T96" s="1077"/>
      <c r="U96" s="1077"/>
      <c r="V96" s="1077"/>
      <c r="W96" s="1077"/>
      <c r="X96" s="1077"/>
      <c r="Y96" s="1077"/>
      <c r="Z96" s="1077"/>
      <c r="AA96" s="1077"/>
      <c r="AB96" s="1077"/>
      <c r="AC96" s="1077"/>
      <c r="AD96" s="1077"/>
      <c r="AE96" s="1077"/>
      <c r="AF96" s="1077"/>
      <c r="AG96" s="1077"/>
      <c r="AH96" s="1077"/>
      <c r="AI96" s="1077"/>
      <c r="AJ96" s="1077"/>
      <c r="AK96" s="1077"/>
      <c r="AL96" s="1077"/>
      <c r="AM96" s="1077"/>
      <c r="AN96" s="1077"/>
      <c r="AO96" s="1077"/>
      <c r="AP96" s="1077"/>
      <c r="AQ96" s="1077"/>
      <c r="AR96" s="1077"/>
      <c r="AS96" s="1077"/>
      <c r="AT96" s="1077"/>
      <c r="AU96" s="1077"/>
      <c r="AV96" s="1077"/>
      <c r="AW96" s="1077"/>
      <c r="AX96" s="1077"/>
      <c r="AY96" s="1077"/>
      <c r="AZ96" s="1077"/>
      <c r="BA96" s="1077"/>
      <c r="BB96" s="1077"/>
      <c r="BC96" s="1077"/>
      <c r="BD96" s="1077"/>
      <c r="BE96" s="1077"/>
      <c r="BF96" s="1077"/>
      <c r="BG96" s="1077"/>
      <c r="BH96" s="1077"/>
      <c r="BI96" s="1077"/>
      <c r="BJ96" s="1077"/>
      <c r="BK96" s="1077"/>
      <c r="BL96" s="1077"/>
      <c r="BM96" s="1077"/>
      <c r="BN96" s="1077"/>
      <c r="BO96" s="1077"/>
      <c r="BP96" s="1077"/>
      <c r="BQ96" s="1077"/>
      <c r="BR96" s="1077"/>
      <c r="BS96" s="1077"/>
      <c r="BT96" s="1077"/>
      <c r="BU96" s="1077"/>
    </row>
    <row r="97" spans="1:73" x14ac:dyDescent="0.2">
      <c r="A97" s="1077"/>
      <c r="B97" s="1081" t="str">
        <f t="shared" si="31"/>
        <v>Total Fixed Operating Cost</v>
      </c>
      <c r="C97" s="1099">
        <f ca="1">+ROUND(I9,0)</f>
        <v>13310139</v>
      </c>
      <c r="D97" s="1081" t="str">
        <f t="shared" ca="1" si="27"/>
        <v>Total Fixed Operating Cost = $13,310K</v>
      </c>
      <c r="E97" s="1094">
        <f t="shared" ref="E97:S97" si="33">+K65</f>
        <v>2.4243069144678726</v>
      </c>
      <c r="F97" s="1094">
        <f t="shared" si="33"/>
        <v>0</v>
      </c>
      <c r="G97" s="1094">
        <f t="shared" si="33"/>
        <v>1.6418275002923967E-3</v>
      </c>
      <c r="H97" s="1094">
        <f t="shared" si="33"/>
        <v>0.14942045524399045</v>
      </c>
      <c r="I97" s="1094">
        <f t="shared" si="33"/>
        <v>2.0985595575770056E-2</v>
      </c>
      <c r="J97" s="1094">
        <f t="shared" si="33"/>
        <v>2.8665831329576272E-2</v>
      </c>
      <c r="K97" s="1094">
        <f t="shared" si="33"/>
        <v>5.4915061535724839E-3</v>
      </c>
      <c r="L97" s="1094">
        <f t="shared" si="33"/>
        <v>1.6201557621688327E-3</v>
      </c>
      <c r="M97" s="1094">
        <f t="shared" si="33"/>
        <v>0.27155133005348309</v>
      </c>
      <c r="N97" s="1094">
        <f t="shared" si="33"/>
        <v>1.3716385995415594</v>
      </c>
      <c r="O97" s="1094">
        <f t="shared" si="33"/>
        <v>0.21197338494250778</v>
      </c>
      <c r="P97" s="1094">
        <f t="shared" si="33"/>
        <v>0.24553111712834094</v>
      </c>
      <c r="Q97" s="1094">
        <f t="shared" si="33"/>
        <v>9.8159081625125419E-2</v>
      </c>
      <c r="R97" s="1094">
        <f t="shared" si="33"/>
        <v>1.6502154711649036E-2</v>
      </c>
      <c r="S97" s="1094">
        <f t="shared" si="33"/>
        <v>4.4095299004201019E-3</v>
      </c>
      <c r="T97" s="1077"/>
      <c r="U97" s="1077"/>
      <c r="V97" s="1077"/>
      <c r="W97" s="1077"/>
      <c r="X97" s="1077"/>
      <c r="Y97" s="1077"/>
      <c r="Z97" s="1077"/>
      <c r="AA97" s="1077"/>
      <c r="AB97" s="1077"/>
      <c r="AC97" s="1077"/>
      <c r="AD97" s="1077"/>
      <c r="AE97" s="1077"/>
      <c r="AF97" s="1077"/>
      <c r="AG97" s="1077"/>
      <c r="AH97" s="1077"/>
      <c r="AI97" s="1077"/>
      <c r="AJ97" s="1077"/>
      <c r="AK97" s="1077"/>
      <c r="AL97" s="1077"/>
      <c r="AM97" s="1077"/>
      <c r="AN97" s="1077"/>
      <c r="AO97" s="1077"/>
      <c r="AP97" s="1077"/>
      <c r="AQ97" s="1077"/>
      <c r="AR97" s="1077"/>
      <c r="AS97" s="1077"/>
      <c r="AT97" s="1077"/>
      <c r="AU97" s="1077"/>
      <c r="AV97" s="1077"/>
      <c r="AW97" s="1077"/>
      <c r="AX97" s="1077"/>
      <c r="AY97" s="1077"/>
      <c r="AZ97" s="1077"/>
      <c r="BA97" s="1077"/>
      <c r="BB97" s="1077"/>
      <c r="BC97" s="1077"/>
      <c r="BD97" s="1077"/>
      <c r="BE97" s="1077"/>
      <c r="BF97" s="1077"/>
      <c r="BG97" s="1077"/>
      <c r="BH97" s="1077"/>
      <c r="BI97" s="1077"/>
      <c r="BJ97" s="1077"/>
      <c r="BK97" s="1077"/>
      <c r="BL97" s="1077"/>
      <c r="BM97" s="1077"/>
      <c r="BN97" s="1077"/>
      <c r="BO97" s="1077"/>
      <c r="BP97" s="1077"/>
      <c r="BQ97" s="1077"/>
      <c r="BR97" s="1077"/>
      <c r="BS97" s="1077"/>
      <c r="BT97" s="1077"/>
      <c r="BU97" s="1077"/>
    </row>
    <row r="98" spans="1:73" x14ac:dyDescent="0.2">
      <c r="A98" s="1077"/>
      <c r="B98" s="1077"/>
      <c r="C98" s="1077"/>
      <c r="D98" s="1077"/>
      <c r="E98" s="1077"/>
      <c r="F98" s="1077"/>
      <c r="G98" s="1077"/>
      <c r="H98" s="1077"/>
      <c r="I98" s="1077"/>
      <c r="J98" s="1077"/>
      <c r="K98" s="1077"/>
      <c r="L98" s="1077"/>
      <c r="M98" s="1077"/>
      <c r="N98" s="1077"/>
      <c r="O98" s="1077"/>
      <c r="P98" s="1077"/>
      <c r="Q98" s="1077"/>
      <c r="R98" s="1077"/>
      <c r="S98" s="1077"/>
      <c r="T98" s="1077"/>
      <c r="U98" s="1077"/>
      <c r="V98" s="1077"/>
      <c r="W98" s="1077"/>
      <c r="X98" s="1077"/>
      <c r="Y98" s="1077"/>
      <c r="Z98" s="1077"/>
      <c r="AA98" s="1077"/>
      <c r="AB98" s="1077"/>
      <c r="AC98" s="1077"/>
      <c r="AD98" s="1077"/>
      <c r="AE98" s="1077"/>
      <c r="AF98" s="1077"/>
      <c r="AG98" s="1077"/>
      <c r="AH98" s="1077"/>
      <c r="AI98" s="1077"/>
      <c r="AJ98" s="1077"/>
      <c r="AK98" s="1077"/>
      <c r="AL98" s="1077"/>
      <c r="AM98" s="1077"/>
      <c r="AN98" s="1077"/>
      <c r="AO98" s="1077"/>
      <c r="AP98" s="1077"/>
      <c r="AQ98" s="1077"/>
      <c r="AR98" s="1077"/>
      <c r="AS98" s="1077"/>
      <c r="AT98" s="1077"/>
      <c r="AU98" s="1077"/>
      <c r="AV98" s="1077"/>
      <c r="AW98" s="1077"/>
      <c r="AX98" s="1077"/>
      <c r="AY98" s="1077"/>
      <c r="AZ98" s="1077"/>
      <c r="BA98" s="1077"/>
      <c r="BB98" s="1077"/>
      <c r="BC98" s="1077"/>
      <c r="BD98" s="1077"/>
      <c r="BE98" s="1077"/>
      <c r="BF98" s="1077"/>
      <c r="BG98" s="1077"/>
      <c r="BH98" s="1077"/>
      <c r="BI98" s="1077"/>
      <c r="BJ98" s="1077"/>
      <c r="BK98" s="1077"/>
      <c r="BL98" s="1077"/>
      <c r="BM98" s="1077"/>
      <c r="BN98" s="1077"/>
      <c r="BO98" s="1077"/>
      <c r="BP98" s="1077"/>
      <c r="BQ98" s="1077"/>
      <c r="BR98" s="1077"/>
      <c r="BS98" s="1077"/>
      <c r="BT98" s="1077"/>
      <c r="BU98" s="1077"/>
    </row>
    <row r="99" spans="1:73" x14ac:dyDescent="0.2">
      <c r="A99" s="1077"/>
      <c r="B99" s="1077"/>
      <c r="C99" s="1077"/>
      <c r="D99" s="1077"/>
      <c r="E99" s="1077"/>
      <c r="F99" s="1077"/>
      <c r="G99" s="1077"/>
      <c r="H99" s="1077"/>
      <c r="I99" s="1077"/>
      <c r="J99" s="1077"/>
      <c r="K99" s="1077"/>
      <c r="L99" s="1077"/>
      <c r="M99" s="1077"/>
      <c r="N99" s="1077"/>
      <c r="O99" s="1077"/>
      <c r="P99" s="1077"/>
      <c r="Q99" s="1077"/>
      <c r="R99" s="1077"/>
      <c r="S99" s="1077"/>
      <c r="T99" s="1077"/>
      <c r="U99" s="1077"/>
      <c r="V99" s="1077"/>
      <c r="W99" s="1077"/>
      <c r="X99" s="1077"/>
      <c r="Y99" s="1077"/>
      <c r="Z99" s="1077"/>
      <c r="AA99" s="1077"/>
      <c r="AB99" s="1077"/>
      <c r="AC99" s="1077"/>
      <c r="AD99" s="1077"/>
      <c r="AE99" s="1077"/>
      <c r="AF99" s="1077"/>
      <c r="AG99" s="1077"/>
      <c r="AH99" s="1077"/>
      <c r="AI99" s="1077"/>
      <c r="AJ99" s="1077"/>
      <c r="AK99" s="1077"/>
      <c r="AL99" s="1077"/>
      <c r="AM99" s="1077"/>
      <c r="AN99" s="1077"/>
      <c r="AO99" s="1077"/>
      <c r="AP99" s="1077"/>
      <c r="AQ99" s="1077"/>
      <c r="AR99" s="1077"/>
      <c r="AS99" s="1077"/>
      <c r="AT99" s="1077"/>
      <c r="AU99" s="1077"/>
      <c r="AV99" s="1077"/>
      <c r="AW99" s="1077"/>
      <c r="AX99" s="1077"/>
      <c r="AY99" s="1077"/>
      <c r="AZ99" s="1077"/>
      <c r="BA99" s="1077"/>
      <c r="BB99" s="1077"/>
      <c r="BC99" s="1077"/>
      <c r="BD99" s="1077"/>
      <c r="BE99" s="1077"/>
      <c r="BF99" s="1077"/>
      <c r="BG99" s="1077"/>
      <c r="BH99" s="1077"/>
      <c r="BI99" s="1077"/>
      <c r="BJ99" s="1077"/>
      <c r="BK99" s="1077"/>
      <c r="BL99" s="1077"/>
      <c r="BM99" s="1077"/>
      <c r="BN99" s="1077"/>
      <c r="BO99" s="1077"/>
      <c r="BP99" s="1077"/>
      <c r="BQ99" s="1077"/>
      <c r="BR99" s="1077"/>
      <c r="BS99" s="1077"/>
      <c r="BT99" s="1077"/>
      <c r="BU99" s="1077"/>
    </row>
    <row r="100" spans="1:73" ht="38.25" x14ac:dyDescent="0.2">
      <c r="A100" s="1077"/>
      <c r="B100" s="1079" t="s">
        <v>1150</v>
      </c>
      <c r="C100" s="1100" t="s">
        <v>1149</v>
      </c>
      <c r="D100" s="1" t="s">
        <v>1159</v>
      </c>
      <c r="E100" s="1079" t="s">
        <v>1155</v>
      </c>
      <c r="F100" s="1079" t="s">
        <v>1156</v>
      </c>
      <c r="G100" s="1079" t="s">
        <v>1157</v>
      </c>
      <c r="H100" s="1079" t="s">
        <v>1151</v>
      </c>
      <c r="I100" s="1079" t="s">
        <v>1152</v>
      </c>
      <c r="J100" s="1079" t="s">
        <v>1153</v>
      </c>
      <c r="K100" s="1077"/>
      <c r="L100" s="1079" t="s">
        <v>1158</v>
      </c>
      <c r="M100" s="1088" t="s">
        <v>1161</v>
      </c>
      <c r="N100" s="1088" t="s">
        <v>1144</v>
      </c>
      <c r="O100" s="1077"/>
      <c r="P100" s="1077"/>
      <c r="Q100" s="1077"/>
      <c r="R100" s="1077"/>
      <c r="S100" s="1077"/>
      <c r="T100" s="1077"/>
      <c r="U100" s="1077"/>
      <c r="V100" s="1077"/>
      <c r="W100" s="1077"/>
      <c r="X100" s="1077"/>
      <c r="Y100" s="1077"/>
      <c r="Z100" s="1077"/>
      <c r="AA100" s="1077"/>
      <c r="AB100" s="1077"/>
      <c r="AC100" s="1077"/>
      <c r="AD100" s="1077"/>
      <c r="AE100" s="1077"/>
      <c r="AF100" s="1077"/>
      <c r="AG100" s="1077"/>
      <c r="AH100" s="1077"/>
      <c r="AI100" s="1077"/>
      <c r="AJ100" s="1077"/>
      <c r="AK100" s="1077"/>
      <c r="AL100" s="1077"/>
      <c r="AM100" s="1077"/>
      <c r="AN100" s="1077"/>
      <c r="AO100" s="1077"/>
      <c r="AP100" s="1077"/>
      <c r="AQ100" s="1077"/>
      <c r="AR100" s="1077"/>
      <c r="AS100" s="1077"/>
      <c r="AT100" s="1077"/>
      <c r="AU100" s="1077"/>
      <c r="AV100" s="1077"/>
      <c r="AW100" s="1077"/>
      <c r="AX100" s="1077"/>
      <c r="AY100" s="1077"/>
      <c r="AZ100" s="1077"/>
      <c r="BA100" s="1077"/>
      <c r="BB100" s="1077"/>
      <c r="BC100" s="1077"/>
      <c r="BD100" s="1077"/>
      <c r="BE100" s="1077"/>
      <c r="BF100" s="1077"/>
      <c r="BG100" s="1077"/>
      <c r="BH100" s="1077"/>
      <c r="BI100" s="1077"/>
      <c r="BJ100" s="1077"/>
      <c r="BK100" s="1077"/>
      <c r="BL100" s="1077"/>
      <c r="BM100" s="1077"/>
      <c r="BN100" s="1077"/>
      <c r="BO100" s="1077"/>
      <c r="BP100" s="1077"/>
      <c r="BQ100" s="1077"/>
      <c r="BR100" s="1077"/>
      <c r="BS100" s="1077"/>
      <c r="BT100" s="1077"/>
      <c r="BU100" s="1077"/>
    </row>
    <row r="101" spans="1:73" x14ac:dyDescent="0.2">
      <c r="A101" s="1077"/>
      <c r="B101" s="1077"/>
      <c r="C101" s="1101">
        <v>1</v>
      </c>
      <c r="D101" s="1081" t="str">
        <f t="shared" ref="D101:D107" ca="1" si="34">OFFSET(L$100,MATCH($C101,$N$101:$N$107,0),0)</f>
        <v>Feedstock Consumption (% of baseline)
(95%, 100%, 105%)</v>
      </c>
      <c r="E101" s="1176">
        <f t="shared" ref="E101:E107" ca="1" si="35">OFFSET(E$76,MATCH($C101,$N$101:$N$107,0)*3-2,0)</f>
        <v>2.3412960583840761</v>
      </c>
      <c r="F101" s="1176">
        <f t="shared" ref="F101:F107" si="36">+$K$51</f>
        <v>2.4111382454761561</v>
      </c>
      <c r="G101" s="1176">
        <f t="shared" ref="G101:G107" ca="1" si="37">OFFSET(E$76,MATCH($C101,$N$101:$N$107,0)*3,0)</f>
        <v>2.4809804325682334</v>
      </c>
      <c r="H101" s="1081">
        <f ca="1">+E101</f>
        <v>2.3412960583840761</v>
      </c>
      <c r="I101" s="1081">
        <f ca="1">+F101-E101</f>
        <v>6.984218709208001E-2</v>
      </c>
      <c r="J101" s="1081">
        <f ca="1">+G101-F101</f>
        <v>6.9842187092077346E-2</v>
      </c>
      <c r="K101" s="1077"/>
      <c r="L101" s="1081" t="str">
        <f ca="1">+B3&amp;"
("&amp;TEXT(H3,"0%, ")&amp;TEXT(C3,"0%, ")&amp;TEXT(I3,"0%)")</f>
        <v>Operating Capacity Factor
(95%, 90%, 86%)</v>
      </c>
      <c r="M101" s="1091">
        <f>ABS(K52-K53)+0.000000001</f>
        <v>8.2986780968087454E-2</v>
      </c>
      <c r="N101" s="1081">
        <f t="shared" ref="N101:N107" si="38">+RANK(M101,$M$101:$M$107)</f>
        <v>2</v>
      </c>
      <c r="O101" s="1088"/>
      <c r="P101" s="1077"/>
      <c r="Q101" s="1077"/>
      <c r="R101" s="1077"/>
      <c r="S101" s="1077"/>
      <c r="T101" s="1077"/>
      <c r="U101" s="1077"/>
      <c r="V101" s="1077"/>
      <c r="W101" s="1077"/>
      <c r="X101" s="1077"/>
      <c r="Y101" s="1077"/>
      <c r="Z101" s="1077"/>
      <c r="AA101" s="1077"/>
      <c r="AB101" s="1077"/>
      <c r="AC101" s="1077"/>
      <c r="AD101" s="1077"/>
      <c r="AE101" s="1077"/>
      <c r="AF101" s="1077"/>
      <c r="AG101" s="1077"/>
      <c r="AH101" s="1077"/>
      <c r="AI101" s="1077"/>
      <c r="AJ101" s="1077"/>
      <c r="AK101" s="1077"/>
      <c r="AL101" s="1077"/>
      <c r="AM101" s="1077"/>
      <c r="AN101" s="1077"/>
      <c r="AO101" s="1077"/>
      <c r="AP101" s="1077"/>
      <c r="AQ101" s="1077"/>
      <c r="AR101" s="1077"/>
      <c r="AS101" s="1077"/>
      <c r="AT101" s="1077"/>
      <c r="AU101" s="1077"/>
      <c r="AV101" s="1077"/>
      <c r="AW101" s="1077"/>
      <c r="AX101" s="1077"/>
      <c r="AY101" s="1077"/>
      <c r="AZ101" s="1077"/>
      <c r="BA101" s="1077"/>
      <c r="BB101" s="1077"/>
      <c r="BC101" s="1077"/>
      <c r="BD101" s="1077"/>
      <c r="BE101" s="1077"/>
      <c r="BF101" s="1077"/>
      <c r="BG101" s="1077"/>
      <c r="BH101" s="1077"/>
      <c r="BI101" s="1077"/>
      <c r="BJ101" s="1077"/>
      <c r="BK101" s="1077"/>
      <c r="BL101" s="1077"/>
      <c r="BM101" s="1077"/>
      <c r="BN101" s="1077"/>
      <c r="BO101" s="1077"/>
      <c r="BP101" s="1077"/>
      <c r="BQ101" s="1077"/>
      <c r="BR101" s="1077"/>
      <c r="BS101" s="1077"/>
      <c r="BT101" s="1077"/>
      <c r="BU101" s="1077"/>
    </row>
    <row r="102" spans="1:73" x14ac:dyDescent="0.2">
      <c r="A102" s="1077"/>
      <c r="B102" s="1077"/>
      <c r="C102" s="1101">
        <v>2</v>
      </c>
      <c r="D102" s="1081" t="str">
        <f t="shared" ca="1" si="34"/>
        <v>Operating Capacity Factor
(95%, 90%, 86%)</v>
      </c>
      <c r="E102" s="1176">
        <f t="shared" ca="1" si="35"/>
        <v>2.3717195249913128</v>
      </c>
      <c r="F102" s="1176">
        <f t="shared" si="36"/>
        <v>2.4111382454761561</v>
      </c>
      <c r="G102" s="1176">
        <f t="shared" ca="1" si="37"/>
        <v>2.4547063049594002</v>
      </c>
      <c r="H102" s="1081">
        <f t="shared" ref="H102:H107" ca="1" si="39">+E102</f>
        <v>2.3717195249913128</v>
      </c>
      <c r="I102" s="1081">
        <f t="shared" ref="I102:I107" ca="1" si="40">+F102-E102</f>
        <v>3.9418720484843295E-2</v>
      </c>
      <c r="J102" s="1081">
        <f t="shared" ref="J102:J107" ca="1" si="41">+G102-F102</f>
        <v>4.3568059483244159E-2</v>
      </c>
      <c r="K102" s="1077"/>
      <c r="L102" s="1081" t="str">
        <f ca="1">+B4&amp;"
("&amp;TEXT(H4,"0,000")&amp;", "&amp;TEXT(C4,"0,000")&amp;", "&amp;TEXT(I4,"0,000")&amp;") "</f>
        <v xml:space="preserve">Plant Design Capacity (kg of H2/day)
(162,998, 155,236, 147,474) </v>
      </c>
      <c r="M102" s="1091">
        <f>+ABS(K54-K55)+0.000000002</f>
        <v>1.9493734302692023E-2</v>
      </c>
      <c r="N102" s="1081">
        <f t="shared" si="38"/>
        <v>6</v>
      </c>
      <c r="O102" s="1088"/>
      <c r="P102" s="1077"/>
      <c r="Q102" s="1077"/>
      <c r="R102" s="1077"/>
      <c r="S102" s="1077"/>
      <c r="T102" s="1077"/>
      <c r="U102" s="1077"/>
      <c r="V102" s="1077"/>
      <c r="W102" s="1077"/>
      <c r="X102" s="1077"/>
      <c r="Y102" s="1077"/>
      <c r="Z102" s="1077"/>
      <c r="AA102" s="1077"/>
      <c r="AB102" s="1077"/>
      <c r="AC102" s="1077"/>
      <c r="AD102" s="1077"/>
      <c r="AE102" s="1077"/>
      <c r="AF102" s="1077"/>
      <c r="AG102" s="1077"/>
      <c r="AH102" s="1077"/>
      <c r="AI102" s="1077"/>
      <c r="AJ102" s="1077"/>
      <c r="AK102" s="1077"/>
      <c r="AL102" s="1077"/>
      <c r="AM102" s="1077"/>
      <c r="AN102" s="1077"/>
      <c r="AO102" s="1077"/>
      <c r="AP102" s="1077"/>
      <c r="AQ102" s="1077"/>
      <c r="AR102" s="1077"/>
      <c r="AS102" s="1077"/>
      <c r="AT102" s="1077"/>
      <c r="AU102" s="1077"/>
      <c r="AV102" s="1077"/>
      <c r="AW102" s="1077"/>
      <c r="AX102" s="1077"/>
      <c r="AY102" s="1077"/>
      <c r="AZ102" s="1077"/>
      <c r="BA102" s="1077"/>
      <c r="BB102" s="1077"/>
      <c r="BC102" s="1077"/>
      <c r="BD102" s="1077"/>
      <c r="BE102" s="1077"/>
      <c r="BF102" s="1077"/>
      <c r="BG102" s="1077"/>
      <c r="BH102" s="1077"/>
      <c r="BI102" s="1077"/>
      <c r="BJ102" s="1077"/>
      <c r="BK102" s="1077"/>
      <c r="BL102" s="1077"/>
      <c r="BM102" s="1077"/>
      <c r="BN102" s="1077"/>
      <c r="BO102" s="1077"/>
      <c r="BP102" s="1077"/>
      <c r="BQ102" s="1077"/>
      <c r="BR102" s="1077"/>
      <c r="BS102" s="1077"/>
      <c r="BT102" s="1077"/>
      <c r="BU102" s="1077"/>
    </row>
    <row r="103" spans="1:73" x14ac:dyDescent="0.2">
      <c r="A103" s="1077"/>
      <c r="B103" s="1077"/>
      <c r="C103" s="1101">
        <v>3</v>
      </c>
      <c r="D103" s="1081" t="str">
        <f t="shared" ca="1" si="34"/>
        <v xml:space="preserve">Total Capital Investment
($198,051K, $208,474K, $218,898K) </v>
      </c>
      <c r="E103" s="1176">
        <f t="shared" ca="1" si="35"/>
        <v>2.3939870404855514</v>
      </c>
      <c r="F103" s="1176">
        <f t="shared" si="36"/>
        <v>2.4111382454761561</v>
      </c>
      <c r="G103" s="1176">
        <f t="shared" ca="1" si="37"/>
        <v>2.4282894504667607</v>
      </c>
      <c r="H103" s="1081">
        <f t="shared" ca="1" si="39"/>
        <v>2.3939870404855514</v>
      </c>
      <c r="I103" s="1081">
        <f t="shared" ca="1" si="40"/>
        <v>1.7151204990604629E-2</v>
      </c>
      <c r="J103" s="1081">
        <f t="shared" ca="1" si="41"/>
        <v>1.7151204990604629E-2</v>
      </c>
      <c r="K103" s="1077"/>
      <c r="L103" s="1081" t="str">
        <f ca="1">+B5&amp;"
("&amp;TEXT(H5,"0%, ")&amp;TEXT(C5,"0%, ")&amp;TEXT(I5,"0%)")</f>
        <v>After-tax Real IRR
(8%, 8%, 8%)</v>
      </c>
      <c r="M103" s="1091">
        <f>+ABS(K56-K57)+0.000000003</f>
        <v>2.6273071687681532E-2</v>
      </c>
      <c r="N103" s="1081">
        <f t="shared" si="38"/>
        <v>5</v>
      </c>
      <c r="O103" s="1088"/>
      <c r="P103" s="1077"/>
      <c r="Q103" s="1077"/>
      <c r="R103" s="1077"/>
      <c r="S103" s="1077"/>
      <c r="T103" s="1077"/>
      <c r="U103" s="1077"/>
      <c r="V103" s="1077"/>
      <c r="W103" s="1077"/>
      <c r="X103" s="1077"/>
      <c r="Y103" s="1077"/>
      <c r="Z103" s="1077"/>
      <c r="AA103" s="1077"/>
      <c r="AB103" s="1077"/>
      <c r="AC103" s="1077"/>
      <c r="AD103" s="1077"/>
      <c r="AE103" s="1077"/>
      <c r="AF103" s="1077"/>
      <c r="AG103" s="1077"/>
      <c r="AH103" s="1077"/>
      <c r="AI103" s="1077"/>
      <c r="AJ103" s="1077"/>
      <c r="AK103" s="1077"/>
      <c r="AL103" s="1077"/>
      <c r="AM103" s="1077"/>
      <c r="AN103" s="1077"/>
      <c r="AO103" s="1077"/>
      <c r="AP103" s="1077"/>
      <c r="AQ103" s="1077"/>
      <c r="AR103" s="1077"/>
      <c r="AS103" s="1077"/>
      <c r="AT103" s="1077"/>
      <c r="AU103" s="1077"/>
      <c r="AV103" s="1077"/>
      <c r="AW103" s="1077"/>
      <c r="AX103" s="1077"/>
      <c r="AY103" s="1077"/>
      <c r="AZ103" s="1077"/>
      <c r="BA103" s="1077"/>
      <c r="BB103" s="1077"/>
      <c r="BC103" s="1077"/>
      <c r="BD103" s="1077"/>
      <c r="BE103" s="1077"/>
      <c r="BF103" s="1077"/>
      <c r="BG103" s="1077"/>
      <c r="BH103" s="1077"/>
      <c r="BI103" s="1077"/>
      <c r="BJ103" s="1077"/>
      <c r="BK103" s="1077"/>
      <c r="BL103" s="1077"/>
      <c r="BM103" s="1077"/>
      <c r="BN103" s="1077"/>
      <c r="BO103" s="1077"/>
      <c r="BP103" s="1077"/>
      <c r="BQ103" s="1077"/>
      <c r="BR103" s="1077"/>
      <c r="BS103" s="1077"/>
      <c r="BT103" s="1077"/>
      <c r="BU103" s="1077"/>
    </row>
    <row r="104" spans="1:73" x14ac:dyDescent="0.2">
      <c r="A104" s="1077"/>
      <c r="B104" s="1077"/>
      <c r="C104" s="1101">
        <v>4</v>
      </c>
      <c r="D104" s="1081" t="str">
        <f t="shared" ca="1" si="34"/>
        <v xml:space="preserve">Total Fixed Operating Cost
($12,043K, $12,676K, $13,310K) </v>
      </c>
      <c r="E104" s="1176">
        <f t="shared" ca="1" si="35"/>
        <v>2.3979695764844378</v>
      </c>
      <c r="F104" s="1176">
        <f t="shared" si="36"/>
        <v>2.4111382454761561</v>
      </c>
      <c r="G104" s="1176">
        <f t="shared" ca="1" si="37"/>
        <v>2.4243069144678726</v>
      </c>
      <c r="H104" s="1081">
        <f t="shared" ca="1" si="39"/>
        <v>2.3979695764844378</v>
      </c>
      <c r="I104" s="1081">
        <f t="shared" ca="1" si="40"/>
        <v>1.3168668991718313E-2</v>
      </c>
      <c r="J104" s="1081">
        <f t="shared" ca="1" si="41"/>
        <v>1.3168668991716537E-2</v>
      </c>
      <c r="K104" s="1077"/>
      <c r="L104" s="1081" t="str">
        <f>+B6&amp;"
("&amp;TEXT(H6,"0%, ")&amp;TEXT(C6,"0%, ")&amp;TEXT(I6,"0%)")</f>
        <v>Feedstock Consumption (% of baseline)
(95%, 100%, 105%)</v>
      </c>
      <c r="M104" s="1091">
        <f>+ABS(K58-K59)+0.000000004</f>
        <v>0.13968437818415735</v>
      </c>
      <c r="N104" s="1081">
        <f t="shared" si="38"/>
        <v>1</v>
      </c>
      <c r="O104" s="1088"/>
      <c r="P104" s="1077"/>
      <c r="Q104" s="1077"/>
      <c r="R104" s="1077"/>
      <c r="S104" s="1077"/>
      <c r="T104" s="1077"/>
      <c r="U104" s="1077"/>
      <c r="V104" s="1077"/>
      <c r="W104" s="1077"/>
      <c r="X104" s="1077"/>
      <c r="Y104" s="1077"/>
      <c r="Z104" s="1077"/>
      <c r="AA104" s="1077"/>
      <c r="AB104" s="1077"/>
      <c r="AC104" s="1077"/>
      <c r="AD104" s="1077"/>
      <c r="AE104" s="1077"/>
      <c r="AF104" s="1077"/>
      <c r="AG104" s="1077"/>
      <c r="AH104" s="1077"/>
      <c r="AI104" s="1077"/>
      <c r="AJ104" s="1077"/>
      <c r="AK104" s="1077"/>
      <c r="AL104" s="1077"/>
      <c r="AM104" s="1077"/>
      <c r="AN104" s="1077"/>
      <c r="AO104" s="1077"/>
      <c r="AP104" s="1077"/>
      <c r="AQ104" s="1077"/>
      <c r="AR104" s="1077"/>
      <c r="AS104" s="1077"/>
      <c r="AT104" s="1077"/>
      <c r="AU104" s="1077"/>
      <c r="AV104" s="1077"/>
      <c r="AW104" s="1077"/>
      <c r="AX104" s="1077"/>
      <c r="AY104" s="1077"/>
      <c r="AZ104" s="1077"/>
      <c r="BA104" s="1077"/>
      <c r="BB104" s="1077"/>
      <c r="BC104" s="1077"/>
      <c r="BD104" s="1077"/>
      <c r="BE104" s="1077"/>
      <c r="BF104" s="1077"/>
      <c r="BG104" s="1077"/>
      <c r="BH104" s="1077"/>
      <c r="BI104" s="1077"/>
      <c r="BJ104" s="1077"/>
      <c r="BK104" s="1077"/>
      <c r="BL104" s="1077"/>
      <c r="BM104" s="1077"/>
      <c r="BN104" s="1077"/>
      <c r="BO104" s="1077"/>
      <c r="BP104" s="1077"/>
      <c r="BQ104" s="1077"/>
      <c r="BR104" s="1077"/>
      <c r="BS104" s="1077"/>
      <c r="BT104" s="1077"/>
      <c r="BU104" s="1077"/>
    </row>
    <row r="105" spans="1:73" x14ac:dyDescent="0.2">
      <c r="A105" s="1077"/>
      <c r="B105" s="1077"/>
      <c r="C105" s="1101">
        <v>5</v>
      </c>
      <c r="D105" s="1081" t="str">
        <f t="shared" ca="1" si="34"/>
        <v>After-tax Real IRR
(8%, 8%, 8%)</v>
      </c>
      <c r="E105" s="1176">
        <f t="shared" ca="1" si="35"/>
        <v>2.3981518107823239</v>
      </c>
      <c r="F105" s="1176">
        <f t="shared" si="36"/>
        <v>2.4111382454761561</v>
      </c>
      <c r="G105" s="1176">
        <f t="shared" ca="1" si="37"/>
        <v>2.4244248794700054</v>
      </c>
      <c r="H105" s="1081">
        <f t="shared" ref="H105" ca="1" si="42">+E105</f>
        <v>2.3981518107823239</v>
      </c>
      <c r="I105" s="1081">
        <f t="shared" ref="I105" ca="1" si="43">+F105-E105</f>
        <v>1.2986434693832205E-2</v>
      </c>
      <c r="J105" s="1081">
        <f t="shared" ref="J105" ca="1" si="44">+G105-F105</f>
        <v>1.3286633993849328E-2</v>
      </c>
      <c r="K105" s="1077"/>
      <c r="L105" s="1081" t="str">
        <f>+B7&amp;"
("&amp;TEXT(H7,"0%, ")&amp;TEXT(C7,"0%, ")&amp;TEXT(I7,"0%)")</f>
        <v>Utilities Consumption (% of baseline)
(95%, 100%, 105%)</v>
      </c>
      <c r="M105" s="1091">
        <f>+ABS(K60-K61)+0.000000004</f>
        <v>1.7390792453430785E-2</v>
      </c>
      <c r="N105" s="1081">
        <f t="shared" si="38"/>
        <v>7</v>
      </c>
      <c r="O105" s="1088"/>
      <c r="P105" s="1077"/>
      <c r="Q105" s="1077"/>
      <c r="R105" s="1077"/>
      <c r="S105" s="1077"/>
      <c r="T105" s="1077"/>
      <c r="U105" s="1077"/>
      <c r="V105" s="1077"/>
      <c r="W105" s="1077"/>
      <c r="X105" s="1077"/>
      <c r="Y105" s="1077"/>
      <c r="Z105" s="1077"/>
      <c r="AA105" s="1077"/>
      <c r="AB105" s="1077"/>
      <c r="AC105" s="1077"/>
      <c r="AD105" s="1077"/>
      <c r="AE105" s="1077"/>
      <c r="AF105" s="1077"/>
      <c r="AG105" s="1077"/>
      <c r="AH105" s="1077"/>
      <c r="AI105" s="1077"/>
      <c r="AJ105" s="1077"/>
      <c r="AK105" s="1077"/>
      <c r="AL105" s="1077"/>
      <c r="AM105" s="1077"/>
      <c r="AN105" s="1077"/>
      <c r="AO105" s="1077"/>
      <c r="AP105" s="1077"/>
      <c r="AQ105" s="1077"/>
      <c r="AR105" s="1077"/>
      <c r="AS105" s="1077"/>
      <c r="AT105" s="1077"/>
      <c r="AU105" s="1077"/>
      <c r="AV105" s="1077"/>
      <c r="AW105" s="1077"/>
      <c r="AX105" s="1077"/>
      <c r="AY105" s="1077"/>
      <c r="AZ105" s="1077"/>
      <c r="BA105" s="1077"/>
      <c r="BB105" s="1077"/>
      <c r="BC105" s="1077"/>
      <c r="BD105" s="1077"/>
      <c r="BE105" s="1077"/>
      <c r="BF105" s="1077"/>
      <c r="BG105" s="1077"/>
      <c r="BH105" s="1077"/>
      <c r="BI105" s="1077"/>
      <c r="BJ105" s="1077"/>
      <c r="BK105" s="1077"/>
      <c r="BL105" s="1077"/>
      <c r="BM105" s="1077"/>
      <c r="BN105" s="1077"/>
      <c r="BO105" s="1077"/>
      <c r="BP105" s="1077"/>
      <c r="BQ105" s="1077"/>
      <c r="BR105" s="1077"/>
      <c r="BS105" s="1077"/>
      <c r="BT105" s="1077"/>
      <c r="BU105" s="1077"/>
    </row>
    <row r="106" spans="1:73" x14ac:dyDescent="0.2">
      <c r="A106" s="1077"/>
      <c r="B106" s="1077"/>
      <c r="C106" s="1101">
        <v>6</v>
      </c>
      <c r="D106" s="1081" t="str">
        <f t="shared" ca="1" si="34"/>
        <v xml:space="preserve">Plant Design Capacity (kg of H2/day)
(162,998, 155,236, 147,474) </v>
      </c>
      <c r="E106" s="1176">
        <f t="shared" ca="1" si="35"/>
        <v>2.4017774627996471</v>
      </c>
      <c r="F106" s="1176">
        <f t="shared" si="36"/>
        <v>2.4111382454761561</v>
      </c>
      <c r="G106" s="1176">
        <f t="shared" ca="1" si="37"/>
        <v>2.4212711951023391</v>
      </c>
      <c r="H106" s="1081">
        <f t="shared" ca="1" si="39"/>
        <v>2.4017774627996471</v>
      </c>
      <c r="I106" s="1081">
        <f t="shared" ca="1" si="40"/>
        <v>9.3607826765089719E-3</v>
      </c>
      <c r="J106" s="1081">
        <f t="shared" ca="1" si="41"/>
        <v>1.0132949626183052E-2</v>
      </c>
      <c r="K106" s="1077"/>
      <c r="L106" s="1081" t="str">
        <f ca="1">+B8&amp;"
("&amp;TEXT(H8/1000,"$0,000K")&amp;", "&amp;TEXT(C8/1000,"$0,000K")&amp;", "&amp;TEXT(I8/1000,"$0,000K")&amp;") "</f>
        <v xml:space="preserve">Total Capital Investment
($198,051K, $208,474K, $218,898K) </v>
      </c>
      <c r="M106" s="1091">
        <f>+ABS(K62-K63)+0.000000006</f>
        <v>3.4302415981209256E-2</v>
      </c>
      <c r="N106" s="1081">
        <f t="shared" si="38"/>
        <v>3</v>
      </c>
      <c r="O106" s="1088"/>
      <c r="P106" s="1077"/>
      <c r="Q106" s="1077"/>
      <c r="R106" s="1077"/>
      <c r="S106" s="1077"/>
      <c r="T106" s="1077"/>
      <c r="U106" s="1077"/>
      <c r="V106" s="1077"/>
      <c r="W106" s="1077"/>
      <c r="X106" s="1077"/>
      <c r="Y106" s="1077"/>
      <c r="Z106" s="1077"/>
      <c r="AA106" s="1077"/>
      <c r="AB106" s="1077"/>
      <c r="AC106" s="1077"/>
      <c r="AD106" s="1077"/>
      <c r="AE106" s="1077"/>
      <c r="AF106" s="1077"/>
      <c r="AG106" s="1077"/>
      <c r="AH106" s="1077"/>
      <c r="AI106" s="1077"/>
      <c r="AJ106" s="1077"/>
      <c r="AK106" s="1077"/>
      <c r="AL106" s="1077"/>
      <c r="AM106" s="1077"/>
      <c r="AN106" s="1077"/>
      <c r="AO106" s="1077"/>
      <c r="AP106" s="1077"/>
      <c r="AQ106" s="1077"/>
      <c r="AR106" s="1077"/>
      <c r="AS106" s="1077"/>
      <c r="AT106" s="1077"/>
      <c r="AU106" s="1077"/>
      <c r="AV106" s="1077"/>
      <c r="AW106" s="1077"/>
      <c r="AX106" s="1077"/>
      <c r="AY106" s="1077"/>
      <c r="AZ106" s="1077"/>
      <c r="BA106" s="1077"/>
      <c r="BB106" s="1077"/>
      <c r="BC106" s="1077"/>
      <c r="BD106" s="1077"/>
      <c r="BE106" s="1077"/>
      <c r="BF106" s="1077"/>
      <c r="BG106" s="1077"/>
      <c r="BH106" s="1077"/>
      <c r="BI106" s="1077"/>
      <c r="BJ106" s="1077"/>
      <c r="BK106" s="1077"/>
      <c r="BL106" s="1077"/>
      <c r="BM106" s="1077"/>
      <c r="BN106" s="1077"/>
      <c r="BO106" s="1077"/>
      <c r="BP106" s="1077"/>
      <c r="BQ106" s="1077"/>
      <c r="BR106" s="1077"/>
      <c r="BS106" s="1077"/>
      <c r="BT106" s="1077"/>
      <c r="BU106" s="1077"/>
    </row>
    <row r="107" spans="1:73" x14ac:dyDescent="0.2">
      <c r="A107" s="1077"/>
      <c r="B107" s="1077"/>
      <c r="C107" s="1101">
        <v>7</v>
      </c>
      <c r="D107" s="1081" t="str">
        <f t="shared" ca="1" si="34"/>
        <v>Utilities Consumption (% of baseline)
(95%, 100%, 105%)</v>
      </c>
      <c r="E107" s="1176">
        <f t="shared" ca="1" si="35"/>
        <v>2.4024428512494405</v>
      </c>
      <c r="F107" s="1176">
        <f t="shared" si="36"/>
        <v>2.4111382454761561</v>
      </c>
      <c r="G107" s="1176">
        <f t="shared" ca="1" si="37"/>
        <v>2.4198336397028712</v>
      </c>
      <c r="H107" s="1081">
        <f t="shared" ca="1" si="39"/>
        <v>2.4024428512494405</v>
      </c>
      <c r="I107" s="1081">
        <f t="shared" ca="1" si="40"/>
        <v>8.6953942267156137E-3</v>
      </c>
      <c r="J107" s="1081">
        <f t="shared" ca="1" si="41"/>
        <v>8.6953942267151696E-3</v>
      </c>
      <c r="K107" s="1077"/>
      <c r="L107" s="1081" t="str">
        <f ca="1">+B9&amp;"
("&amp;TEXT(H9/1000,"$0,000K")&amp;", "&amp;TEXT(C9/1000,"$0,000K")&amp;", "&amp;TEXT(I9/1000,"$0,000K")&amp;") "</f>
        <v xml:space="preserve">Total Fixed Operating Cost
($12,043K, $12,676K, $13,310K) </v>
      </c>
      <c r="M107" s="1091">
        <f>+ABS(K64-K65)+0.00000007</f>
        <v>2.6337407983434851E-2</v>
      </c>
      <c r="N107" s="1081">
        <f t="shared" si="38"/>
        <v>4</v>
      </c>
      <c r="O107" s="1088"/>
      <c r="P107" s="1077"/>
      <c r="Q107" s="1077"/>
      <c r="R107" s="1077"/>
      <c r="S107" s="1077"/>
      <c r="T107" s="1077"/>
      <c r="U107" s="1077"/>
      <c r="V107" s="1077"/>
      <c r="W107" s="1077"/>
      <c r="X107" s="1077"/>
      <c r="Y107" s="1077"/>
      <c r="Z107" s="1077"/>
      <c r="AA107" s="1077"/>
      <c r="AB107" s="1077"/>
      <c r="AC107" s="1077"/>
      <c r="AD107" s="1077"/>
      <c r="AE107" s="1077"/>
      <c r="AF107" s="1077"/>
      <c r="AG107" s="1077"/>
      <c r="AH107" s="1077"/>
      <c r="AI107" s="1077"/>
      <c r="AJ107" s="1077"/>
      <c r="AK107" s="1077"/>
      <c r="AL107" s="1077"/>
      <c r="AM107" s="1077"/>
      <c r="AN107" s="1077"/>
      <c r="AO107" s="1077"/>
      <c r="AP107" s="1077"/>
      <c r="AQ107" s="1077"/>
      <c r="AR107" s="1077"/>
      <c r="AS107" s="1077"/>
      <c r="AT107" s="1077"/>
      <c r="AU107" s="1077"/>
      <c r="AV107" s="1077"/>
      <c r="AW107" s="1077"/>
      <c r="AX107" s="1077"/>
      <c r="AY107" s="1077"/>
      <c r="AZ107" s="1077"/>
      <c r="BA107" s="1077"/>
      <c r="BB107" s="1077"/>
      <c r="BC107" s="1077"/>
      <c r="BD107" s="1077"/>
      <c r="BE107" s="1077"/>
      <c r="BF107" s="1077"/>
      <c r="BG107" s="1077"/>
      <c r="BH107" s="1077"/>
      <c r="BI107" s="1077"/>
      <c r="BJ107" s="1077"/>
      <c r="BK107" s="1077"/>
      <c r="BL107" s="1077"/>
      <c r="BM107" s="1077"/>
      <c r="BN107" s="1077"/>
      <c r="BO107" s="1077"/>
      <c r="BP107" s="1077"/>
      <c r="BQ107" s="1077"/>
      <c r="BR107" s="1077"/>
      <c r="BS107" s="1077"/>
      <c r="BT107" s="1077"/>
      <c r="BU107" s="1077"/>
    </row>
    <row r="108" spans="1:73" x14ac:dyDescent="0.2">
      <c r="A108" s="1077"/>
      <c r="B108" s="1077"/>
      <c r="C108" s="1077"/>
      <c r="D108" s="1077"/>
      <c r="E108" s="1077"/>
      <c r="F108" s="1077"/>
      <c r="G108" s="1077"/>
      <c r="H108" s="1077"/>
      <c r="I108" s="1077"/>
      <c r="J108" s="1077"/>
      <c r="K108" s="1077"/>
      <c r="L108" s="1077"/>
      <c r="M108" s="1077"/>
      <c r="N108" s="1077"/>
      <c r="O108" s="1077"/>
      <c r="P108" s="1077"/>
      <c r="Q108" s="1077"/>
      <c r="R108" s="1077"/>
      <c r="S108" s="1077"/>
      <c r="T108" s="1077"/>
      <c r="U108" s="1077"/>
      <c r="V108" s="1077"/>
      <c r="W108" s="1077"/>
      <c r="X108" s="1077"/>
      <c r="Y108" s="1077"/>
      <c r="Z108" s="1077"/>
      <c r="AA108" s="1077"/>
      <c r="AB108" s="1077"/>
      <c r="AC108" s="1077"/>
      <c r="AD108" s="1077"/>
      <c r="AE108" s="1077"/>
      <c r="AF108" s="1077"/>
      <c r="AG108" s="1077"/>
      <c r="AH108" s="1077"/>
      <c r="AI108" s="1077"/>
      <c r="AJ108" s="1077"/>
      <c r="AK108" s="1077"/>
      <c r="AL108" s="1077"/>
      <c r="AM108" s="1077"/>
      <c r="AN108" s="1077"/>
      <c r="AO108" s="1077"/>
      <c r="AP108" s="1077"/>
      <c r="AQ108" s="1077"/>
      <c r="AR108" s="1077"/>
      <c r="AS108" s="1077"/>
      <c r="AT108" s="1077"/>
      <c r="AU108" s="1077"/>
      <c r="AV108" s="1077"/>
      <c r="AW108" s="1077"/>
      <c r="AX108" s="1077"/>
      <c r="AY108" s="1077"/>
      <c r="AZ108" s="1077"/>
      <c r="BA108" s="1077"/>
      <c r="BB108" s="1077"/>
      <c r="BC108" s="1077"/>
      <c r="BD108" s="1077"/>
      <c r="BE108" s="1077"/>
      <c r="BF108" s="1077"/>
      <c r="BG108" s="1077"/>
      <c r="BH108" s="1077"/>
      <c r="BI108" s="1077"/>
      <c r="BJ108" s="1077"/>
      <c r="BK108" s="1077"/>
      <c r="BL108" s="1077"/>
      <c r="BM108" s="1077"/>
      <c r="BN108" s="1077"/>
      <c r="BO108" s="1077"/>
      <c r="BP108" s="1077"/>
      <c r="BQ108" s="1077"/>
      <c r="BR108" s="1077"/>
      <c r="BS108" s="1077"/>
      <c r="BT108" s="1077"/>
      <c r="BU108" s="1077"/>
    </row>
    <row r="109" spans="1:73" x14ac:dyDescent="0.2">
      <c r="A109" s="1077"/>
      <c r="B109" s="1077"/>
      <c r="C109" s="1077"/>
      <c r="D109" s="1077"/>
      <c r="E109" s="1077"/>
      <c r="F109" s="1077"/>
      <c r="G109" s="1077"/>
      <c r="H109" s="1077"/>
      <c r="I109" s="1077"/>
      <c r="J109" s="1077"/>
      <c r="K109" s="1077"/>
      <c r="L109" s="1077"/>
      <c r="M109" s="1077"/>
      <c r="N109" s="1077"/>
      <c r="O109" s="1077"/>
      <c r="P109" s="1077"/>
      <c r="Q109" s="1077"/>
      <c r="R109" s="1077"/>
      <c r="S109" s="1077"/>
      <c r="T109" s="1077"/>
      <c r="U109" s="1077"/>
      <c r="V109" s="1077"/>
      <c r="W109" s="1077"/>
      <c r="X109" s="1077"/>
      <c r="Y109" s="1077"/>
      <c r="Z109" s="1077"/>
      <c r="AA109" s="1077"/>
      <c r="AB109" s="1077"/>
      <c r="AC109" s="1077"/>
      <c r="AD109" s="1077"/>
      <c r="AE109" s="1077"/>
      <c r="AF109" s="1077"/>
      <c r="AG109" s="1077"/>
      <c r="AH109" s="1077"/>
      <c r="AI109" s="1077"/>
      <c r="AJ109" s="1077"/>
      <c r="AK109" s="1077"/>
      <c r="AL109" s="1077"/>
      <c r="AM109" s="1077"/>
      <c r="AN109" s="1077"/>
      <c r="AO109" s="1077"/>
      <c r="AP109" s="1077"/>
      <c r="AQ109" s="1077"/>
      <c r="AR109" s="1077"/>
      <c r="AS109" s="1077"/>
      <c r="AT109" s="1077"/>
      <c r="AU109" s="1077"/>
      <c r="AV109" s="1077"/>
      <c r="AW109" s="1077"/>
      <c r="AX109" s="1077"/>
      <c r="AY109" s="1077"/>
      <c r="AZ109" s="1077"/>
      <c r="BA109" s="1077"/>
      <c r="BB109" s="1077"/>
      <c r="BC109" s="1077"/>
      <c r="BD109" s="1077"/>
      <c r="BE109" s="1077"/>
      <c r="BF109" s="1077"/>
      <c r="BG109" s="1077"/>
      <c r="BH109" s="1077"/>
      <c r="BI109" s="1077"/>
      <c r="BJ109" s="1077"/>
      <c r="BK109" s="1077"/>
      <c r="BL109" s="1077"/>
      <c r="BM109" s="1077"/>
      <c r="BN109" s="1077"/>
      <c r="BO109" s="1077"/>
      <c r="BP109" s="1077"/>
      <c r="BQ109" s="1077"/>
      <c r="BR109" s="1077"/>
      <c r="BS109" s="1077"/>
      <c r="BT109" s="1077"/>
      <c r="BU109" s="1077"/>
    </row>
    <row r="110" spans="1:73" ht="51" x14ac:dyDescent="0.2">
      <c r="A110" s="1077"/>
      <c r="B110" s="1079" t="s">
        <v>1162</v>
      </c>
      <c r="C110" s="1100" t="s">
        <v>1149</v>
      </c>
      <c r="D110" s="1088" t="str">
        <f t="shared" ref="D110:G110" si="45">+D76</f>
        <v>Chart titles</v>
      </c>
      <c r="E110" s="1088" t="s">
        <v>1182</v>
      </c>
      <c r="F110" s="1088" t="s">
        <v>1183</v>
      </c>
      <c r="G110" s="1088" t="str">
        <f t="shared" si="45"/>
        <v>Salvage Value</v>
      </c>
      <c r="H110" s="1088" t="str">
        <f t="shared" ref="H110:S110" si="46">+H76</f>
        <v>Initial Equity Depreciable Capital</v>
      </c>
      <c r="I110" s="1088" t="str">
        <f t="shared" si="46"/>
        <v>Yearly Replacement Costs</v>
      </c>
      <c r="J110" s="1088" t="str">
        <f t="shared" si="46"/>
        <v>Cash for Working Capital Reserve</v>
      </c>
      <c r="K110" s="1088" t="str">
        <f t="shared" si="46"/>
        <v>Other Non-Depreciable Capital Costs</v>
      </c>
      <c r="L110" s="1088" t="str">
        <f t="shared" si="46"/>
        <v>Decommissioning Costs</v>
      </c>
      <c r="M110" s="1088" t="str">
        <f t="shared" si="46"/>
        <v>Fixed Operating Cost</v>
      </c>
      <c r="N110" s="1088" t="str">
        <f t="shared" si="46"/>
        <v>Feedstock Cost</v>
      </c>
      <c r="O110" s="1088" t="str">
        <f t="shared" si="46"/>
        <v>Other Raw Material Cost</v>
      </c>
      <c r="P110" s="1088" t="str">
        <f t="shared" si="46"/>
        <v>Other Variable Operating Costs</v>
      </c>
      <c r="Q110" s="1088" t="str">
        <f t="shared" si="46"/>
        <v>Debt Interest</v>
      </c>
      <c r="R110" s="1088" t="str">
        <f t="shared" si="46"/>
        <v>Taxes</v>
      </c>
      <c r="S110" s="1088" t="str">
        <f t="shared" si="46"/>
        <v>Principal Payment</v>
      </c>
      <c r="T110" s="1077"/>
      <c r="U110" s="1077"/>
      <c r="V110" s="1077"/>
      <c r="W110" s="1077"/>
      <c r="X110" s="1077"/>
      <c r="Y110" s="1077"/>
      <c r="Z110" s="1077"/>
      <c r="AA110" s="1077"/>
      <c r="AB110" s="1077"/>
      <c r="AC110" s="1077"/>
      <c r="AD110" s="1077"/>
      <c r="AE110" s="1077"/>
      <c r="AF110" s="1077"/>
      <c r="AG110" s="1077"/>
      <c r="AH110" s="1077"/>
      <c r="AI110" s="1077"/>
      <c r="AJ110" s="1077"/>
      <c r="AK110" s="1077"/>
      <c r="AL110" s="1077"/>
      <c r="AM110" s="1077"/>
      <c r="AN110" s="1077"/>
      <c r="AO110" s="1077"/>
      <c r="AP110" s="1077"/>
      <c r="AQ110" s="1077"/>
      <c r="AR110" s="1077"/>
      <c r="AS110" s="1077"/>
      <c r="AT110" s="1077"/>
      <c r="AU110" s="1077"/>
      <c r="AV110" s="1077"/>
      <c r="AW110" s="1077"/>
      <c r="AX110" s="1077"/>
      <c r="AY110" s="1077"/>
      <c r="AZ110" s="1077"/>
      <c r="BA110" s="1077"/>
      <c r="BB110" s="1077"/>
      <c r="BC110" s="1077"/>
      <c r="BD110" s="1077"/>
      <c r="BE110" s="1077"/>
      <c r="BF110" s="1077"/>
      <c r="BG110" s="1077"/>
      <c r="BH110" s="1077"/>
      <c r="BI110" s="1077"/>
      <c r="BJ110" s="1077"/>
      <c r="BK110" s="1077"/>
      <c r="BL110" s="1077"/>
      <c r="BM110" s="1077"/>
      <c r="BN110" s="1077"/>
      <c r="BO110" s="1077"/>
      <c r="BP110" s="1077"/>
      <c r="BQ110" s="1077"/>
      <c r="BR110" s="1077"/>
      <c r="BS110" s="1077"/>
      <c r="BT110" s="1077"/>
      <c r="BU110" s="1077"/>
    </row>
    <row r="111" spans="1:73" x14ac:dyDescent="0.2">
      <c r="A111" s="1077"/>
      <c r="B111" s="1077"/>
      <c r="C111" s="1101">
        <v>1</v>
      </c>
      <c r="D111" s="1080" t="s">
        <v>1181</v>
      </c>
      <c r="E111" s="1094">
        <f ca="1">OFFSET(E$76,MATCH($C111,$N$101:$N$107,0)*3-1,0)</f>
        <v>2.4111382454761561</v>
      </c>
      <c r="F111" s="1094">
        <f ca="1">OFFSET(F$76,MATCH($C111,$N$101:$N$107,0)*3-1,0)</f>
        <v>0</v>
      </c>
      <c r="G111" s="1094">
        <f ca="1">OFFSET(G$76,MATCH($C111,$N$101:$N$107,0)*3-1,0)</f>
        <v>1.6418275002923967E-3</v>
      </c>
      <c r="H111" s="1081"/>
      <c r="I111" s="1081"/>
      <c r="J111" s="1081"/>
      <c r="K111" s="1081"/>
      <c r="L111" s="1081"/>
      <c r="M111" s="1081"/>
      <c r="N111" s="1081"/>
      <c r="O111" s="1081"/>
      <c r="P111" s="1081"/>
      <c r="Q111" s="1081"/>
      <c r="R111" s="1081"/>
      <c r="S111" s="1081"/>
      <c r="T111" s="1077"/>
      <c r="U111" s="1077"/>
      <c r="V111" s="1077"/>
      <c r="W111" s="1077"/>
      <c r="X111" s="1077"/>
      <c r="Y111" s="1077"/>
      <c r="Z111" s="1077"/>
      <c r="AA111" s="1077"/>
      <c r="AB111" s="1077"/>
      <c r="AC111" s="1077"/>
      <c r="AD111" s="1077"/>
      <c r="AE111" s="1077"/>
      <c r="AF111" s="1077"/>
      <c r="AG111" s="1077"/>
      <c r="AH111" s="1077"/>
      <c r="AI111" s="1077"/>
      <c r="AJ111" s="1077"/>
      <c r="AK111" s="1077"/>
      <c r="AL111" s="1077"/>
      <c r="AM111" s="1077"/>
      <c r="AN111" s="1077"/>
      <c r="AO111" s="1077"/>
      <c r="AP111" s="1077"/>
      <c r="AQ111" s="1077"/>
      <c r="AR111" s="1077"/>
      <c r="AS111" s="1077"/>
      <c r="AT111" s="1077"/>
      <c r="AU111" s="1077"/>
      <c r="AV111" s="1077"/>
      <c r="AW111" s="1077"/>
      <c r="AX111" s="1077"/>
      <c r="AY111" s="1077"/>
      <c r="AZ111" s="1077"/>
      <c r="BA111" s="1077"/>
      <c r="BB111" s="1077"/>
      <c r="BC111" s="1077"/>
      <c r="BD111" s="1077"/>
      <c r="BE111" s="1077"/>
      <c r="BF111" s="1077"/>
      <c r="BG111" s="1077"/>
      <c r="BH111" s="1077"/>
      <c r="BI111" s="1077"/>
      <c r="BJ111" s="1077"/>
      <c r="BK111" s="1077"/>
      <c r="BL111" s="1077"/>
      <c r="BM111" s="1077"/>
      <c r="BN111" s="1077"/>
      <c r="BO111" s="1077"/>
      <c r="BP111" s="1077"/>
      <c r="BQ111" s="1077"/>
      <c r="BR111" s="1077"/>
      <c r="BS111" s="1077"/>
      <c r="BT111" s="1077"/>
      <c r="BU111" s="1077"/>
    </row>
    <row r="112" spans="1:73" x14ac:dyDescent="0.2">
      <c r="A112" s="1077"/>
      <c r="B112" s="1079"/>
      <c r="C112" s="1182"/>
      <c r="D112" s="1183"/>
      <c r="E112" s="1184"/>
      <c r="F112" s="1184"/>
      <c r="G112" s="1184"/>
      <c r="H112" s="1094">
        <f t="shared" ref="H112:S112" ca="1" si="47">OFFSET(H$76,MATCH($C111,$N$101:$N$107,0)*3-1,0)</f>
        <v>0.14942045524399045</v>
      </c>
      <c r="I112" s="1094">
        <f t="shared" ca="1" si="47"/>
        <v>2.0985595575770056E-2</v>
      </c>
      <c r="J112" s="1094">
        <f t="shared" ca="1" si="47"/>
        <v>2.8489350007646817E-2</v>
      </c>
      <c r="K112" s="1094">
        <f t="shared" ca="1" si="47"/>
        <v>5.4915061535724839E-3</v>
      </c>
      <c r="L112" s="1094">
        <f t="shared" ca="1" si="47"/>
        <v>1.6201557621688327E-3</v>
      </c>
      <c r="M112" s="1094">
        <f t="shared" ca="1" si="47"/>
        <v>0.25862031433665061</v>
      </c>
      <c r="N112" s="1094">
        <f t="shared" ca="1" si="47"/>
        <v>1.3716385995415594</v>
      </c>
      <c r="O112" s="1094">
        <f t="shared" ca="1" si="47"/>
        <v>0.21197338494250778</v>
      </c>
      <c r="P112" s="1094">
        <f t="shared" ca="1" si="47"/>
        <v>0.24553111712834094</v>
      </c>
      <c r="Q112" s="1094">
        <f t="shared" ca="1" si="47"/>
        <v>9.8159081625125419E-2</v>
      </c>
      <c r="R112" s="1094">
        <f t="shared" ca="1" si="47"/>
        <v>1.6440982758693726E-2</v>
      </c>
      <c r="S112" s="1094">
        <f t="shared" ca="1" si="47"/>
        <v>4.4095299004201019E-3</v>
      </c>
      <c r="T112" s="1077"/>
      <c r="U112" s="1077"/>
      <c r="V112" s="1077"/>
      <c r="W112" s="1077"/>
      <c r="X112" s="1077"/>
      <c r="Y112" s="1077"/>
      <c r="Z112" s="1077"/>
      <c r="AA112" s="1077"/>
      <c r="AB112" s="1077"/>
      <c r="AC112" s="1077"/>
      <c r="AD112" s="1077"/>
      <c r="AE112" s="1077"/>
      <c r="AF112" s="1077"/>
      <c r="AG112" s="1077"/>
      <c r="AH112" s="1077"/>
      <c r="AI112" s="1077"/>
      <c r="AJ112" s="1077"/>
      <c r="AK112" s="1077"/>
      <c r="AL112" s="1077"/>
      <c r="AM112" s="1077"/>
      <c r="AN112" s="1077"/>
      <c r="AO112" s="1077"/>
      <c r="AP112" s="1077"/>
      <c r="AQ112" s="1077"/>
      <c r="AR112" s="1077"/>
      <c r="AS112" s="1077"/>
      <c r="AT112" s="1077"/>
      <c r="AU112" s="1077"/>
      <c r="AV112" s="1077"/>
      <c r="AW112" s="1077"/>
      <c r="AX112" s="1077"/>
      <c r="AY112" s="1077"/>
      <c r="AZ112" s="1077"/>
      <c r="BA112" s="1077"/>
      <c r="BB112" s="1077"/>
      <c r="BC112" s="1077"/>
      <c r="BD112" s="1077"/>
      <c r="BE112" s="1077"/>
      <c r="BF112" s="1077"/>
      <c r="BG112" s="1077"/>
      <c r="BH112" s="1077"/>
      <c r="BI112" s="1077"/>
      <c r="BJ112" s="1077"/>
      <c r="BK112" s="1077"/>
      <c r="BL112" s="1077"/>
      <c r="BM112" s="1077"/>
      <c r="BN112" s="1077"/>
      <c r="BO112" s="1077"/>
      <c r="BP112" s="1077"/>
      <c r="BQ112" s="1077"/>
      <c r="BR112" s="1077"/>
      <c r="BS112" s="1077"/>
      <c r="BT112" s="1077"/>
      <c r="BU112" s="1077"/>
    </row>
    <row r="113" spans="1:73" x14ac:dyDescent="0.2">
      <c r="A113" s="1077"/>
      <c r="B113" s="1079"/>
      <c r="C113" s="1182"/>
      <c r="D113" s="1183"/>
      <c r="E113" s="1184"/>
      <c r="F113" s="1184"/>
      <c r="G113" s="1184"/>
      <c r="H113" s="1094"/>
      <c r="I113" s="1094"/>
      <c r="J113" s="1094"/>
      <c r="K113" s="1094"/>
      <c r="L113" s="1094"/>
      <c r="M113" s="1094"/>
      <c r="N113" s="1094"/>
      <c r="O113" s="1094"/>
      <c r="P113" s="1094"/>
      <c r="Q113" s="1094"/>
      <c r="R113" s="1094"/>
      <c r="S113" s="1094"/>
      <c r="T113" s="1077"/>
      <c r="U113" s="1077"/>
      <c r="V113" s="1077"/>
      <c r="W113" s="1077"/>
      <c r="X113" s="1077"/>
      <c r="Y113" s="1077"/>
      <c r="Z113" s="1077"/>
      <c r="AA113" s="1077"/>
      <c r="AB113" s="1077"/>
      <c r="AC113" s="1077"/>
      <c r="AD113" s="1077"/>
      <c r="AE113" s="1077"/>
      <c r="AF113" s="1077"/>
      <c r="AG113" s="1077"/>
      <c r="AH113" s="1077"/>
      <c r="AI113" s="1077"/>
      <c r="AJ113" s="1077"/>
      <c r="AK113" s="1077"/>
      <c r="AL113" s="1077"/>
      <c r="AM113" s="1077"/>
      <c r="AN113" s="1077"/>
      <c r="AO113" s="1077"/>
      <c r="AP113" s="1077"/>
      <c r="AQ113" s="1077"/>
      <c r="AR113" s="1077"/>
      <c r="AS113" s="1077"/>
      <c r="AT113" s="1077"/>
      <c r="AU113" s="1077"/>
      <c r="AV113" s="1077"/>
      <c r="AW113" s="1077"/>
      <c r="AX113" s="1077"/>
      <c r="AY113" s="1077"/>
      <c r="AZ113" s="1077"/>
      <c r="BA113" s="1077"/>
      <c r="BB113" s="1077"/>
      <c r="BC113" s="1077"/>
      <c r="BD113" s="1077"/>
      <c r="BE113" s="1077"/>
      <c r="BF113" s="1077"/>
      <c r="BG113" s="1077"/>
      <c r="BH113" s="1077"/>
      <c r="BI113" s="1077"/>
      <c r="BJ113" s="1077"/>
      <c r="BK113" s="1077"/>
      <c r="BL113" s="1077"/>
      <c r="BM113" s="1077"/>
      <c r="BN113" s="1077"/>
      <c r="BO113" s="1077"/>
      <c r="BP113" s="1077"/>
      <c r="BQ113" s="1077"/>
      <c r="BR113" s="1077"/>
      <c r="BS113" s="1077"/>
      <c r="BT113" s="1077"/>
      <c r="BU113" s="1077"/>
    </row>
    <row r="114" spans="1:73" x14ac:dyDescent="0.2">
      <c r="A114" s="1077"/>
      <c r="B114" s="1079"/>
      <c r="C114" s="1182"/>
      <c r="D114" s="1184"/>
      <c r="E114" s="1184"/>
      <c r="F114" s="1184"/>
      <c r="G114" s="1184"/>
      <c r="H114" s="1184"/>
      <c r="I114" s="1184"/>
      <c r="J114" s="1184"/>
      <c r="K114" s="1184"/>
      <c r="L114" s="1184"/>
      <c r="M114" s="1184"/>
      <c r="N114" s="1184"/>
      <c r="O114" s="1184"/>
      <c r="P114" s="1184"/>
      <c r="Q114" s="1184"/>
      <c r="R114" s="1184"/>
      <c r="S114" s="1184"/>
      <c r="T114" s="1077"/>
      <c r="U114" s="1077"/>
      <c r="V114" s="1077"/>
      <c r="W114" s="1077"/>
      <c r="X114" s="1077"/>
      <c r="Y114" s="1077"/>
      <c r="Z114" s="1077"/>
      <c r="AA114" s="1077"/>
      <c r="AB114" s="1077"/>
      <c r="AC114" s="1077"/>
      <c r="AD114" s="1077"/>
      <c r="AE114" s="1077"/>
      <c r="AF114" s="1077"/>
      <c r="AG114" s="1077"/>
      <c r="AH114" s="1077"/>
      <c r="AI114" s="1077"/>
      <c r="AJ114" s="1077"/>
      <c r="AK114" s="1077"/>
      <c r="AL114" s="1077"/>
      <c r="AM114" s="1077"/>
      <c r="AN114" s="1077"/>
      <c r="AO114" s="1077"/>
      <c r="AP114" s="1077"/>
      <c r="AQ114" s="1077"/>
      <c r="AR114" s="1077"/>
      <c r="AS114" s="1077"/>
      <c r="AT114" s="1077"/>
      <c r="AU114" s="1077"/>
      <c r="AV114" s="1077"/>
      <c r="AW114" s="1077"/>
      <c r="AX114" s="1077"/>
      <c r="AY114" s="1077"/>
      <c r="AZ114" s="1077"/>
      <c r="BA114" s="1077"/>
      <c r="BB114" s="1077"/>
      <c r="BC114" s="1077"/>
      <c r="BD114" s="1077"/>
      <c r="BE114" s="1077"/>
      <c r="BF114" s="1077"/>
      <c r="BG114" s="1077"/>
      <c r="BH114" s="1077"/>
      <c r="BI114" s="1077"/>
      <c r="BJ114" s="1077"/>
      <c r="BK114" s="1077"/>
      <c r="BL114" s="1077"/>
      <c r="BM114" s="1077"/>
      <c r="BN114" s="1077"/>
      <c r="BO114" s="1077"/>
      <c r="BP114" s="1077"/>
      <c r="BQ114" s="1077"/>
      <c r="BR114" s="1077"/>
      <c r="BS114" s="1077"/>
      <c r="BT114" s="1077"/>
      <c r="BU114" s="1077"/>
    </row>
    <row r="115" spans="1:73" x14ac:dyDescent="0.2">
      <c r="A115" s="1077"/>
      <c r="B115" s="1079"/>
      <c r="C115" s="1101">
        <v>1</v>
      </c>
      <c r="D115" s="1081" t="str">
        <f t="shared" ref="D115:G115" ca="1" si="48">OFFSET(D$76,MATCH($C115,$N$101:$N$107,0)*3-2,0)</f>
        <v>Feedstock Consumption (% of baseline) = 95%</v>
      </c>
      <c r="E115" s="1094">
        <f t="shared" ca="1" si="48"/>
        <v>2.3412960583840761</v>
      </c>
      <c r="F115" s="1094">
        <f t="shared" ca="1" si="48"/>
        <v>0</v>
      </c>
      <c r="G115" s="1094">
        <f t="shared" ca="1" si="48"/>
        <v>1.6418275002923967E-3</v>
      </c>
      <c r="H115" s="1184"/>
      <c r="I115" s="1184"/>
      <c r="J115" s="1184"/>
      <c r="K115" s="1184"/>
      <c r="L115" s="1184"/>
      <c r="M115" s="1184"/>
      <c r="N115" s="1184"/>
      <c r="O115" s="1184"/>
      <c r="P115" s="1184"/>
      <c r="Q115" s="1184"/>
      <c r="R115" s="1184"/>
      <c r="S115" s="1184"/>
      <c r="T115" s="1077"/>
      <c r="U115" s="1077"/>
      <c r="V115" s="1077"/>
      <c r="W115" s="1077"/>
      <c r="X115" s="1077"/>
      <c r="Y115" s="1077"/>
      <c r="Z115" s="1077"/>
      <c r="AA115" s="1077"/>
      <c r="AB115" s="1077"/>
      <c r="AC115" s="1077"/>
      <c r="AD115" s="1077"/>
      <c r="AE115" s="1077"/>
      <c r="AF115" s="1077"/>
      <c r="AG115" s="1077"/>
      <c r="AH115" s="1077"/>
      <c r="AI115" s="1077"/>
      <c r="AJ115" s="1077"/>
      <c r="AK115" s="1077"/>
      <c r="AL115" s="1077"/>
      <c r="AM115" s="1077"/>
      <c r="AN115" s="1077"/>
      <c r="AO115" s="1077"/>
      <c r="AP115" s="1077"/>
      <c r="AQ115" s="1077"/>
      <c r="AR115" s="1077"/>
      <c r="AS115" s="1077"/>
      <c r="AT115" s="1077"/>
      <c r="AU115" s="1077"/>
      <c r="AV115" s="1077"/>
      <c r="AW115" s="1077"/>
      <c r="AX115" s="1077"/>
      <c r="AY115" s="1077"/>
      <c r="AZ115" s="1077"/>
      <c r="BA115" s="1077"/>
      <c r="BB115" s="1077"/>
      <c r="BC115" s="1077"/>
      <c r="BD115" s="1077"/>
      <c r="BE115" s="1077"/>
      <c r="BF115" s="1077"/>
      <c r="BG115" s="1077"/>
      <c r="BH115" s="1077"/>
      <c r="BI115" s="1077"/>
      <c r="BJ115" s="1077"/>
      <c r="BK115" s="1077"/>
      <c r="BL115" s="1077"/>
      <c r="BM115" s="1077"/>
      <c r="BN115" s="1077"/>
      <c r="BO115" s="1077"/>
      <c r="BP115" s="1077"/>
      <c r="BQ115" s="1077"/>
      <c r="BR115" s="1077"/>
      <c r="BS115" s="1077"/>
      <c r="BT115" s="1077"/>
      <c r="BU115" s="1077"/>
    </row>
    <row r="116" spans="1:73" x14ac:dyDescent="0.2">
      <c r="A116" s="1077"/>
      <c r="B116" s="1079"/>
      <c r="C116" s="1081"/>
      <c r="D116" s="1081"/>
      <c r="E116" s="1081"/>
      <c r="F116" s="1081"/>
      <c r="G116" s="1081"/>
      <c r="H116" s="1094">
        <f t="shared" ref="H116:S116" ca="1" si="49">OFFSET(H$76,MATCH($C115,$N$101:$N$107,0)*3-2,0)</f>
        <v>0.14942045524399045</v>
      </c>
      <c r="I116" s="1094">
        <f t="shared" ca="1" si="49"/>
        <v>2.0985595575770056E-2</v>
      </c>
      <c r="J116" s="1094">
        <f t="shared" ca="1" si="49"/>
        <v>2.7553483074046994E-2</v>
      </c>
      <c r="K116" s="1094">
        <f t="shared" ca="1" si="49"/>
        <v>5.4915061535724839E-3</v>
      </c>
      <c r="L116" s="1094">
        <f t="shared" ca="1" si="49"/>
        <v>1.6201557621688327E-3</v>
      </c>
      <c r="M116" s="1094">
        <f t="shared" ca="1" si="49"/>
        <v>0.25862031433665061</v>
      </c>
      <c r="N116" s="1094">
        <f t="shared" ca="1" si="49"/>
        <v>1.303056669564481</v>
      </c>
      <c r="O116" s="1094">
        <f t="shared" ca="1" si="49"/>
        <v>0.21197338494250778</v>
      </c>
      <c r="P116" s="1094">
        <f t="shared" ca="1" si="49"/>
        <v>0.24553111712834094</v>
      </c>
      <c r="Q116" s="1094">
        <f t="shared" ca="1" si="49"/>
        <v>9.8159081625125419E-2</v>
      </c>
      <c r="R116" s="1094">
        <f t="shared" ca="1" si="49"/>
        <v>1.6116592577292373E-2</v>
      </c>
      <c r="S116" s="1094">
        <f t="shared" ca="1" si="49"/>
        <v>4.4095299004201019E-3</v>
      </c>
      <c r="T116" s="1077"/>
      <c r="U116" s="1077"/>
      <c r="V116" s="1077"/>
      <c r="W116" s="1077"/>
      <c r="X116" s="1077"/>
      <c r="Y116" s="1077"/>
      <c r="Z116" s="1077"/>
      <c r="AA116" s="1077"/>
      <c r="AB116" s="1077"/>
      <c r="AC116" s="1077"/>
      <c r="AD116" s="1077"/>
      <c r="AE116" s="1077"/>
      <c r="AF116" s="1077"/>
      <c r="AG116" s="1077"/>
      <c r="AH116" s="1077"/>
      <c r="AI116" s="1077"/>
      <c r="AJ116" s="1077"/>
      <c r="AK116" s="1077"/>
      <c r="AL116" s="1077"/>
      <c r="AM116" s="1077"/>
      <c r="AN116" s="1077"/>
      <c r="AO116" s="1077"/>
      <c r="AP116" s="1077"/>
      <c r="AQ116" s="1077"/>
      <c r="AR116" s="1077"/>
      <c r="AS116" s="1077"/>
      <c r="AT116" s="1077"/>
      <c r="AU116" s="1077"/>
      <c r="AV116" s="1077"/>
      <c r="AW116" s="1077"/>
      <c r="AX116" s="1077"/>
      <c r="AY116" s="1077"/>
      <c r="AZ116" s="1077"/>
      <c r="BA116" s="1077"/>
      <c r="BB116" s="1077"/>
      <c r="BC116" s="1077"/>
      <c r="BD116" s="1077"/>
      <c r="BE116" s="1077"/>
      <c r="BF116" s="1077"/>
      <c r="BG116" s="1077"/>
      <c r="BH116" s="1077"/>
      <c r="BI116" s="1077"/>
      <c r="BJ116" s="1077"/>
      <c r="BK116" s="1077"/>
      <c r="BL116" s="1077"/>
      <c r="BM116" s="1077"/>
      <c r="BN116" s="1077"/>
      <c r="BO116" s="1077"/>
      <c r="BP116" s="1077"/>
      <c r="BQ116" s="1077"/>
      <c r="BR116" s="1077"/>
      <c r="BS116" s="1077"/>
      <c r="BT116" s="1077"/>
      <c r="BU116" s="1077"/>
    </row>
    <row r="117" spans="1:73" x14ac:dyDescent="0.2">
      <c r="A117" s="1077"/>
      <c r="B117" s="1079"/>
      <c r="C117" s="1101">
        <v>1</v>
      </c>
      <c r="D117" s="1081" t="str">
        <f t="shared" ref="D117:G117" ca="1" si="50">OFFSET(D$76,MATCH($C117,$N$101:$N$107,0)*3,0)</f>
        <v>Feedstock Consumption (% of baseline) = 105%</v>
      </c>
      <c r="E117" s="1094">
        <f t="shared" ca="1" si="50"/>
        <v>2.4809804325682334</v>
      </c>
      <c r="F117" s="1094">
        <f t="shared" ca="1" si="50"/>
        <v>0</v>
      </c>
      <c r="G117" s="1094">
        <f t="shared" ca="1" si="50"/>
        <v>1.6418275002923967E-3</v>
      </c>
      <c r="H117" s="1081"/>
      <c r="I117" s="1081"/>
      <c r="J117" s="1081"/>
      <c r="K117" s="1081"/>
      <c r="L117" s="1081"/>
      <c r="M117" s="1081"/>
      <c r="N117" s="1081"/>
      <c r="O117" s="1081"/>
      <c r="P117" s="1081"/>
      <c r="Q117" s="1081"/>
      <c r="R117" s="1081"/>
      <c r="S117" s="1081"/>
      <c r="T117" s="1077"/>
      <c r="U117" s="1077"/>
      <c r="V117" s="1077"/>
      <c r="W117" s="1077"/>
      <c r="X117" s="1077"/>
      <c r="Y117" s="1077"/>
      <c r="Z117" s="1077"/>
      <c r="AA117" s="1077"/>
      <c r="AB117" s="1077"/>
      <c r="AC117" s="1077"/>
      <c r="AD117" s="1077"/>
      <c r="AE117" s="1077"/>
      <c r="AF117" s="1077"/>
      <c r="AG117" s="1077"/>
      <c r="AH117" s="1077"/>
      <c r="AI117" s="1077"/>
      <c r="AJ117" s="1077"/>
      <c r="AK117" s="1077"/>
      <c r="AL117" s="1077"/>
      <c r="AM117" s="1077"/>
      <c r="AN117" s="1077"/>
      <c r="AO117" s="1077"/>
      <c r="AP117" s="1077"/>
      <c r="AQ117" s="1077"/>
      <c r="AR117" s="1077"/>
      <c r="AS117" s="1077"/>
      <c r="AT117" s="1077"/>
      <c r="AU117" s="1077"/>
      <c r="AV117" s="1077"/>
      <c r="AW117" s="1077"/>
      <c r="AX117" s="1077"/>
      <c r="AY117" s="1077"/>
      <c r="AZ117" s="1077"/>
      <c r="BA117" s="1077"/>
      <c r="BB117" s="1077"/>
      <c r="BC117" s="1077"/>
      <c r="BD117" s="1077"/>
      <c r="BE117" s="1077"/>
      <c r="BF117" s="1077"/>
      <c r="BG117" s="1077"/>
      <c r="BH117" s="1077"/>
      <c r="BI117" s="1077"/>
      <c r="BJ117" s="1077"/>
      <c r="BK117" s="1077"/>
      <c r="BL117" s="1077"/>
      <c r="BM117" s="1077"/>
      <c r="BN117" s="1077"/>
      <c r="BO117" s="1077"/>
      <c r="BP117" s="1077"/>
      <c r="BQ117" s="1077"/>
      <c r="BR117" s="1077"/>
      <c r="BS117" s="1077"/>
      <c r="BT117" s="1077"/>
      <c r="BU117" s="1077"/>
    </row>
    <row r="118" spans="1:73" x14ac:dyDescent="0.2">
      <c r="A118" s="1077"/>
      <c r="B118" s="1079"/>
      <c r="C118" s="1101"/>
      <c r="D118" s="1081"/>
      <c r="E118" s="1094"/>
      <c r="F118" s="1094"/>
      <c r="G118" s="1094"/>
      <c r="H118" s="1094">
        <f t="shared" ref="H118:S118" ca="1" si="51">OFFSET(H$76,MATCH($C117,$N$101:$N$107,0)*3,0)</f>
        <v>0.14942045524399045</v>
      </c>
      <c r="I118" s="1094">
        <f t="shared" ca="1" si="51"/>
        <v>2.0985595575770056E-2</v>
      </c>
      <c r="J118" s="1094">
        <f t="shared" ca="1" si="51"/>
        <v>2.9425216941246661E-2</v>
      </c>
      <c r="K118" s="1094">
        <f t="shared" ca="1" si="51"/>
        <v>5.4915061535724839E-3</v>
      </c>
      <c r="L118" s="1094">
        <f t="shared" ca="1" si="51"/>
        <v>1.6201557621688327E-3</v>
      </c>
      <c r="M118" s="1094">
        <f t="shared" ca="1" si="51"/>
        <v>0.25862031433665061</v>
      </c>
      <c r="N118" s="1094">
        <f t="shared" ca="1" si="51"/>
        <v>1.4402205295186363</v>
      </c>
      <c r="O118" s="1094">
        <f t="shared" ca="1" si="51"/>
        <v>0.21197338494250778</v>
      </c>
      <c r="P118" s="1094">
        <f t="shared" ca="1" si="51"/>
        <v>0.24553111712834094</v>
      </c>
      <c r="Q118" s="1094">
        <f t="shared" ca="1" si="51"/>
        <v>9.8159081625125419E-2</v>
      </c>
      <c r="R118" s="1094">
        <f t="shared" ca="1" si="51"/>
        <v>1.6765372940094808E-2</v>
      </c>
      <c r="S118" s="1094">
        <f t="shared" ca="1" si="51"/>
        <v>4.4095299004201019E-3</v>
      </c>
      <c r="T118" s="1077"/>
      <c r="U118" s="1077"/>
      <c r="V118" s="1077"/>
      <c r="W118" s="1077"/>
      <c r="X118" s="1077"/>
      <c r="Y118" s="1077"/>
      <c r="Z118" s="1077"/>
      <c r="AA118" s="1077"/>
      <c r="AB118" s="1077"/>
      <c r="AC118" s="1077"/>
      <c r="AD118" s="1077"/>
      <c r="AE118" s="1077"/>
      <c r="AF118" s="1077"/>
      <c r="AG118" s="1077"/>
      <c r="AH118" s="1077"/>
      <c r="AI118" s="1077"/>
      <c r="AJ118" s="1077"/>
      <c r="AK118" s="1077"/>
      <c r="AL118" s="1077"/>
      <c r="AM118" s="1077"/>
      <c r="AN118" s="1077"/>
      <c r="AO118" s="1077"/>
      <c r="AP118" s="1077"/>
      <c r="AQ118" s="1077"/>
      <c r="AR118" s="1077"/>
      <c r="AS118" s="1077"/>
      <c r="AT118" s="1077"/>
      <c r="AU118" s="1077"/>
      <c r="AV118" s="1077"/>
      <c r="AW118" s="1077"/>
      <c r="AX118" s="1077"/>
      <c r="AY118" s="1077"/>
      <c r="AZ118" s="1077"/>
      <c r="BA118" s="1077"/>
      <c r="BB118" s="1077"/>
      <c r="BC118" s="1077"/>
      <c r="BD118" s="1077"/>
      <c r="BE118" s="1077"/>
      <c r="BF118" s="1077"/>
      <c r="BG118" s="1077"/>
      <c r="BH118" s="1077"/>
      <c r="BI118" s="1077"/>
      <c r="BJ118" s="1077"/>
      <c r="BK118" s="1077"/>
      <c r="BL118" s="1077"/>
      <c r="BM118" s="1077"/>
      <c r="BN118" s="1077"/>
      <c r="BO118" s="1077"/>
      <c r="BP118" s="1077"/>
      <c r="BQ118" s="1077"/>
      <c r="BR118" s="1077"/>
      <c r="BS118" s="1077"/>
      <c r="BT118" s="1077"/>
      <c r="BU118" s="1077"/>
    </row>
    <row r="119" spans="1:73" x14ac:dyDescent="0.2">
      <c r="A119" s="1077"/>
      <c r="B119" s="1079"/>
      <c r="C119" s="1101"/>
      <c r="D119" s="1081"/>
      <c r="E119" s="1094"/>
      <c r="F119" s="1094"/>
      <c r="G119" s="1094"/>
      <c r="H119" s="1094"/>
      <c r="I119" s="1094"/>
      <c r="J119" s="1094"/>
      <c r="K119" s="1094"/>
      <c r="L119" s="1094"/>
      <c r="M119" s="1094"/>
      <c r="N119" s="1094"/>
      <c r="O119" s="1094"/>
      <c r="P119" s="1094"/>
      <c r="Q119" s="1094"/>
      <c r="R119" s="1094"/>
      <c r="S119" s="1094"/>
      <c r="T119" s="1077"/>
      <c r="U119" s="1077"/>
      <c r="V119" s="1077"/>
      <c r="W119" s="1077"/>
      <c r="X119" s="1077"/>
      <c r="Y119" s="1077"/>
      <c r="Z119" s="1077"/>
      <c r="AA119" s="1077"/>
      <c r="AB119" s="1077"/>
      <c r="AC119" s="1077"/>
      <c r="AD119" s="1077"/>
      <c r="AE119" s="1077"/>
      <c r="AF119" s="1077"/>
      <c r="AG119" s="1077"/>
      <c r="AH119" s="1077"/>
      <c r="AI119" s="1077"/>
      <c r="AJ119" s="1077"/>
      <c r="AK119" s="1077"/>
      <c r="AL119" s="1077"/>
      <c r="AM119" s="1077"/>
      <c r="AN119" s="1077"/>
      <c r="AO119" s="1077"/>
      <c r="AP119" s="1077"/>
      <c r="AQ119" s="1077"/>
      <c r="AR119" s="1077"/>
      <c r="AS119" s="1077"/>
      <c r="AT119" s="1077"/>
      <c r="AU119" s="1077"/>
      <c r="AV119" s="1077"/>
      <c r="AW119" s="1077"/>
      <c r="AX119" s="1077"/>
      <c r="AY119" s="1077"/>
      <c r="AZ119" s="1077"/>
      <c r="BA119" s="1077"/>
      <c r="BB119" s="1077"/>
      <c r="BC119" s="1077"/>
      <c r="BD119" s="1077"/>
      <c r="BE119" s="1077"/>
      <c r="BF119" s="1077"/>
      <c r="BG119" s="1077"/>
      <c r="BH119" s="1077"/>
      <c r="BI119" s="1077"/>
      <c r="BJ119" s="1077"/>
      <c r="BK119" s="1077"/>
      <c r="BL119" s="1077"/>
      <c r="BM119" s="1077"/>
      <c r="BN119" s="1077"/>
      <c r="BO119" s="1077"/>
      <c r="BP119" s="1077"/>
      <c r="BQ119" s="1077"/>
      <c r="BR119" s="1077"/>
      <c r="BS119" s="1077"/>
      <c r="BT119" s="1077"/>
      <c r="BU119" s="1077"/>
    </row>
    <row r="120" spans="1:73" x14ac:dyDescent="0.2">
      <c r="A120" s="1077"/>
      <c r="B120" s="1077"/>
      <c r="C120" s="1101">
        <v>2</v>
      </c>
      <c r="D120" s="1081" t="str">
        <f t="shared" ref="D120:G120" ca="1" si="52">OFFSET(D$76,MATCH($C120,$N$101:$N$107,0)*3-2,0)</f>
        <v>Operating Capacity Factor = 94.5%</v>
      </c>
      <c r="E120" s="1094">
        <f t="shared" ca="1" si="52"/>
        <v>2.3717195249913128</v>
      </c>
      <c r="F120" s="1094">
        <f t="shared" ca="1" si="52"/>
        <v>0</v>
      </c>
      <c r="G120" s="1094">
        <f t="shared" ca="1" si="52"/>
        <v>1.563645238373711E-3</v>
      </c>
      <c r="H120" s="1094"/>
      <c r="I120" s="1094"/>
      <c r="J120" s="1094"/>
      <c r="K120" s="1094"/>
      <c r="L120" s="1094"/>
      <c r="M120" s="1094"/>
      <c r="N120" s="1094"/>
      <c r="O120" s="1094"/>
      <c r="P120" s="1094"/>
      <c r="Q120" s="1094"/>
      <c r="R120" s="1094"/>
      <c r="S120" s="1094"/>
      <c r="T120" s="1077"/>
      <c r="U120" s="1077"/>
      <c r="V120" s="1077"/>
      <c r="W120" s="1077"/>
      <c r="X120" s="1077"/>
      <c r="Y120" s="1077"/>
      <c r="Z120" s="1077"/>
      <c r="AA120" s="1077"/>
      <c r="AB120" s="1077"/>
      <c r="AC120" s="1077"/>
      <c r="AD120" s="1077"/>
      <c r="AE120" s="1077"/>
      <c r="AF120" s="1077"/>
      <c r="AG120" s="1077"/>
      <c r="AH120" s="1077"/>
      <c r="AI120" s="1077"/>
      <c r="AJ120" s="1077"/>
      <c r="AK120" s="1077"/>
      <c r="AL120" s="1077"/>
      <c r="AM120" s="1077"/>
      <c r="AN120" s="1077"/>
      <c r="AO120" s="1077"/>
      <c r="AP120" s="1077"/>
      <c r="AQ120" s="1077"/>
      <c r="AR120" s="1077"/>
      <c r="AS120" s="1077"/>
      <c r="AT120" s="1077"/>
      <c r="AU120" s="1077"/>
      <c r="AV120" s="1077"/>
      <c r="AW120" s="1077"/>
      <c r="AX120" s="1077"/>
      <c r="AY120" s="1077"/>
      <c r="AZ120" s="1077"/>
      <c r="BA120" s="1077"/>
      <c r="BB120" s="1077"/>
      <c r="BC120" s="1077"/>
      <c r="BD120" s="1077"/>
      <c r="BE120" s="1077"/>
      <c r="BF120" s="1077"/>
      <c r="BG120" s="1077"/>
      <c r="BH120" s="1077"/>
      <c r="BI120" s="1077"/>
      <c r="BJ120" s="1077"/>
      <c r="BK120" s="1077"/>
      <c r="BL120" s="1077"/>
      <c r="BM120" s="1077"/>
      <c r="BN120" s="1077"/>
      <c r="BO120" s="1077"/>
      <c r="BP120" s="1077"/>
      <c r="BQ120" s="1077"/>
      <c r="BR120" s="1077"/>
      <c r="BS120" s="1077"/>
      <c r="BT120" s="1077"/>
      <c r="BU120" s="1077"/>
    </row>
    <row r="121" spans="1:73" x14ac:dyDescent="0.2">
      <c r="A121" s="1077"/>
      <c r="B121" s="1077"/>
      <c r="C121" s="1101"/>
      <c r="D121" s="1081"/>
      <c r="E121" s="1094"/>
      <c r="F121" s="1094"/>
      <c r="G121" s="1094"/>
      <c r="H121" s="1094">
        <f t="shared" ref="H121:S121" ca="1" si="53">OFFSET(H$76,MATCH($C120,$N$101:$N$107,0)*3-2,0)</f>
        <v>0.14230519547046708</v>
      </c>
      <c r="I121" s="1094">
        <f t="shared" ca="1" si="53"/>
        <v>1.998628150073338E-2</v>
      </c>
      <c r="J121" s="1094">
        <f t="shared" ca="1" si="53"/>
        <v>2.8142974902194199E-2</v>
      </c>
      <c r="K121" s="1094">
        <f t="shared" ca="1" si="53"/>
        <v>5.2300058605452221E-3</v>
      </c>
      <c r="L121" s="1094">
        <f t="shared" ca="1" si="53"/>
        <v>1.5430054877798405E-3</v>
      </c>
      <c r="M121" s="1094">
        <f t="shared" ca="1" si="53"/>
        <v>0.24630506127300053</v>
      </c>
      <c r="N121" s="1094">
        <f t="shared" ca="1" si="53"/>
        <v>1.3716385995415585</v>
      </c>
      <c r="O121" s="1094">
        <f t="shared" ca="1" si="53"/>
        <v>0.20187941423095973</v>
      </c>
      <c r="P121" s="1094">
        <f t="shared" ca="1" si="53"/>
        <v>0.24255998469951776</v>
      </c>
      <c r="Q121" s="1094">
        <f t="shared" ca="1" si="53"/>
        <v>9.3484839642976575E-2</v>
      </c>
      <c r="R121" s="1094">
        <f t="shared" ca="1" si="53"/>
        <v>1.6008255333838126E-2</v>
      </c>
      <c r="S121" s="1094">
        <f t="shared" ca="1" si="53"/>
        <v>4.1995522861143818E-3</v>
      </c>
      <c r="T121" s="1077"/>
      <c r="U121" s="1077"/>
      <c r="V121" s="1077"/>
      <c r="W121" s="1077"/>
      <c r="X121" s="1077"/>
      <c r="Y121" s="1077"/>
      <c r="Z121" s="1077"/>
      <c r="AA121" s="1077"/>
      <c r="AB121" s="1077"/>
      <c r="AC121" s="1077"/>
      <c r="AD121" s="1077"/>
      <c r="AE121" s="1077"/>
      <c r="AF121" s="1077"/>
      <c r="AG121" s="1077"/>
      <c r="AH121" s="1077"/>
      <c r="AI121" s="1077"/>
      <c r="AJ121" s="1077"/>
      <c r="AK121" s="1077"/>
      <c r="AL121" s="1077"/>
      <c r="AM121" s="1077"/>
      <c r="AN121" s="1077"/>
      <c r="AO121" s="1077"/>
      <c r="AP121" s="1077"/>
      <c r="AQ121" s="1077"/>
      <c r="AR121" s="1077"/>
      <c r="AS121" s="1077"/>
      <c r="AT121" s="1077"/>
      <c r="AU121" s="1077"/>
      <c r="AV121" s="1077"/>
      <c r="AW121" s="1077"/>
      <c r="AX121" s="1077"/>
      <c r="AY121" s="1077"/>
      <c r="AZ121" s="1077"/>
      <c r="BA121" s="1077"/>
      <c r="BB121" s="1077"/>
      <c r="BC121" s="1077"/>
      <c r="BD121" s="1077"/>
      <c r="BE121" s="1077"/>
      <c r="BF121" s="1077"/>
      <c r="BG121" s="1077"/>
      <c r="BH121" s="1077"/>
      <c r="BI121" s="1077"/>
      <c r="BJ121" s="1077"/>
      <c r="BK121" s="1077"/>
      <c r="BL121" s="1077"/>
      <c r="BM121" s="1077"/>
      <c r="BN121" s="1077"/>
      <c r="BO121" s="1077"/>
      <c r="BP121" s="1077"/>
      <c r="BQ121" s="1077"/>
      <c r="BR121" s="1077"/>
      <c r="BS121" s="1077"/>
      <c r="BT121" s="1077"/>
      <c r="BU121" s="1077"/>
    </row>
    <row r="122" spans="1:73" x14ac:dyDescent="0.2">
      <c r="A122" s="1077"/>
      <c r="B122" s="1077"/>
      <c r="C122" s="1101">
        <v>2</v>
      </c>
      <c r="D122" s="1081" t="str">
        <f t="shared" ref="D122:G122" ca="1" si="54">OFFSET(D$76,MATCH($C122,$N$101:$N$107,0)*3,0)</f>
        <v>Operating Capacity Factor = 85.5%</v>
      </c>
      <c r="E122" s="1094">
        <f t="shared" ca="1" si="54"/>
        <v>2.4547063049594002</v>
      </c>
      <c r="F122" s="1094">
        <f t="shared" ca="1" si="54"/>
        <v>0</v>
      </c>
      <c r="G122" s="1094">
        <f t="shared" ca="1" si="54"/>
        <v>1.7282394739919966E-3</v>
      </c>
      <c r="H122" s="1094"/>
      <c r="I122" s="1094"/>
      <c r="J122" s="1094"/>
      <c r="K122" s="1094"/>
      <c r="L122" s="1094"/>
      <c r="M122" s="1094"/>
      <c r="N122" s="1094"/>
      <c r="O122" s="1094"/>
      <c r="P122" s="1094"/>
      <c r="Q122" s="1094"/>
      <c r="R122" s="1094"/>
      <c r="S122" s="1094"/>
      <c r="T122" s="1077"/>
      <c r="U122" s="1077"/>
      <c r="V122" s="1077"/>
      <c r="W122" s="1077"/>
      <c r="X122" s="1077"/>
      <c r="Y122" s="1077"/>
      <c r="Z122" s="1077"/>
      <c r="AA122" s="1077"/>
      <c r="AB122" s="1077"/>
      <c r="AC122" s="1077"/>
      <c r="AD122" s="1077"/>
      <c r="AE122" s="1077"/>
      <c r="AF122" s="1077"/>
      <c r="AG122" s="1077"/>
      <c r="AH122" s="1077"/>
      <c r="AI122" s="1077"/>
      <c r="AJ122" s="1077"/>
      <c r="AK122" s="1077"/>
      <c r="AL122" s="1077"/>
      <c r="AM122" s="1077"/>
      <c r="AN122" s="1077"/>
      <c r="AO122" s="1077"/>
      <c r="AP122" s="1077"/>
      <c r="AQ122" s="1077"/>
      <c r="AR122" s="1077"/>
      <c r="AS122" s="1077"/>
      <c r="AT122" s="1077"/>
      <c r="AU122" s="1077"/>
      <c r="AV122" s="1077"/>
      <c r="AW122" s="1077"/>
      <c r="AX122" s="1077"/>
      <c r="AY122" s="1077"/>
      <c r="AZ122" s="1077"/>
      <c r="BA122" s="1077"/>
      <c r="BB122" s="1077"/>
      <c r="BC122" s="1077"/>
      <c r="BD122" s="1077"/>
      <c r="BE122" s="1077"/>
      <c r="BF122" s="1077"/>
      <c r="BG122" s="1077"/>
      <c r="BH122" s="1077"/>
      <c r="BI122" s="1077"/>
      <c r="BJ122" s="1077"/>
      <c r="BK122" s="1077"/>
      <c r="BL122" s="1077"/>
      <c r="BM122" s="1077"/>
      <c r="BN122" s="1077"/>
      <c r="BO122" s="1077"/>
      <c r="BP122" s="1077"/>
      <c r="BQ122" s="1077"/>
      <c r="BR122" s="1077"/>
      <c r="BS122" s="1077"/>
      <c r="BT122" s="1077"/>
      <c r="BU122" s="1077"/>
    </row>
    <row r="123" spans="1:73" x14ac:dyDescent="0.2">
      <c r="A123" s="1077"/>
      <c r="B123" s="1077"/>
      <c r="C123" s="1101"/>
      <c r="D123" s="1081"/>
      <c r="E123" s="1094"/>
      <c r="F123" s="1094"/>
      <c r="G123" s="1094"/>
      <c r="H123" s="1094">
        <f t="shared" ref="H123:S123" ca="1" si="55">OFFSET(H$76,MATCH($C122,$N$101:$N$107,0)*3,0)</f>
        <v>0.15728468973051624</v>
      </c>
      <c r="I123" s="1094">
        <f t="shared" ca="1" si="55"/>
        <v>2.2090100606073741E-2</v>
      </c>
      <c r="J123" s="1094">
        <f t="shared" ca="1" si="55"/>
        <v>2.8872185650515511E-2</v>
      </c>
      <c r="K123" s="1094">
        <f t="shared" ca="1" si="55"/>
        <v>5.7805327932341942E-3</v>
      </c>
      <c r="L123" s="1094">
        <f t="shared" ca="1" si="55"/>
        <v>1.7054271180724553E-3</v>
      </c>
      <c r="M123" s="1094">
        <f t="shared" ca="1" si="55"/>
        <v>0.27223190982805323</v>
      </c>
      <c r="N123" s="1094">
        <f t="shared" ca="1" si="55"/>
        <v>1.3716385995415592</v>
      </c>
      <c r="O123" s="1094">
        <f t="shared" ca="1" si="55"/>
        <v>0.22312987888685026</v>
      </c>
      <c r="P123" s="1094">
        <f t="shared" ca="1" si="55"/>
        <v>0.2488150003391455</v>
      </c>
      <c r="Q123" s="1094">
        <f t="shared" ca="1" si="55"/>
        <v>0.10332534907907938</v>
      </c>
      <c r="R123" s="1094">
        <f t="shared" ca="1" si="55"/>
        <v>1.691926043879716E-2</v>
      </c>
      <c r="S123" s="1094">
        <f t="shared" ca="1" si="55"/>
        <v>4.6416104214948434E-3</v>
      </c>
      <c r="T123" s="1077"/>
      <c r="U123" s="1077"/>
      <c r="V123" s="1077"/>
      <c r="W123" s="1077"/>
      <c r="X123" s="1077"/>
      <c r="Y123" s="1077"/>
      <c r="Z123" s="1077"/>
      <c r="AA123" s="1077"/>
      <c r="AB123" s="1077"/>
      <c r="AC123" s="1077"/>
      <c r="AD123" s="1077"/>
      <c r="AE123" s="1077"/>
      <c r="AF123" s="1077"/>
      <c r="AG123" s="1077"/>
      <c r="AH123" s="1077"/>
      <c r="AI123" s="1077"/>
      <c r="AJ123" s="1077"/>
      <c r="AK123" s="1077"/>
      <c r="AL123" s="1077"/>
      <c r="AM123" s="1077"/>
      <c r="AN123" s="1077"/>
      <c r="AO123" s="1077"/>
      <c r="AP123" s="1077"/>
      <c r="AQ123" s="1077"/>
      <c r="AR123" s="1077"/>
      <c r="AS123" s="1077"/>
      <c r="AT123" s="1077"/>
      <c r="AU123" s="1077"/>
      <c r="AV123" s="1077"/>
      <c r="AW123" s="1077"/>
      <c r="AX123" s="1077"/>
      <c r="AY123" s="1077"/>
      <c r="AZ123" s="1077"/>
      <c r="BA123" s="1077"/>
      <c r="BB123" s="1077"/>
      <c r="BC123" s="1077"/>
      <c r="BD123" s="1077"/>
      <c r="BE123" s="1077"/>
      <c r="BF123" s="1077"/>
      <c r="BG123" s="1077"/>
      <c r="BH123" s="1077"/>
      <c r="BI123" s="1077"/>
      <c r="BJ123" s="1077"/>
      <c r="BK123" s="1077"/>
      <c r="BL123" s="1077"/>
      <c r="BM123" s="1077"/>
      <c r="BN123" s="1077"/>
      <c r="BO123" s="1077"/>
      <c r="BP123" s="1077"/>
      <c r="BQ123" s="1077"/>
      <c r="BR123" s="1077"/>
      <c r="BS123" s="1077"/>
      <c r="BT123" s="1077"/>
      <c r="BU123" s="1077"/>
    </row>
    <row r="124" spans="1:73" x14ac:dyDescent="0.2">
      <c r="A124" s="1077"/>
      <c r="B124" s="1077"/>
      <c r="C124" s="1101"/>
      <c r="D124" s="1081"/>
      <c r="E124" s="1094"/>
      <c r="F124" s="1094"/>
      <c r="G124" s="1094"/>
      <c r="H124" s="1094"/>
      <c r="I124" s="1094"/>
      <c r="J124" s="1094"/>
      <c r="K124" s="1094"/>
      <c r="L124" s="1094"/>
      <c r="M124" s="1094"/>
      <c r="N124" s="1094"/>
      <c r="O124" s="1094"/>
      <c r="P124" s="1094"/>
      <c r="Q124" s="1094"/>
      <c r="R124" s="1094"/>
      <c r="S124" s="1094"/>
      <c r="T124" s="1077"/>
      <c r="U124" s="1077"/>
      <c r="V124" s="1077"/>
      <c r="W124" s="1077"/>
      <c r="X124" s="1077"/>
      <c r="Y124" s="1077"/>
      <c r="Z124" s="1077"/>
      <c r="AA124" s="1077"/>
      <c r="AB124" s="1077"/>
      <c r="AC124" s="1077"/>
      <c r="AD124" s="1077"/>
      <c r="AE124" s="1077"/>
      <c r="AF124" s="1077"/>
      <c r="AG124" s="1077"/>
      <c r="AH124" s="1077"/>
      <c r="AI124" s="1077"/>
      <c r="AJ124" s="1077"/>
      <c r="AK124" s="1077"/>
      <c r="AL124" s="1077"/>
      <c r="AM124" s="1077"/>
      <c r="AN124" s="1077"/>
      <c r="AO124" s="1077"/>
      <c r="AP124" s="1077"/>
      <c r="AQ124" s="1077"/>
      <c r="AR124" s="1077"/>
      <c r="AS124" s="1077"/>
      <c r="AT124" s="1077"/>
      <c r="AU124" s="1077"/>
      <c r="AV124" s="1077"/>
      <c r="AW124" s="1077"/>
      <c r="AX124" s="1077"/>
      <c r="AY124" s="1077"/>
      <c r="AZ124" s="1077"/>
      <c r="BA124" s="1077"/>
      <c r="BB124" s="1077"/>
      <c r="BC124" s="1077"/>
      <c r="BD124" s="1077"/>
      <c r="BE124" s="1077"/>
      <c r="BF124" s="1077"/>
      <c r="BG124" s="1077"/>
      <c r="BH124" s="1077"/>
      <c r="BI124" s="1077"/>
      <c r="BJ124" s="1077"/>
      <c r="BK124" s="1077"/>
      <c r="BL124" s="1077"/>
      <c r="BM124" s="1077"/>
      <c r="BN124" s="1077"/>
      <c r="BO124" s="1077"/>
      <c r="BP124" s="1077"/>
      <c r="BQ124" s="1077"/>
      <c r="BR124" s="1077"/>
      <c r="BS124" s="1077"/>
      <c r="BT124" s="1077"/>
      <c r="BU124" s="1077"/>
    </row>
    <row r="125" spans="1:73" x14ac:dyDescent="0.2">
      <c r="A125" s="1077"/>
      <c r="B125" s="1077"/>
      <c r="C125" s="1101">
        <v>3</v>
      </c>
      <c r="D125" s="1081" t="str">
        <f t="shared" ref="D125:G125" ca="1" si="56">OFFSET(D$76,MATCH($C125,$N$101:$N$107,0)*3-2,0)</f>
        <v>Total Capital Investment = $198,051K</v>
      </c>
      <c r="E125" s="1094">
        <f t="shared" ca="1" si="56"/>
        <v>2.3939870404855514</v>
      </c>
      <c r="F125" s="1094">
        <f t="shared" ca="1" si="56"/>
        <v>0</v>
      </c>
      <c r="G125" s="1094">
        <f t="shared" ca="1" si="56"/>
        <v>1.5597361252777768E-3</v>
      </c>
      <c r="H125" s="1094"/>
      <c r="I125" s="1094"/>
      <c r="J125" s="1094"/>
      <c r="K125" s="1094"/>
      <c r="L125" s="1094"/>
      <c r="M125" s="1094"/>
      <c r="N125" s="1094"/>
      <c r="O125" s="1094"/>
      <c r="P125" s="1094"/>
      <c r="Q125" s="1094"/>
      <c r="R125" s="1094"/>
      <c r="S125" s="1094"/>
      <c r="T125" s="1077"/>
      <c r="U125" s="1077"/>
      <c r="V125" s="1077"/>
      <c r="W125" s="1077"/>
      <c r="X125" s="1077"/>
      <c r="Y125" s="1077"/>
      <c r="Z125" s="1077"/>
      <c r="AA125" s="1077"/>
      <c r="AB125" s="1077"/>
      <c r="AC125" s="1077"/>
      <c r="AD125" s="1077"/>
      <c r="AE125" s="1077"/>
      <c r="AF125" s="1077"/>
      <c r="AG125" s="1077"/>
      <c r="AH125" s="1077"/>
      <c r="AI125" s="1077"/>
      <c r="AJ125" s="1077"/>
      <c r="AK125" s="1077"/>
      <c r="AL125" s="1077"/>
      <c r="AM125" s="1077"/>
      <c r="AN125" s="1077"/>
      <c r="AO125" s="1077"/>
      <c r="AP125" s="1077"/>
      <c r="AQ125" s="1077"/>
      <c r="AR125" s="1077"/>
      <c r="AS125" s="1077"/>
      <c r="AT125" s="1077"/>
      <c r="AU125" s="1077"/>
      <c r="AV125" s="1077"/>
      <c r="AW125" s="1077"/>
      <c r="AX125" s="1077"/>
      <c r="AY125" s="1077"/>
      <c r="AZ125" s="1077"/>
      <c r="BA125" s="1077"/>
      <c r="BB125" s="1077"/>
      <c r="BC125" s="1077"/>
      <c r="BD125" s="1077"/>
      <c r="BE125" s="1077"/>
      <c r="BF125" s="1077"/>
      <c r="BG125" s="1077"/>
      <c r="BH125" s="1077"/>
      <c r="BI125" s="1077"/>
      <c r="BJ125" s="1077"/>
      <c r="BK125" s="1077"/>
      <c r="BL125" s="1077"/>
      <c r="BM125" s="1077"/>
      <c r="BN125" s="1077"/>
      <c r="BO125" s="1077"/>
      <c r="BP125" s="1077"/>
      <c r="BQ125" s="1077"/>
      <c r="BR125" s="1077"/>
      <c r="BS125" s="1077"/>
      <c r="BT125" s="1077"/>
      <c r="BU125" s="1077"/>
    </row>
    <row r="126" spans="1:73" x14ac:dyDescent="0.2">
      <c r="A126" s="1077"/>
      <c r="B126" s="1077"/>
      <c r="C126" s="1101"/>
      <c r="D126" s="1081"/>
      <c r="E126" s="1094"/>
      <c r="F126" s="1094"/>
      <c r="G126" s="1094"/>
      <c r="H126" s="1094">
        <f t="shared" ref="H126:S126" ca="1" si="57">OFFSET(H$76,MATCH($C125,$N$101:$N$107,0)*3-2,0)</f>
        <v>0.14184949761589821</v>
      </c>
      <c r="I126" s="1094">
        <f t="shared" ca="1" si="57"/>
        <v>2.0985595575770056E-2</v>
      </c>
      <c r="J126" s="1094">
        <f t="shared" ca="1" si="57"/>
        <v>2.8431301887573927E-2</v>
      </c>
      <c r="K126" s="1094">
        <f t="shared" ca="1" si="57"/>
        <v>5.4915061535724839E-3</v>
      </c>
      <c r="L126" s="1094">
        <f t="shared" ca="1" si="57"/>
        <v>1.5380643871542128E-3</v>
      </c>
      <c r="M126" s="1094">
        <f t="shared" ca="1" si="57"/>
        <v>0.25436705317116975</v>
      </c>
      <c r="N126" s="1094">
        <f t="shared" ca="1" si="57"/>
        <v>1.3716385995415594</v>
      </c>
      <c r="O126" s="1094">
        <f t="shared" ca="1" si="57"/>
        <v>0.21197338494250778</v>
      </c>
      <c r="P126" s="1094">
        <f t="shared" ca="1" si="57"/>
        <v>0.24553111712834094</v>
      </c>
      <c r="Q126" s="1094">
        <f t="shared" ca="1" si="57"/>
        <v>9.3185477130461339E-2</v>
      </c>
      <c r="R126" s="1094">
        <f t="shared" ca="1" si="57"/>
        <v>1.6369074837774656E-2</v>
      </c>
      <c r="S126" s="1094">
        <f t="shared" ca="1" si="57"/>
        <v>4.1861042390448086E-3</v>
      </c>
      <c r="T126" s="1077"/>
      <c r="U126" s="1077"/>
      <c r="V126" s="1077"/>
      <c r="W126" s="1077"/>
      <c r="X126" s="1077"/>
      <c r="Y126" s="1077"/>
      <c r="Z126" s="1077"/>
      <c r="AA126" s="1077"/>
      <c r="AB126" s="1077"/>
      <c r="AC126" s="1077"/>
      <c r="AD126" s="1077"/>
      <c r="AE126" s="1077"/>
      <c r="AF126" s="1077"/>
      <c r="AG126" s="1077"/>
      <c r="AH126" s="1077"/>
      <c r="AI126" s="1077"/>
      <c r="AJ126" s="1077"/>
      <c r="AK126" s="1077"/>
      <c r="AL126" s="1077"/>
      <c r="AM126" s="1077"/>
      <c r="AN126" s="1077"/>
      <c r="AO126" s="1077"/>
      <c r="AP126" s="1077"/>
      <c r="AQ126" s="1077"/>
      <c r="AR126" s="1077"/>
      <c r="AS126" s="1077"/>
      <c r="AT126" s="1077"/>
      <c r="AU126" s="1077"/>
      <c r="AV126" s="1077"/>
      <c r="AW126" s="1077"/>
      <c r="AX126" s="1077"/>
      <c r="AY126" s="1077"/>
      <c r="AZ126" s="1077"/>
      <c r="BA126" s="1077"/>
      <c r="BB126" s="1077"/>
      <c r="BC126" s="1077"/>
      <c r="BD126" s="1077"/>
      <c r="BE126" s="1077"/>
      <c r="BF126" s="1077"/>
      <c r="BG126" s="1077"/>
      <c r="BH126" s="1077"/>
      <c r="BI126" s="1077"/>
      <c r="BJ126" s="1077"/>
      <c r="BK126" s="1077"/>
      <c r="BL126" s="1077"/>
      <c r="BM126" s="1077"/>
      <c r="BN126" s="1077"/>
      <c r="BO126" s="1077"/>
      <c r="BP126" s="1077"/>
      <c r="BQ126" s="1077"/>
      <c r="BR126" s="1077"/>
      <c r="BS126" s="1077"/>
      <c r="BT126" s="1077"/>
      <c r="BU126" s="1077"/>
    </row>
    <row r="127" spans="1:73" x14ac:dyDescent="0.2">
      <c r="A127" s="1077"/>
      <c r="B127" s="1077"/>
      <c r="C127" s="1101">
        <v>3</v>
      </c>
      <c r="D127" s="1081" t="str">
        <f t="shared" ref="D127:G127" ca="1" si="58">OFFSET(D$76,MATCH($C127,$N$101:$N$107,0)*3,0)</f>
        <v>Total Capital Investment = $218,898K</v>
      </c>
      <c r="E127" s="1094">
        <f t="shared" ca="1" si="58"/>
        <v>2.4282894504667607</v>
      </c>
      <c r="F127" s="1094">
        <f t="shared" ca="1" si="58"/>
        <v>0</v>
      </c>
      <c r="G127" s="1094">
        <f t="shared" ca="1" si="58"/>
        <v>1.723918875307017E-3</v>
      </c>
      <c r="H127" s="1094"/>
      <c r="I127" s="1094"/>
      <c r="J127" s="1094"/>
      <c r="K127" s="1094"/>
      <c r="L127" s="1094"/>
      <c r="M127" s="1094"/>
      <c r="N127" s="1094"/>
      <c r="O127" s="1094"/>
      <c r="P127" s="1094"/>
      <c r="Q127" s="1094"/>
      <c r="R127" s="1094"/>
      <c r="S127" s="1094"/>
      <c r="T127" s="1077"/>
      <c r="U127" s="1077"/>
      <c r="V127" s="1077"/>
      <c r="W127" s="1077"/>
      <c r="X127" s="1077"/>
      <c r="Y127" s="1077"/>
      <c r="Z127" s="1077"/>
      <c r="AA127" s="1077"/>
      <c r="AB127" s="1077"/>
      <c r="AC127" s="1077"/>
      <c r="AD127" s="1077"/>
      <c r="AE127" s="1077"/>
      <c r="AF127" s="1077"/>
      <c r="AG127" s="1077"/>
      <c r="AH127" s="1077"/>
      <c r="AI127" s="1077"/>
      <c r="AJ127" s="1077"/>
      <c r="AK127" s="1077"/>
      <c r="AL127" s="1077"/>
      <c r="AM127" s="1077"/>
      <c r="AN127" s="1077"/>
      <c r="AO127" s="1077"/>
      <c r="AP127" s="1077"/>
      <c r="AQ127" s="1077"/>
      <c r="AR127" s="1077"/>
      <c r="AS127" s="1077"/>
      <c r="AT127" s="1077"/>
      <c r="AU127" s="1077"/>
      <c r="AV127" s="1077"/>
      <c r="AW127" s="1077"/>
      <c r="AX127" s="1077"/>
      <c r="AY127" s="1077"/>
      <c r="AZ127" s="1077"/>
      <c r="BA127" s="1077"/>
      <c r="BB127" s="1077"/>
      <c r="BC127" s="1077"/>
      <c r="BD127" s="1077"/>
      <c r="BE127" s="1077"/>
      <c r="BF127" s="1077"/>
      <c r="BG127" s="1077"/>
      <c r="BH127" s="1077"/>
      <c r="BI127" s="1077"/>
      <c r="BJ127" s="1077"/>
      <c r="BK127" s="1077"/>
      <c r="BL127" s="1077"/>
      <c r="BM127" s="1077"/>
      <c r="BN127" s="1077"/>
      <c r="BO127" s="1077"/>
      <c r="BP127" s="1077"/>
      <c r="BQ127" s="1077"/>
      <c r="BR127" s="1077"/>
      <c r="BS127" s="1077"/>
      <c r="BT127" s="1077"/>
      <c r="BU127" s="1077"/>
    </row>
    <row r="128" spans="1:73" x14ac:dyDescent="0.2">
      <c r="A128" s="1077"/>
      <c r="B128" s="1077"/>
      <c r="C128" s="1101"/>
      <c r="D128" s="1081"/>
      <c r="E128" s="1094"/>
      <c r="F128" s="1094"/>
      <c r="G128" s="1094"/>
      <c r="H128" s="1094">
        <f t="shared" ref="H128:S128" ca="1" si="59">OFFSET(H$76,MATCH($C127,$N$101:$N$107,0)*3,0)</f>
        <v>0.15699141287208263</v>
      </c>
      <c r="I128" s="1094">
        <f t="shared" ca="1" si="59"/>
        <v>2.0985595575770056E-2</v>
      </c>
      <c r="J128" s="1094">
        <f t="shared" ca="1" si="59"/>
        <v>2.8547398127719732E-2</v>
      </c>
      <c r="K128" s="1094">
        <f t="shared" ca="1" si="59"/>
        <v>5.4915061535724839E-3</v>
      </c>
      <c r="L128" s="1094">
        <f t="shared" ca="1" si="59"/>
        <v>1.7022471371834528E-3</v>
      </c>
      <c r="M128" s="1094">
        <f t="shared" ca="1" si="59"/>
        <v>0.26287357550213158</v>
      </c>
      <c r="N128" s="1094">
        <f t="shared" ca="1" si="59"/>
        <v>1.3716385995415594</v>
      </c>
      <c r="O128" s="1094">
        <f t="shared" ca="1" si="59"/>
        <v>0.21197338494250778</v>
      </c>
      <c r="P128" s="1094">
        <f t="shared" ca="1" si="59"/>
        <v>0.24553111712834094</v>
      </c>
      <c r="Q128" s="1094">
        <f t="shared" ca="1" si="59"/>
        <v>0.10313268611978955</v>
      </c>
      <c r="R128" s="1094">
        <f t="shared" ca="1" si="59"/>
        <v>1.6512890679612906E-2</v>
      </c>
      <c r="S128" s="1094">
        <f t="shared" ca="1" si="59"/>
        <v>4.6329555617953986E-3</v>
      </c>
      <c r="T128" s="1077"/>
      <c r="U128" s="1077"/>
      <c r="V128" s="1077"/>
      <c r="W128" s="1077"/>
      <c r="X128" s="1077"/>
      <c r="Y128" s="1077"/>
      <c r="Z128" s="1077"/>
      <c r="AA128" s="1077"/>
      <c r="AB128" s="1077"/>
      <c r="AC128" s="1077"/>
      <c r="AD128" s="1077"/>
      <c r="AE128" s="1077"/>
      <c r="AF128" s="1077"/>
      <c r="AG128" s="1077"/>
      <c r="AH128" s="1077"/>
      <c r="AI128" s="1077"/>
      <c r="AJ128" s="1077"/>
      <c r="AK128" s="1077"/>
      <c r="AL128" s="1077"/>
      <c r="AM128" s="1077"/>
      <c r="AN128" s="1077"/>
      <c r="AO128" s="1077"/>
      <c r="AP128" s="1077"/>
      <c r="AQ128" s="1077"/>
      <c r="AR128" s="1077"/>
      <c r="AS128" s="1077"/>
      <c r="AT128" s="1077"/>
      <c r="AU128" s="1077"/>
      <c r="AV128" s="1077"/>
      <c r="AW128" s="1077"/>
      <c r="AX128" s="1077"/>
      <c r="AY128" s="1077"/>
      <c r="AZ128" s="1077"/>
      <c r="BA128" s="1077"/>
      <c r="BB128" s="1077"/>
      <c r="BC128" s="1077"/>
      <c r="BD128" s="1077"/>
      <c r="BE128" s="1077"/>
      <c r="BF128" s="1077"/>
      <c r="BG128" s="1077"/>
      <c r="BH128" s="1077"/>
      <c r="BI128" s="1077"/>
      <c r="BJ128" s="1077"/>
      <c r="BK128" s="1077"/>
      <c r="BL128" s="1077"/>
      <c r="BM128" s="1077"/>
      <c r="BN128" s="1077"/>
      <c r="BO128" s="1077"/>
      <c r="BP128" s="1077"/>
      <c r="BQ128" s="1077"/>
      <c r="BR128" s="1077"/>
      <c r="BS128" s="1077"/>
      <c r="BT128" s="1077"/>
      <c r="BU128" s="1077"/>
    </row>
    <row r="129" spans="1:73" x14ac:dyDescent="0.2">
      <c r="A129" s="1077"/>
      <c r="B129" s="1077"/>
      <c r="C129" s="1101"/>
      <c r="D129" s="1081"/>
      <c r="E129" s="1094"/>
      <c r="F129" s="1094"/>
      <c r="G129" s="1094"/>
      <c r="H129" s="1094"/>
      <c r="I129" s="1094"/>
      <c r="J129" s="1094"/>
      <c r="K129" s="1094"/>
      <c r="L129" s="1094"/>
      <c r="M129" s="1094"/>
      <c r="N129" s="1094"/>
      <c r="O129" s="1094"/>
      <c r="P129" s="1094"/>
      <c r="Q129" s="1094"/>
      <c r="R129" s="1094"/>
      <c r="S129" s="1094"/>
      <c r="T129" s="1077"/>
      <c r="U129" s="1077"/>
      <c r="V129" s="1077"/>
      <c r="W129" s="1077"/>
      <c r="X129" s="1077"/>
      <c r="Y129" s="1077"/>
      <c r="Z129" s="1077"/>
      <c r="AA129" s="1077"/>
      <c r="AB129" s="1077"/>
      <c r="AC129" s="1077"/>
      <c r="AD129" s="1077"/>
      <c r="AE129" s="1077"/>
      <c r="AF129" s="1077"/>
      <c r="AG129" s="1077"/>
      <c r="AH129" s="1077"/>
      <c r="AI129" s="1077"/>
      <c r="AJ129" s="1077"/>
      <c r="AK129" s="1077"/>
      <c r="AL129" s="1077"/>
      <c r="AM129" s="1077"/>
      <c r="AN129" s="1077"/>
      <c r="AO129" s="1077"/>
      <c r="AP129" s="1077"/>
      <c r="AQ129" s="1077"/>
      <c r="AR129" s="1077"/>
      <c r="AS129" s="1077"/>
      <c r="AT129" s="1077"/>
      <c r="AU129" s="1077"/>
      <c r="AV129" s="1077"/>
      <c r="AW129" s="1077"/>
      <c r="AX129" s="1077"/>
      <c r="AY129" s="1077"/>
      <c r="AZ129" s="1077"/>
      <c r="BA129" s="1077"/>
      <c r="BB129" s="1077"/>
      <c r="BC129" s="1077"/>
      <c r="BD129" s="1077"/>
      <c r="BE129" s="1077"/>
      <c r="BF129" s="1077"/>
      <c r="BG129" s="1077"/>
      <c r="BH129" s="1077"/>
      <c r="BI129" s="1077"/>
      <c r="BJ129" s="1077"/>
      <c r="BK129" s="1077"/>
      <c r="BL129" s="1077"/>
      <c r="BM129" s="1077"/>
      <c r="BN129" s="1077"/>
      <c r="BO129" s="1077"/>
      <c r="BP129" s="1077"/>
      <c r="BQ129" s="1077"/>
      <c r="BR129" s="1077"/>
      <c r="BS129" s="1077"/>
      <c r="BT129" s="1077"/>
      <c r="BU129" s="1077"/>
    </row>
    <row r="130" spans="1:73" x14ac:dyDescent="0.2">
      <c r="A130" s="1077"/>
      <c r="B130" s="1077"/>
      <c r="C130" s="1101">
        <v>4</v>
      </c>
      <c r="D130" s="1081" t="str">
        <f t="shared" ref="D130:G130" ca="1" si="60">OFFSET(D$76,MATCH($C130,$N$101:$N$107,0)*3-2,0)</f>
        <v>Total Fixed Operating Cost = $12,043K</v>
      </c>
      <c r="E130" s="1094">
        <f t="shared" ca="1" si="60"/>
        <v>2.3979695764844378</v>
      </c>
      <c r="F130" s="1094">
        <f t="shared" ca="1" si="60"/>
        <v>0</v>
      </c>
      <c r="G130" s="1094">
        <f t="shared" ca="1" si="60"/>
        <v>1.6418275002923967E-3</v>
      </c>
      <c r="H130" s="1094"/>
      <c r="I130" s="1094"/>
      <c r="J130" s="1094"/>
      <c r="K130" s="1094"/>
      <c r="L130" s="1094"/>
      <c r="M130" s="1094"/>
      <c r="N130" s="1094"/>
      <c r="O130" s="1094"/>
      <c r="P130" s="1094"/>
      <c r="Q130" s="1094"/>
      <c r="R130" s="1094"/>
      <c r="S130" s="1094"/>
      <c r="T130" s="1077"/>
      <c r="U130" s="1077"/>
      <c r="V130" s="1077"/>
      <c r="W130" s="1077"/>
      <c r="X130" s="1077"/>
      <c r="Y130" s="1077"/>
      <c r="Z130" s="1077"/>
      <c r="AA130" s="1077"/>
      <c r="AB130" s="1077"/>
      <c r="AC130" s="1077"/>
      <c r="AD130" s="1077"/>
      <c r="AE130" s="1077"/>
      <c r="AF130" s="1077"/>
      <c r="AG130" s="1077"/>
      <c r="AH130" s="1077"/>
      <c r="AI130" s="1077"/>
      <c r="AJ130" s="1077"/>
      <c r="AK130" s="1077"/>
      <c r="AL130" s="1077"/>
      <c r="AM130" s="1077"/>
      <c r="AN130" s="1077"/>
      <c r="AO130" s="1077"/>
      <c r="AP130" s="1077"/>
      <c r="AQ130" s="1077"/>
      <c r="AR130" s="1077"/>
      <c r="AS130" s="1077"/>
      <c r="AT130" s="1077"/>
      <c r="AU130" s="1077"/>
      <c r="AV130" s="1077"/>
      <c r="AW130" s="1077"/>
      <c r="AX130" s="1077"/>
      <c r="AY130" s="1077"/>
      <c r="AZ130" s="1077"/>
      <c r="BA130" s="1077"/>
      <c r="BB130" s="1077"/>
      <c r="BC130" s="1077"/>
      <c r="BD130" s="1077"/>
      <c r="BE130" s="1077"/>
      <c r="BF130" s="1077"/>
      <c r="BG130" s="1077"/>
      <c r="BH130" s="1077"/>
      <c r="BI130" s="1077"/>
      <c r="BJ130" s="1077"/>
      <c r="BK130" s="1077"/>
      <c r="BL130" s="1077"/>
      <c r="BM130" s="1077"/>
      <c r="BN130" s="1077"/>
      <c r="BO130" s="1077"/>
      <c r="BP130" s="1077"/>
      <c r="BQ130" s="1077"/>
      <c r="BR130" s="1077"/>
      <c r="BS130" s="1077"/>
      <c r="BT130" s="1077"/>
      <c r="BU130" s="1077"/>
    </row>
    <row r="131" spans="1:73" x14ac:dyDescent="0.2">
      <c r="A131" s="1077"/>
      <c r="B131" s="1077"/>
      <c r="C131" s="1101"/>
      <c r="D131" s="1081"/>
      <c r="E131" s="1094"/>
      <c r="F131" s="1094"/>
      <c r="G131" s="1094"/>
      <c r="H131" s="1094">
        <f t="shared" ref="H131:S131" ca="1" si="61">OFFSET(H$76,MATCH($C130,$N$101:$N$107,0)*3-2,0)</f>
        <v>0.14942045524399045</v>
      </c>
      <c r="I131" s="1094">
        <f t="shared" ca="1" si="61"/>
        <v>2.0985595575770056E-2</v>
      </c>
      <c r="J131" s="1094">
        <f t="shared" ca="1" si="61"/>
        <v>2.8312868685717384E-2</v>
      </c>
      <c r="K131" s="1094">
        <f t="shared" ca="1" si="61"/>
        <v>5.4915061535724839E-3</v>
      </c>
      <c r="L131" s="1094">
        <f t="shared" ca="1" si="61"/>
        <v>1.6201557621688327E-3</v>
      </c>
      <c r="M131" s="1094">
        <f t="shared" ca="1" si="61"/>
        <v>0.24568929861981814</v>
      </c>
      <c r="N131" s="1094">
        <f t="shared" ca="1" si="61"/>
        <v>1.3716385995415594</v>
      </c>
      <c r="O131" s="1094">
        <f t="shared" ca="1" si="61"/>
        <v>0.21197338494250778</v>
      </c>
      <c r="P131" s="1094">
        <f t="shared" ca="1" si="61"/>
        <v>0.24553111712834094</v>
      </c>
      <c r="Q131" s="1094">
        <f t="shared" ca="1" si="61"/>
        <v>9.8159081625125419E-2</v>
      </c>
      <c r="R131" s="1094">
        <f t="shared" ca="1" si="61"/>
        <v>1.637981080573836E-2</v>
      </c>
      <c r="S131" s="1094">
        <f t="shared" ca="1" si="61"/>
        <v>4.4095299004201019E-3</v>
      </c>
      <c r="T131" s="1077"/>
      <c r="U131" s="1077"/>
      <c r="V131" s="1077"/>
      <c r="W131" s="1077"/>
      <c r="X131" s="1077"/>
      <c r="Y131" s="1077"/>
      <c r="Z131" s="1077"/>
      <c r="AA131" s="1077"/>
      <c r="AB131" s="1077"/>
      <c r="AC131" s="1077"/>
      <c r="AD131" s="1077"/>
      <c r="AE131" s="1077"/>
      <c r="AF131" s="1077"/>
      <c r="AG131" s="1077"/>
      <c r="AH131" s="1077"/>
      <c r="AI131" s="1077"/>
      <c r="AJ131" s="1077"/>
      <c r="AK131" s="1077"/>
      <c r="AL131" s="1077"/>
      <c r="AM131" s="1077"/>
      <c r="AN131" s="1077"/>
      <c r="AO131" s="1077"/>
      <c r="AP131" s="1077"/>
      <c r="AQ131" s="1077"/>
      <c r="AR131" s="1077"/>
      <c r="AS131" s="1077"/>
      <c r="AT131" s="1077"/>
      <c r="AU131" s="1077"/>
      <c r="AV131" s="1077"/>
      <c r="AW131" s="1077"/>
      <c r="AX131" s="1077"/>
      <c r="AY131" s="1077"/>
      <c r="AZ131" s="1077"/>
      <c r="BA131" s="1077"/>
      <c r="BB131" s="1077"/>
      <c r="BC131" s="1077"/>
      <c r="BD131" s="1077"/>
      <c r="BE131" s="1077"/>
      <c r="BF131" s="1077"/>
      <c r="BG131" s="1077"/>
      <c r="BH131" s="1077"/>
      <c r="BI131" s="1077"/>
      <c r="BJ131" s="1077"/>
      <c r="BK131" s="1077"/>
      <c r="BL131" s="1077"/>
      <c r="BM131" s="1077"/>
      <c r="BN131" s="1077"/>
      <c r="BO131" s="1077"/>
      <c r="BP131" s="1077"/>
      <c r="BQ131" s="1077"/>
      <c r="BR131" s="1077"/>
      <c r="BS131" s="1077"/>
      <c r="BT131" s="1077"/>
      <c r="BU131" s="1077"/>
    </row>
    <row r="132" spans="1:73" x14ac:dyDescent="0.2">
      <c r="A132" s="1077"/>
      <c r="B132" s="1077"/>
      <c r="C132" s="1101">
        <v>4</v>
      </c>
      <c r="D132" s="1081" t="str">
        <f t="shared" ref="D132:G132" ca="1" si="62">OFFSET(D$76,MATCH($C132,$N$101:$N$107,0)*3,0)</f>
        <v>Total Fixed Operating Cost = $13,310K</v>
      </c>
      <c r="E132" s="1094">
        <f t="shared" ca="1" si="62"/>
        <v>2.4243069144678726</v>
      </c>
      <c r="F132" s="1094">
        <f t="shared" ca="1" si="62"/>
        <v>0</v>
      </c>
      <c r="G132" s="1094">
        <f t="shared" ca="1" si="62"/>
        <v>1.6418275002923967E-3</v>
      </c>
      <c r="H132" s="1094"/>
      <c r="I132" s="1094"/>
      <c r="J132" s="1094"/>
      <c r="K132" s="1094"/>
      <c r="L132" s="1094"/>
      <c r="M132" s="1094"/>
      <c r="N132" s="1094"/>
      <c r="O132" s="1094"/>
      <c r="P132" s="1094"/>
      <c r="Q132" s="1094"/>
      <c r="R132" s="1094"/>
      <c r="S132" s="1094"/>
      <c r="T132" s="1077"/>
      <c r="U132" s="1077"/>
      <c r="V132" s="1077"/>
      <c r="W132" s="1077"/>
      <c r="X132" s="1077"/>
      <c r="Y132" s="1077"/>
      <c r="Z132" s="1077"/>
      <c r="AA132" s="1077"/>
      <c r="AB132" s="1077"/>
      <c r="AC132" s="1077"/>
      <c r="AD132" s="1077"/>
      <c r="AE132" s="1077"/>
      <c r="AF132" s="1077"/>
      <c r="AG132" s="1077"/>
      <c r="AH132" s="1077"/>
      <c r="AI132" s="1077"/>
      <c r="AJ132" s="1077"/>
      <c r="AK132" s="1077"/>
      <c r="AL132" s="1077"/>
      <c r="AM132" s="1077"/>
      <c r="AN132" s="1077"/>
      <c r="AO132" s="1077"/>
      <c r="AP132" s="1077"/>
      <c r="AQ132" s="1077"/>
      <c r="AR132" s="1077"/>
      <c r="AS132" s="1077"/>
      <c r="AT132" s="1077"/>
      <c r="AU132" s="1077"/>
      <c r="AV132" s="1077"/>
      <c r="AW132" s="1077"/>
      <c r="AX132" s="1077"/>
      <c r="AY132" s="1077"/>
      <c r="AZ132" s="1077"/>
      <c r="BA132" s="1077"/>
      <c r="BB132" s="1077"/>
      <c r="BC132" s="1077"/>
      <c r="BD132" s="1077"/>
      <c r="BE132" s="1077"/>
      <c r="BF132" s="1077"/>
      <c r="BG132" s="1077"/>
      <c r="BH132" s="1077"/>
      <c r="BI132" s="1077"/>
      <c r="BJ132" s="1077"/>
      <c r="BK132" s="1077"/>
      <c r="BL132" s="1077"/>
      <c r="BM132" s="1077"/>
      <c r="BN132" s="1077"/>
      <c r="BO132" s="1077"/>
      <c r="BP132" s="1077"/>
      <c r="BQ132" s="1077"/>
      <c r="BR132" s="1077"/>
      <c r="BS132" s="1077"/>
      <c r="BT132" s="1077"/>
      <c r="BU132" s="1077"/>
    </row>
    <row r="133" spans="1:73" x14ac:dyDescent="0.2">
      <c r="A133" s="1077"/>
      <c r="B133" s="1077"/>
      <c r="C133" s="1101"/>
      <c r="D133" s="1081"/>
      <c r="E133" s="1094"/>
      <c r="F133" s="1094"/>
      <c r="G133" s="1094"/>
      <c r="H133" s="1094">
        <f t="shared" ref="H133:S133" ca="1" si="63">OFFSET(H$76,MATCH($C132,$N$101:$N$107,0)*3,0)</f>
        <v>0.14942045524399045</v>
      </c>
      <c r="I133" s="1094">
        <f t="shared" ca="1" si="63"/>
        <v>2.0985595575770056E-2</v>
      </c>
      <c r="J133" s="1094">
        <f t="shared" ca="1" si="63"/>
        <v>2.8665831329576272E-2</v>
      </c>
      <c r="K133" s="1094">
        <f t="shared" ca="1" si="63"/>
        <v>5.4915061535724839E-3</v>
      </c>
      <c r="L133" s="1094">
        <f t="shared" ca="1" si="63"/>
        <v>1.6201557621688327E-3</v>
      </c>
      <c r="M133" s="1094">
        <f t="shared" ca="1" si="63"/>
        <v>0.27155133005348309</v>
      </c>
      <c r="N133" s="1094">
        <f t="shared" ca="1" si="63"/>
        <v>1.3716385995415594</v>
      </c>
      <c r="O133" s="1094">
        <f t="shared" ca="1" si="63"/>
        <v>0.21197338494250778</v>
      </c>
      <c r="P133" s="1094">
        <f t="shared" ca="1" si="63"/>
        <v>0.24553111712834094</v>
      </c>
      <c r="Q133" s="1094">
        <f t="shared" ca="1" si="63"/>
        <v>9.8159081625125419E-2</v>
      </c>
      <c r="R133" s="1094">
        <f t="shared" ca="1" si="63"/>
        <v>1.6502154711649036E-2</v>
      </c>
      <c r="S133" s="1094">
        <f t="shared" ca="1" si="63"/>
        <v>4.4095299004201019E-3</v>
      </c>
      <c r="T133" s="1077"/>
      <c r="U133" s="1077"/>
      <c r="V133" s="1077"/>
      <c r="W133" s="1077"/>
      <c r="X133" s="1077"/>
      <c r="Y133" s="1077"/>
      <c r="Z133" s="1077"/>
      <c r="AA133" s="1077"/>
      <c r="AB133" s="1077"/>
      <c r="AC133" s="1077"/>
      <c r="AD133" s="1077"/>
      <c r="AE133" s="1077"/>
      <c r="AF133" s="1077"/>
      <c r="AG133" s="1077"/>
      <c r="AH133" s="1077"/>
      <c r="AI133" s="1077"/>
      <c r="AJ133" s="1077"/>
      <c r="AK133" s="1077"/>
      <c r="AL133" s="1077"/>
      <c r="AM133" s="1077"/>
      <c r="AN133" s="1077"/>
      <c r="AO133" s="1077"/>
      <c r="AP133" s="1077"/>
      <c r="AQ133" s="1077"/>
      <c r="AR133" s="1077"/>
      <c r="AS133" s="1077"/>
      <c r="AT133" s="1077"/>
      <c r="AU133" s="1077"/>
      <c r="AV133" s="1077"/>
      <c r="AW133" s="1077"/>
      <c r="AX133" s="1077"/>
      <c r="AY133" s="1077"/>
      <c r="AZ133" s="1077"/>
      <c r="BA133" s="1077"/>
      <c r="BB133" s="1077"/>
      <c r="BC133" s="1077"/>
      <c r="BD133" s="1077"/>
      <c r="BE133" s="1077"/>
      <c r="BF133" s="1077"/>
      <c r="BG133" s="1077"/>
      <c r="BH133" s="1077"/>
      <c r="BI133" s="1077"/>
      <c r="BJ133" s="1077"/>
      <c r="BK133" s="1077"/>
      <c r="BL133" s="1077"/>
      <c r="BM133" s="1077"/>
      <c r="BN133" s="1077"/>
      <c r="BO133" s="1077"/>
      <c r="BP133" s="1077"/>
      <c r="BQ133" s="1077"/>
      <c r="BR133" s="1077"/>
      <c r="BS133" s="1077"/>
      <c r="BT133" s="1077"/>
      <c r="BU133" s="1077"/>
    </row>
    <row r="134" spans="1:73" x14ac:dyDescent="0.2">
      <c r="A134" s="1077"/>
      <c r="B134" s="1077"/>
      <c r="C134" s="1101"/>
      <c r="D134" s="1081"/>
      <c r="E134" s="1094"/>
      <c r="F134" s="1094"/>
      <c r="G134" s="1094"/>
      <c r="H134" s="1094"/>
      <c r="I134" s="1094"/>
      <c r="J134" s="1094"/>
      <c r="K134" s="1094"/>
      <c r="L134" s="1094"/>
      <c r="M134" s="1094"/>
      <c r="N134" s="1094"/>
      <c r="O134" s="1094"/>
      <c r="P134" s="1094"/>
      <c r="Q134" s="1094"/>
      <c r="R134" s="1094"/>
      <c r="S134" s="1094"/>
      <c r="T134" s="1077"/>
      <c r="U134" s="1077"/>
      <c r="V134" s="1077"/>
      <c r="W134" s="1077"/>
      <c r="X134" s="1077"/>
      <c r="Y134" s="1077"/>
      <c r="Z134" s="1077"/>
      <c r="AA134" s="1077"/>
      <c r="AB134" s="1077"/>
      <c r="AC134" s="1077"/>
      <c r="AD134" s="1077"/>
      <c r="AE134" s="1077"/>
      <c r="AF134" s="1077"/>
      <c r="AG134" s="1077"/>
      <c r="AH134" s="1077"/>
      <c r="AI134" s="1077"/>
      <c r="AJ134" s="1077"/>
      <c r="AK134" s="1077"/>
      <c r="AL134" s="1077"/>
      <c r="AM134" s="1077"/>
      <c r="AN134" s="1077"/>
      <c r="AO134" s="1077"/>
      <c r="AP134" s="1077"/>
      <c r="AQ134" s="1077"/>
      <c r="AR134" s="1077"/>
      <c r="AS134" s="1077"/>
      <c r="AT134" s="1077"/>
      <c r="AU134" s="1077"/>
      <c r="AV134" s="1077"/>
      <c r="AW134" s="1077"/>
      <c r="AX134" s="1077"/>
      <c r="AY134" s="1077"/>
      <c r="AZ134" s="1077"/>
      <c r="BA134" s="1077"/>
      <c r="BB134" s="1077"/>
      <c r="BC134" s="1077"/>
      <c r="BD134" s="1077"/>
      <c r="BE134" s="1077"/>
      <c r="BF134" s="1077"/>
      <c r="BG134" s="1077"/>
      <c r="BH134" s="1077"/>
      <c r="BI134" s="1077"/>
      <c r="BJ134" s="1077"/>
      <c r="BK134" s="1077"/>
      <c r="BL134" s="1077"/>
      <c r="BM134" s="1077"/>
      <c r="BN134" s="1077"/>
      <c r="BO134" s="1077"/>
      <c r="BP134" s="1077"/>
      <c r="BQ134" s="1077"/>
      <c r="BR134" s="1077"/>
      <c r="BS134" s="1077"/>
      <c r="BT134" s="1077"/>
      <c r="BU134" s="1077"/>
    </row>
    <row r="135" spans="1:73" x14ac:dyDescent="0.2">
      <c r="A135" s="1077"/>
      <c r="B135" s="1077"/>
      <c r="C135" s="1101">
        <v>5</v>
      </c>
      <c r="D135" s="1081" t="str">
        <f t="shared" ref="D135:G135" ca="1" si="64">OFFSET(D$76,MATCH($C135,$N$101:$N$107,0)*3-2,0)</f>
        <v>After-tax Real IRR = 8%</v>
      </c>
      <c r="E135" s="1094">
        <f t="shared" ca="1" si="64"/>
        <v>2.3981518107823239</v>
      </c>
      <c r="F135" s="1094">
        <f t="shared" ca="1" si="64"/>
        <v>0</v>
      </c>
      <c r="G135" s="1094">
        <f t="shared" ca="1" si="64"/>
        <v>1.8205055488574227E-3</v>
      </c>
      <c r="H135" s="1094"/>
      <c r="I135" s="1094"/>
      <c r="J135" s="1094"/>
      <c r="K135" s="1094"/>
      <c r="L135" s="1094"/>
      <c r="M135" s="1094"/>
      <c r="N135" s="1094"/>
      <c r="O135" s="1094"/>
      <c r="P135" s="1094"/>
      <c r="Q135" s="1094"/>
      <c r="R135" s="1094"/>
      <c r="S135" s="1094"/>
      <c r="T135" s="1077"/>
      <c r="U135" s="1077"/>
      <c r="V135" s="1077"/>
      <c r="W135" s="1077"/>
      <c r="X135" s="1077"/>
      <c r="Y135" s="1077"/>
      <c r="Z135" s="1077"/>
      <c r="AA135" s="1077"/>
      <c r="AB135" s="1077"/>
      <c r="AC135" s="1077"/>
      <c r="AD135" s="1077"/>
      <c r="AE135" s="1077"/>
      <c r="AF135" s="1077"/>
      <c r="AG135" s="1077"/>
      <c r="AH135" s="1077"/>
      <c r="AI135" s="1077"/>
      <c r="AJ135" s="1077"/>
      <c r="AK135" s="1077"/>
      <c r="AL135" s="1077"/>
      <c r="AM135" s="1077"/>
      <c r="AN135" s="1077"/>
      <c r="AO135" s="1077"/>
      <c r="AP135" s="1077"/>
      <c r="AQ135" s="1077"/>
      <c r="AR135" s="1077"/>
      <c r="AS135" s="1077"/>
      <c r="AT135" s="1077"/>
      <c r="AU135" s="1077"/>
      <c r="AV135" s="1077"/>
      <c r="AW135" s="1077"/>
      <c r="AX135" s="1077"/>
      <c r="AY135" s="1077"/>
      <c r="AZ135" s="1077"/>
      <c r="BA135" s="1077"/>
      <c r="BB135" s="1077"/>
      <c r="BC135" s="1077"/>
      <c r="BD135" s="1077"/>
      <c r="BE135" s="1077"/>
      <c r="BF135" s="1077"/>
      <c r="BG135" s="1077"/>
      <c r="BH135" s="1077"/>
      <c r="BI135" s="1077"/>
      <c r="BJ135" s="1077"/>
      <c r="BK135" s="1077"/>
      <c r="BL135" s="1077"/>
      <c r="BM135" s="1077"/>
      <c r="BN135" s="1077"/>
      <c r="BO135" s="1077"/>
      <c r="BP135" s="1077"/>
      <c r="BQ135" s="1077"/>
      <c r="BR135" s="1077"/>
      <c r="BS135" s="1077"/>
      <c r="BT135" s="1077"/>
      <c r="BU135" s="1077"/>
    </row>
    <row r="136" spans="1:73" x14ac:dyDescent="0.2">
      <c r="A136" s="1077"/>
      <c r="B136" s="1077"/>
      <c r="C136" s="1101"/>
      <c r="D136" s="1081"/>
      <c r="E136" s="1094"/>
      <c r="F136" s="1094"/>
      <c r="G136" s="1094"/>
      <c r="H136" s="1094">
        <f t="shared" ref="H136:S136" ca="1" si="65">OFFSET(H$76,MATCH($C135,$N$101:$N$107,0)*3-2,0)</f>
        <v>0.14241276366491534</v>
      </c>
      <c r="I136" s="1094">
        <f t="shared" ca="1" si="65"/>
        <v>2.0952547202839879E-2</v>
      </c>
      <c r="J136" s="1094">
        <f t="shared" ca="1" si="65"/>
        <v>2.7404339406443594E-2</v>
      </c>
      <c r="K136" s="1094">
        <f t="shared" ca="1" si="65"/>
        <v>5.2104306666281358E-3</v>
      </c>
      <c r="L136" s="1094">
        <f t="shared" ca="1" si="65"/>
        <v>1.7964753023788451E-3</v>
      </c>
      <c r="M136" s="1094">
        <f t="shared" ca="1" si="65"/>
        <v>0.25821303589822564</v>
      </c>
      <c r="N136" s="1094">
        <f t="shared" ca="1" si="65"/>
        <v>1.370562847202597</v>
      </c>
      <c r="O136" s="1094">
        <f t="shared" ca="1" si="65"/>
        <v>0.2118031716072182</v>
      </c>
      <c r="P136" s="1094">
        <f t="shared" ca="1" si="65"/>
        <v>0.24571493542281861</v>
      </c>
      <c r="Q136" s="1094">
        <f t="shared" ca="1" si="65"/>
        <v>9.643493075003963E-2</v>
      </c>
      <c r="R136" s="1094">
        <f t="shared" ca="1" si="65"/>
        <v>1.4577425641924701E-2</v>
      </c>
      <c r="S136" s="1094">
        <f t="shared" ca="1" si="65"/>
        <v>4.8894135651509464E-3</v>
      </c>
      <c r="T136" s="1077"/>
      <c r="U136" s="1077"/>
      <c r="V136" s="1077"/>
      <c r="W136" s="1077"/>
      <c r="X136" s="1077"/>
      <c r="Y136" s="1077"/>
      <c r="Z136" s="1077"/>
      <c r="AA136" s="1077"/>
      <c r="AB136" s="1077"/>
      <c r="AC136" s="1077"/>
      <c r="AD136" s="1077"/>
      <c r="AE136" s="1077"/>
      <c r="AF136" s="1077"/>
      <c r="AG136" s="1077"/>
      <c r="AH136" s="1077"/>
      <c r="AI136" s="1077"/>
      <c r="AJ136" s="1077"/>
      <c r="AK136" s="1077"/>
      <c r="AL136" s="1077"/>
      <c r="AM136" s="1077"/>
      <c r="AN136" s="1077"/>
      <c r="AO136" s="1077"/>
      <c r="AP136" s="1077"/>
      <c r="AQ136" s="1077"/>
      <c r="AR136" s="1077"/>
      <c r="AS136" s="1077"/>
      <c r="AT136" s="1077"/>
      <c r="AU136" s="1077"/>
      <c r="AV136" s="1077"/>
      <c r="AW136" s="1077"/>
      <c r="AX136" s="1077"/>
      <c r="AY136" s="1077"/>
      <c r="AZ136" s="1077"/>
      <c r="BA136" s="1077"/>
      <c r="BB136" s="1077"/>
      <c r="BC136" s="1077"/>
      <c r="BD136" s="1077"/>
      <c r="BE136" s="1077"/>
      <c r="BF136" s="1077"/>
      <c r="BG136" s="1077"/>
      <c r="BH136" s="1077"/>
      <c r="BI136" s="1077"/>
      <c r="BJ136" s="1077"/>
      <c r="BK136" s="1077"/>
      <c r="BL136" s="1077"/>
      <c r="BM136" s="1077"/>
      <c r="BN136" s="1077"/>
      <c r="BO136" s="1077"/>
      <c r="BP136" s="1077"/>
      <c r="BQ136" s="1077"/>
      <c r="BR136" s="1077"/>
      <c r="BS136" s="1077"/>
      <c r="BT136" s="1077"/>
      <c r="BU136" s="1077"/>
    </row>
    <row r="137" spans="1:73" x14ac:dyDescent="0.2">
      <c r="A137" s="1077"/>
      <c r="B137" s="1077"/>
      <c r="C137" s="1101">
        <v>5</v>
      </c>
      <c r="D137" s="1081" t="str">
        <f t="shared" ref="D137:G137" ca="1" si="66">OFFSET(D$76,MATCH($C137,$N$101:$N$107,0)*3,0)</f>
        <v>After-tax Real IRR = 8%</v>
      </c>
      <c r="E137" s="1094">
        <f t="shared" ca="1" si="66"/>
        <v>2.4244248794700054</v>
      </c>
      <c r="F137" s="1094">
        <f t="shared" ca="1" si="66"/>
        <v>0</v>
      </c>
      <c r="G137" s="1094">
        <f t="shared" ca="1" si="66"/>
        <v>1.4794948863293543E-3</v>
      </c>
      <c r="H137" s="1094"/>
      <c r="I137" s="1094"/>
      <c r="J137" s="1094"/>
      <c r="K137" s="1094"/>
      <c r="L137" s="1094"/>
      <c r="M137" s="1094"/>
      <c r="N137" s="1094"/>
      <c r="O137" s="1094"/>
      <c r="P137" s="1094"/>
      <c r="Q137" s="1094"/>
      <c r="R137" s="1094"/>
      <c r="S137" s="1094"/>
      <c r="T137" s="1077"/>
      <c r="U137" s="1077"/>
      <c r="V137" s="1077"/>
      <c r="W137" s="1077"/>
      <c r="X137" s="1077"/>
      <c r="Y137" s="1077"/>
      <c r="Z137" s="1077"/>
      <c r="AA137" s="1077"/>
      <c r="AB137" s="1077"/>
      <c r="AC137" s="1077"/>
      <c r="AD137" s="1077"/>
      <c r="AE137" s="1077"/>
      <c r="AF137" s="1077"/>
      <c r="AG137" s="1077"/>
      <c r="AH137" s="1077"/>
      <c r="AI137" s="1077"/>
      <c r="AJ137" s="1077"/>
      <c r="AK137" s="1077"/>
      <c r="AL137" s="1077"/>
      <c r="AM137" s="1077"/>
      <c r="AN137" s="1077"/>
      <c r="AO137" s="1077"/>
      <c r="AP137" s="1077"/>
      <c r="AQ137" s="1077"/>
      <c r="AR137" s="1077"/>
      <c r="AS137" s="1077"/>
      <c r="AT137" s="1077"/>
      <c r="AU137" s="1077"/>
      <c r="AV137" s="1077"/>
      <c r="AW137" s="1077"/>
      <c r="AX137" s="1077"/>
      <c r="AY137" s="1077"/>
      <c r="AZ137" s="1077"/>
      <c r="BA137" s="1077"/>
      <c r="BB137" s="1077"/>
      <c r="BC137" s="1077"/>
      <c r="BD137" s="1077"/>
      <c r="BE137" s="1077"/>
      <c r="BF137" s="1077"/>
      <c r="BG137" s="1077"/>
      <c r="BH137" s="1077"/>
      <c r="BI137" s="1077"/>
      <c r="BJ137" s="1077"/>
      <c r="BK137" s="1077"/>
      <c r="BL137" s="1077"/>
      <c r="BM137" s="1077"/>
      <c r="BN137" s="1077"/>
      <c r="BO137" s="1077"/>
      <c r="BP137" s="1077"/>
      <c r="BQ137" s="1077"/>
      <c r="BR137" s="1077"/>
      <c r="BS137" s="1077"/>
      <c r="BT137" s="1077"/>
      <c r="BU137" s="1077"/>
    </row>
    <row r="138" spans="1:73" x14ac:dyDescent="0.2">
      <c r="A138" s="1077"/>
      <c r="B138" s="1077"/>
      <c r="C138" s="1101"/>
      <c r="D138" s="1081"/>
      <c r="E138" s="1094"/>
      <c r="F138" s="1094"/>
      <c r="G138" s="1094"/>
      <c r="H138" s="1094">
        <f t="shared" ref="H138:S138" ca="1" si="67">OFFSET(H$76,MATCH($C137,$N$101:$N$107,0)*3,0)</f>
        <v>0.15655995420919266</v>
      </c>
      <c r="I138" s="1094">
        <f t="shared" ca="1" si="67"/>
        <v>2.1018904071997496E-2</v>
      </c>
      <c r="J138" s="1094">
        <f t="shared" ca="1" si="67"/>
        <v>2.9568156104698755E-2</v>
      </c>
      <c r="K138" s="1094">
        <f t="shared" ca="1" si="67"/>
        <v>5.7797564634626767E-3</v>
      </c>
      <c r="L138" s="1094">
        <f t="shared" ca="1" si="67"/>
        <v>1.4599659006557851E-3</v>
      </c>
      <c r="M138" s="1094">
        <f t="shared" ca="1" si="67"/>
        <v>0.25903079845816712</v>
      </c>
      <c r="N138" s="1094">
        <f t="shared" ca="1" si="67"/>
        <v>1.3727252497452316</v>
      </c>
      <c r="O138" s="1094">
        <f t="shared" ca="1" si="67"/>
        <v>0.21214493802466211</v>
      </c>
      <c r="P138" s="1094">
        <f t="shared" ca="1" si="67"/>
        <v>0.24535660127597192</v>
      </c>
      <c r="Q138" s="1094">
        <f t="shared" ca="1" si="67"/>
        <v>9.9895435720664921E-2</v>
      </c>
      <c r="R138" s="1094">
        <f t="shared" ca="1" si="67"/>
        <v>1.8391068477671794E-2</v>
      </c>
      <c r="S138" s="1094">
        <f t="shared" ca="1" si="67"/>
        <v>3.9735459039552425E-3</v>
      </c>
      <c r="T138" s="1077"/>
      <c r="U138" s="1077"/>
      <c r="V138" s="1077"/>
      <c r="W138" s="1077"/>
      <c r="X138" s="1077"/>
      <c r="Y138" s="1077"/>
      <c r="Z138" s="1077"/>
      <c r="AA138" s="1077"/>
      <c r="AB138" s="1077"/>
      <c r="AC138" s="1077"/>
      <c r="AD138" s="1077"/>
      <c r="AE138" s="1077"/>
      <c r="AF138" s="1077"/>
      <c r="AG138" s="1077"/>
      <c r="AH138" s="1077"/>
      <c r="AI138" s="1077"/>
      <c r="AJ138" s="1077"/>
      <c r="AK138" s="1077"/>
      <c r="AL138" s="1077"/>
      <c r="AM138" s="1077"/>
      <c r="AN138" s="1077"/>
      <c r="AO138" s="1077"/>
      <c r="AP138" s="1077"/>
      <c r="AQ138" s="1077"/>
      <c r="AR138" s="1077"/>
      <c r="AS138" s="1077"/>
      <c r="AT138" s="1077"/>
      <c r="AU138" s="1077"/>
      <c r="AV138" s="1077"/>
      <c r="AW138" s="1077"/>
      <c r="AX138" s="1077"/>
      <c r="AY138" s="1077"/>
      <c r="AZ138" s="1077"/>
      <c r="BA138" s="1077"/>
      <c r="BB138" s="1077"/>
      <c r="BC138" s="1077"/>
      <c r="BD138" s="1077"/>
      <c r="BE138" s="1077"/>
      <c r="BF138" s="1077"/>
      <c r="BG138" s="1077"/>
      <c r="BH138" s="1077"/>
      <c r="BI138" s="1077"/>
      <c r="BJ138" s="1077"/>
      <c r="BK138" s="1077"/>
      <c r="BL138" s="1077"/>
      <c r="BM138" s="1077"/>
      <c r="BN138" s="1077"/>
      <c r="BO138" s="1077"/>
      <c r="BP138" s="1077"/>
      <c r="BQ138" s="1077"/>
      <c r="BR138" s="1077"/>
      <c r="BS138" s="1077"/>
      <c r="BT138" s="1077"/>
      <c r="BU138" s="1077"/>
    </row>
    <row r="139" spans="1:73" x14ac:dyDescent="0.2">
      <c r="A139" s="1077"/>
      <c r="B139" s="1077"/>
      <c r="C139" s="1101"/>
      <c r="D139" s="1081"/>
      <c r="E139" s="1094"/>
      <c r="F139" s="1094"/>
      <c r="G139" s="1094"/>
      <c r="H139" s="1094"/>
      <c r="I139" s="1094"/>
      <c r="J139" s="1094"/>
      <c r="K139" s="1094"/>
      <c r="L139" s="1094"/>
      <c r="M139" s="1094"/>
      <c r="N139" s="1094"/>
      <c r="O139" s="1094"/>
      <c r="P139" s="1094"/>
      <c r="Q139" s="1094"/>
      <c r="R139" s="1094"/>
      <c r="S139" s="1094"/>
      <c r="T139" s="1077"/>
      <c r="U139" s="1077"/>
      <c r="V139" s="1077"/>
      <c r="W139" s="1077"/>
      <c r="X139" s="1077"/>
      <c r="Y139" s="1077"/>
      <c r="Z139" s="1077"/>
      <c r="AA139" s="1077"/>
      <c r="AB139" s="1077"/>
      <c r="AC139" s="1077"/>
      <c r="AD139" s="1077"/>
      <c r="AE139" s="1077"/>
      <c r="AF139" s="1077"/>
      <c r="AG139" s="1077"/>
      <c r="AH139" s="1077"/>
      <c r="AI139" s="1077"/>
      <c r="AJ139" s="1077"/>
      <c r="AK139" s="1077"/>
      <c r="AL139" s="1077"/>
      <c r="AM139" s="1077"/>
      <c r="AN139" s="1077"/>
      <c r="AO139" s="1077"/>
      <c r="AP139" s="1077"/>
      <c r="AQ139" s="1077"/>
      <c r="AR139" s="1077"/>
      <c r="AS139" s="1077"/>
      <c r="AT139" s="1077"/>
      <c r="AU139" s="1077"/>
      <c r="AV139" s="1077"/>
      <c r="AW139" s="1077"/>
      <c r="AX139" s="1077"/>
      <c r="AY139" s="1077"/>
      <c r="AZ139" s="1077"/>
      <c r="BA139" s="1077"/>
      <c r="BB139" s="1077"/>
      <c r="BC139" s="1077"/>
      <c r="BD139" s="1077"/>
      <c r="BE139" s="1077"/>
      <c r="BF139" s="1077"/>
      <c r="BG139" s="1077"/>
      <c r="BH139" s="1077"/>
      <c r="BI139" s="1077"/>
      <c r="BJ139" s="1077"/>
      <c r="BK139" s="1077"/>
      <c r="BL139" s="1077"/>
      <c r="BM139" s="1077"/>
      <c r="BN139" s="1077"/>
      <c r="BO139" s="1077"/>
      <c r="BP139" s="1077"/>
      <c r="BQ139" s="1077"/>
      <c r="BR139" s="1077"/>
      <c r="BS139" s="1077"/>
      <c r="BT139" s="1077"/>
      <c r="BU139" s="1077"/>
    </row>
    <row r="140" spans="1:73" x14ac:dyDescent="0.2">
      <c r="A140" s="1077"/>
      <c r="B140" s="1077"/>
      <c r="C140" s="1101">
        <v>6</v>
      </c>
      <c r="D140" s="1081" t="str">
        <f t="shared" ref="D140:G140" ca="1" si="68">OFFSET(D$76,MATCH($C140,$N$101:$N$107,0)*3-2,0)</f>
        <v>Plant Design Capacity (kg of H2/day) = 162,998</v>
      </c>
      <c r="E140" s="1094">
        <f t="shared" ca="1" si="68"/>
        <v>2.4017774627996471</v>
      </c>
      <c r="F140" s="1094">
        <f t="shared" ca="1" si="68"/>
        <v>0</v>
      </c>
      <c r="G140" s="1094">
        <f t="shared" ca="1" si="68"/>
        <v>1.6242986372420952E-3</v>
      </c>
      <c r="H140" s="1094"/>
      <c r="I140" s="1094"/>
      <c r="J140" s="1094"/>
      <c r="K140" s="1094"/>
      <c r="L140" s="1094"/>
      <c r="M140" s="1094"/>
      <c r="N140" s="1094"/>
      <c r="O140" s="1094"/>
      <c r="P140" s="1094"/>
      <c r="Q140" s="1094"/>
      <c r="R140" s="1094"/>
      <c r="S140" s="1094"/>
      <c r="T140" s="1077"/>
      <c r="U140" s="1077"/>
      <c r="V140" s="1077"/>
      <c r="W140" s="1077"/>
      <c r="X140" s="1077"/>
      <c r="Y140" s="1077"/>
      <c r="Z140" s="1077"/>
      <c r="AA140" s="1077"/>
      <c r="AB140" s="1077"/>
      <c r="AC140" s="1077"/>
      <c r="AD140" s="1077"/>
      <c r="AE140" s="1077"/>
      <c r="AF140" s="1077"/>
      <c r="AG140" s="1077"/>
      <c r="AH140" s="1077"/>
      <c r="AI140" s="1077"/>
      <c r="AJ140" s="1077"/>
      <c r="AK140" s="1077"/>
      <c r="AL140" s="1077"/>
      <c r="AM140" s="1077"/>
      <c r="AN140" s="1077"/>
      <c r="AO140" s="1077"/>
      <c r="AP140" s="1077"/>
      <c r="AQ140" s="1077"/>
      <c r="AR140" s="1077"/>
      <c r="AS140" s="1077"/>
      <c r="AT140" s="1077"/>
      <c r="AU140" s="1077"/>
      <c r="AV140" s="1077"/>
      <c r="AW140" s="1077"/>
      <c r="AX140" s="1077"/>
      <c r="AY140" s="1077"/>
      <c r="AZ140" s="1077"/>
      <c r="BA140" s="1077"/>
      <c r="BB140" s="1077"/>
      <c r="BC140" s="1077"/>
      <c r="BD140" s="1077"/>
      <c r="BE140" s="1077"/>
      <c r="BF140" s="1077"/>
      <c r="BG140" s="1077"/>
      <c r="BH140" s="1077"/>
      <c r="BI140" s="1077"/>
      <c r="BJ140" s="1077"/>
      <c r="BK140" s="1077"/>
      <c r="BL140" s="1077"/>
      <c r="BM140" s="1077"/>
      <c r="BN140" s="1077"/>
      <c r="BO140" s="1077"/>
      <c r="BP140" s="1077"/>
      <c r="BQ140" s="1077"/>
      <c r="BR140" s="1077"/>
      <c r="BS140" s="1077"/>
      <c r="BT140" s="1077"/>
      <c r="BU140" s="1077"/>
    </row>
    <row r="141" spans="1:73" x14ac:dyDescent="0.2">
      <c r="A141" s="1077"/>
      <c r="B141" s="1077"/>
      <c r="C141" s="1101"/>
      <c r="D141" s="1081"/>
      <c r="E141" s="1094"/>
      <c r="F141" s="1094"/>
      <c r="G141" s="1094"/>
      <c r="H141" s="1094">
        <f t="shared" ref="H141:S141" ca="1" si="69">OFFSET(H$76,MATCH($C140,$N$101:$N$107,0)*3-2,0)</f>
        <v>0.147825177605859</v>
      </c>
      <c r="I141" s="1094">
        <f t="shared" ca="1" si="69"/>
        <v>2.0761544248324784E-2</v>
      </c>
      <c r="J141" s="1094">
        <f t="shared" ca="1" si="69"/>
        <v>2.8404680173223534E-2</v>
      </c>
      <c r="K141" s="1094">
        <f t="shared" ca="1" si="69"/>
        <v>5.4328764502152701E-3</v>
      </c>
      <c r="L141" s="1094">
        <f t="shared" ca="1" si="69"/>
        <v>1.6028582760016462E-3</v>
      </c>
      <c r="M141" s="1094">
        <f t="shared" ca="1" si="69"/>
        <v>0.25241644557762755</v>
      </c>
      <c r="N141" s="1094">
        <f t="shared" ca="1" si="69"/>
        <v>1.3716385995415585</v>
      </c>
      <c r="O141" s="1094">
        <f t="shared" ca="1" si="69"/>
        <v>0.2119733849425077</v>
      </c>
      <c r="P141" s="1094">
        <f t="shared" ca="1" si="69"/>
        <v>0.24553111712834089</v>
      </c>
      <c r="Q141" s="1094">
        <f t="shared" ca="1" si="69"/>
        <v>9.7111092662433673E-2</v>
      </c>
      <c r="R141" s="1094">
        <f t="shared" ca="1" si="69"/>
        <v>1.6341532985607313E-2</v>
      </c>
      <c r="S141" s="1094">
        <f t="shared" ca="1" si="69"/>
        <v>4.3624518451878024E-3</v>
      </c>
      <c r="T141" s="1077"/>
      <c r="U141" s="1077"/>
      <c r="V141" s="1077"/>
      <c r="W141" s="1077"/>
      <c r="X141" s="1077"/>
      <c r="Y141" s="1077"/>
      <c r="Z141" s="1077"/>
      <c r="AA141" s="1077"/>
      <c r="AB141" s="1077"/>
      <c r="AC141" s="1077"/>
      <c r="AD141" s="1077"/>
      <c r="AE141" s="1077"/>
      <c r="AF141" s="1077"/>
      <c r="AG141" s="1077"/>
      <c r="AH141" s="1077"/>
      <c r="AI141" s="1077"/>
      <c r="AJ141" s="1077"/>
      <c r="AK141" s="1077"/>
      <c r="AL141" s="1077"/>
      <c r="AM141" s="1077"/>
      <c r="AN141" s="1077"/>
      <c r="AO141" s="1077"/>
      <c r="AP141" s="1077"/>
      <c r="AQ141" s="1077"/>
      <c r="AR141" s="1077"/>
      <c r="AS141" s="1077"/>
      <c r="AT141" s="1077"/>
      <c r="AU141" s="1077"/>
      <c r="AV141" s="1077"/>
      <c r="AW141" s="1077"/>
      <c r="AX141" s="1077"/>
      <c r="AY141" s="1077"/>
      <c r="AZ141" s="1077"/>
      <c r="BA141" s="1077"/>
      <c r="BB141" s="1077"/>
      <c r="BC141" s="1077"/>
      <c r="BD141" s="1077"/>
      <c r="BE141" s="1077"/>
      <c r="BF141" s="1077"/>
      <c r="BG141" s="1077"/>
      <c r="BH141" s="1077"/>
      <c r="BI141" s="1077"/>
      <c r="BJ141" s="1077"/>
      <c r="BK141" s="1077"/>
      <c r="BL141" s="1077"/>
      <c r="BM141" s="1077"/>
      <c r="BN141" s="1077"/>
      <c r="BO141" s="1077"/>
      <c r="BP141" s="1077"/>
      <c r="BQ141" s="1077"/>
      <c r="BR141" s="1077"/>
      <c r="BS141" s="1077"/>
      <c r="BT141" s="1077"/>
      <c r="BU141" s="1077"/>
    </row>
    <row r="142" spans="1:73" x14ac:dyDescent="0.2">
      <c r="A142" s="1077"/>
      <c r="B142" s="1077"/>
      <c r="C142" s="1101">
        <v>6</v>
      </c>
      <c r="D142" s="1081" t="str">
        <f t="shared" ref="D142:G142" ca="1" si="70">OFFSET(D$76,MATCH($C142,$N$101:$N$107,0)*3,0)</f>
        <v>Plant Design Capacity (kg of H2/day) = 147,474</v>
      </c>
      <c r="E142" s="1094">
        <f t="shared" ca="1" si="70"/>
        <v>2.4212711951023391</v>
      </c>
      <c r="F142" s="1094">
        <f t="shared" ca="1" si="70"/>
        <v>0</v>
      </c>
      <c r="G142" s="1094">
        <f t="shared" ca="1" si="70"/>
        <v>1.6604596732696653E-3</v>
      </c>
      <c r="H142" s="1094"/>
      <c r="I142" s="1094"/>
      <c r="J142" s="1094"/>
      <c r="K142" s="1094"/>
      <c r="L142" s="1094"/>
      <c r="M142" s="1094"/>
      <c r="N142" s="1094"/>
      <c r="O142" s="1094"/>
      <c r="P142" s="1094"/>
      <c r="Q142" s="1094"/>
      <c r="R142" s="1094"/>
      <c r="S142" s="1094"/>
      <c r="T142" s="1077"/>
      <c r="U142" s="1077"/>
      <c r="V142" s="1077"/>
      <c r="W142" s="1077"/>
      <c r="X142" s="1077"/>
      <c r="Y142" s="1077"/>
      <c r="Z142" s="1077"/>
      <c r="AA142" s="1077"/>
      <c r="AB142" s="1077"/>
      <c r="AC142" s="1077"/>
      <c r="AD142" s="1077"/>
      <c r="AE142" s="1077"/>
      <c r="AF142" s="1077"/>
      <c r="AG142" s="1077"/>
      <c r="AH142" s="1077"/>
      <c r="AI142" s="1077"/>
      <c r="AJ142" s="1077"/>
      <c r="AK142" s="1077"/>
      <c r="AL142" s="1077"/>
      <c r="AM142" s="1077"/>
      <c r="AN142" s="1077"/>
      <c r="AO142" s="1077"/>
      <c r="AP142" s="1077"/>
      <c r="AQ142" s="1077"/>
      <c r="AR142" s="1077"/>
      <c r="AS142" s="1077"/>
      <c r="AT142" s="1077"/>
      <c r="AU142" s="1077"/>
      <c r="AV142" s="1077"/>
      <c r="AW142" s="1077"/>
      <c r="AX142" s="1077"/>
      <c r="AY142" s="1077"/>
      <c r="AZ142" s="1077"/>
      <c r="BA142" s="1077"/>
      <c r="BB142" s="1077"/>
      <c r="BC142" s="1077"/>
      <c r="BD142" s="1077"/>
      <c r="BE142" s="1077"/>
      <c r="BF142" s="1077"/>
      <c r="BG142" s="1077"/>
      <c r="BH142" s="1077"/>
      <c r="BI142" s="1077"/>
      <c r="BJ142" s="1077"/>
      <c r="BK142" s="1077"/>
      <c r="BL142" s="1077"/>
      <c r="BM142" s="1077"/>
      <c r="BN142" s="1077"/>
      <c r="BO142" s="1077"/>
      <c r="BP142" s="1077"/>
      <c r="BQ142" s="1077"/>
      <c r="BR142" s="1077"/>
      <c r="BS142" s="1077"/>
      <c r="BT142" s="1077"/>
      <c r="BU142" s="1077"/>
    </row>
    <row r="143" spans="1:73" x14ac:dyDescent="0.2">
      <c r="A143" s="1077"/>
      <c r="B143" s="1077"/>
      <c r="C143" s="1101"/>
      <c r="D143" s="1081"/>
      <c r="E143" s="1094"/>
      <c r="F143" s="1094"/>
      <c r="G143" s="1094"/>
      <c r="H143" s="1094">
        <f t="shared" ref="H143:S143" ca="1" si="71">OFFSET(H$76,MATCH($C142,$N$101:$N$107,0)*3,0)</f>
        <v>0.1511161435961178</v>
      </c>
      <c r="I143" s="1094">
        <f t="shared" ca="1" si="71"/>
        <v>2.122374924704741E-2</v>
      </c>
      <c r="J143" s="1094">
        <f t="shared" ca="1" si="71"/>
        <v>2.8581801345220675E-2</v>
      </c>
      <c r="K143" s="1094">
        <f t="shared" ca="1" si="71"/>
        <v>5.5538261552418875E-3</v>
      </c>
      <c r="L143" s="1094">
        <f t="shared" ca="1" si="71"/>
        <v>1.6385419948305904E-3</v>
      </c>
      <c r="M143" s="1094">
        <f t="shared" ca="1" si="71"/>
        <v>0.26539434394012101</v>
      </c>
      <c r="N143" s="1094">
        <f t="shared" ca="1" si="71"/>
        <v>1.3716385995415592</v>
      </c>
      <c r="O143" s="1094">
        <f t="shared" ca="1" si="71"/>
        <v>0.21197338494250781</v>
      </c>
      <c r="P143" s="1094">
        <f t="shared" ca="1" si="71"/>
        <v>0.24553111712834097</v>
      </c>
      <c r="Q143" s="1094">
        <f t="shared" ca="1" si="71"/>
        <v>9.9273033601081154E-2</v>
      </c>
      <c r="R143" s="1094">
        <f t="shared" ca="1" si="71"/>
        <v>1.6547542118833171E-2</v>
      </c>
      <c r="S143" s="1094">
        <f t="shared" ca="1" si="71"/>
        <v>4.4595711647054384E-3</v>
      </c>
      <c r="T143" s="1077"/>
      <c r="U143" s="1077"/>
      <c r="V143" s="1077"/>
      <c r="W143" s="1077"/>
      <c r="X143" s="1077"/>
      <c r="Y143" s="1077"/>
      <c r="Z143" s="1077"/>
      <c r="AA143" s="1077"/>
      <c r="AB143" s="1077"/>
      <c r="AC143" s="1077"/>
      <c r="AD143" s="1077"/>
      <c r="AE143" s="1077"/>
      <c r="AF143" s="1077"/>
      <c r="AG143" s="1077"/>
      <c r="AH143" s="1077"/>
      <c r="AI143" s="1077"/>
      <c r="AJ143" s="1077"/>
      <c r="AK143" s="1077"/>
      <c r="AL143" s="1077"/>
      <c r="AM143" s="1077"/>
      <c r="AN143" s="1077"/>
      <c r="AO143" s="1077"/>
      <c r="AP143" s="1077"/>
      <c r="AQ143" s="1077"/>
      <c r="AR143" s="1077"/>
      <c r="AS143" s="1077"/>
      <c r="AT143" s="1077"/>
      <c r="AU143" s="1077"/>
      <c r="AV143" s="1077"/>
      <c r="AW143" s="1077"/>
      <c r="AX143" s="1077"/>
      <c r="AY143" s="1077"/>
      <c r="AZ143" s="1077"/>
      <c r="BA143" s="1077"/>
      <c r="BB143" s="1077"/>
      <c r="BC143" s="1077"/>
      <c r="BD143" s="1077"/>
      <c r="BE143" s="1077"/>
      <c r="BF143" s="1077"/>
      <c r="BG143" s="1077"/>
      <c r="BH143" s="1077"/>
      <c r="BI143" s="1077"/>
      <c r="BJ143" s="1077"/>
      <c r="BK143" s="1077"/>
      <c r="BL143" s="1077"/>
      <c r="BM143" s="1077"/>
      <c r="BN143" s="1077"/>
      <c r="BO143" s="1077"/>
      <c r="BP143" s="1077"/>
      <c r="BQ143" s="1077"/>
      <c r="BR143" s="1077"/>
      <c r="BS143" s="1077"/>
      <c r="BT143" s="1077"/>
      <c r="BU143" s="1077"/>
    </row>
    <row r="144" spans="1:73" x14ac:dyDescent="0.2">
      <c r="A144" s="1077"/>
      <c r="B144" s="1077"/>
      <c r="C144" s="1101"/>
      <c r="D144" s="1081"/>
      <c r="E144" s="1094"/>
      <c r="F144" s="1094"/>
      <c r="G144" s="1094"/>
      <c r="H144" s="1094"/>
      <c r="I144" s="1094"/>
      <c r="J144" s="1094"/>
      <c r="K144" s="1094"/>
      <c r="L144" s="1094"/>
      <c r="M144" s="1094"/>
      <c r="N144" s="1094"/>
      <c r="O144" s="1094"/>
      <c r="P144" s="1094"/>
      <c r="Q144" s="1094"/>
      <c r="R144" s="1094"/>
      <c r="S144" s="1094"/>
      <c r="T144" s="1077"/>
      <c r="U144" s="1077"/>
      <c r="V144" s="1077"/>
      <c r="W144" s="1077"/>
      <c r="X144" s="1077"/>
      <c r="Y144" s="1077"/>
      <c r="Z144" s="1077"/>
      <c r="AA144" s="1077"/>
      <c r="AB144" s="1077"/>
      <c r="AC144" s="1077"/>
      <c r="AD144" s="1077"/>
      <c r="AE144" s="1077"/>
      <c r="AF144" s="1077"/>
      <c r="AG144" s="1077"/>
      <c r="AH144" s="1077"/>
      <c r="AI144" s="1077"/>
      <c r="AJ144" s="1077"/>
      <c r="AK144" s="1077"/>
      <c r="AL144" s="1077"/>
      <c r="AM144" s="1077"/>
      <c r="AN144" s="1077"/>
      <c r="AO144" s="1077"/>
      <c r="AP144" s="1077"/>
      <c r="AQ144" s="1077"/>
      <c r="AR144" s="1077"/>
      <c r="AS144" s="1077"/>
      <c r="AT144" s="1077"/>
      <c r="AU144" s="1077"/>
      <c r="AV144" s="1077"/>
      <c r="AW144" s="1077"/>
      <c r="AX144" s="1077"/>
      <c r="AY144" s="1077"/>
      <c r="AZ144" s="1077"/>
      <c r="BA144" s="1077"/>
      <c r="BB144" s="1077"/>
      <c r="BC144" s="1077"/>
      <c r="BD144" s="1077"/>
      <c r="BE144" s="1077"/>
      <c r="BF144" s="1077"/>
      <c r="BG144" s="1077"/>
      <c r="BH144" s="1077"/>
      <c r="BI144" s="1077"/>
      <c r="BJ144" s="1077"/>
      <c r="BK144" s="1077"/>
      <c r="BL144" s="1077"/>
      <c r="BM144" s="1077"/>
      <c r="BN144" s="1077"/>
      <c r="BO144" s="1077"/>
      <c r="BP144" s="1077"/>
      <c r="BQ144" s="1077"/>
      <c r="BR144" s="1077"/>
      <c r="BS144" s="1077"/>
      <c r="BT144" s="1077"/>
      <c r="BU144" s="1077"/>
    </row>
    <row r="145" spans="1:73" x14ac:dyDescent="0.2">
      <c r="A145" s="1077"/>
      <c r="B145" s="1077"/>
      <c r="C145" s="1101">
        <v>7</v>
      </c>
      <c r="D145" s="1081" t="str">
        <f t="shared" ref="D145:G145" ca="1" si="72">OFFSET(D$76,MATCH($C145,$N$101:$N$107,0)*3-2,0)</f>
        <v>Utilities Consumption (% of baseline) = 95%</v>
      </c>
      <c r="E145" s="1094">
        <f t="shared" ca="1" si="72"/>
        <v>2.4024428512494405</v>
      </c>
      <c r="F145" s="1094">
        <f t="shared" ca="1" si="72"/>
        <v>0</v>
      </c>
      <c r="G145" s="1094">
        <f t="shared" ca="1" si="72"/>
        <v>1.6418275002923967E-3</v>
      </c>
      <c r="H145" s="1094"/>
      <c r="I145" s="1094"/>
      <c r="J145" s="1094"/>
      <c r="K145" s="1094"/>
      <c r="L145" s="1094"/>
      <c r="M145" s="1094"/>
      <c r="N145" s="1094"/>
      <c r="O145" s="1094"/>
      <c r="P145" s="1094"/>
      <c r="Q145" s="1094"/>
      <c r="R145" s="1094"/>
      <c r="S145" s="1094"/>
      <c r="T145" s="1077"/>
      <c r="U145" s="1077"/>
      <c r="V145" s="1077"/>
      <c r="W145" s="1077"/>
      <c r="X145" s="1077"/>
      <c r="Y145" s="1077"/>
      <c r="Z145" s="1077"/>
      <c r="AA145" s="1077"/>
      <c r="AB145" s="1077"/>
      <c r="AC145" s="1077"/>
      <c r="AD145" s="1077"/>
      <c r="AE145" s="1077"/>
      <c r="AF145" s="1077"/>
      <c r="AG145" s="1077"/>
      <c r="AH145" s="1077"/>
      <c r="AI145" s="1077"/>
      <c r="AJ145" s="1077"/>
      <c r="AK145" s="1077"/>
      <c r="AL145" s="1077"/>
      <c r="AM145" s="1077"/>
      <c r="AN145" s="1077"/>
      <c r="AO145" s="1077"/>
      <c r="AP145" s="1077"/>
      <c r="AQ145" s="1077"/>
      <c r="AR145" s="1077"/>
      <c r="AS145" s="1077"/>
      <c r="AT145" s="1077"/>
      <c r="AU145" s="1077"/>
      <c r="AV145" s="1077"/>
      <c r="AW145" s="1077"/>
      <c r="AX145" s="1077"/>
      <c r="AY145" s="1077"/>
      <c r="AZ145" s="1077"/>
      <c r="BA145" s="1077"/>
      <c r="BB145" s="1077"/>
      <c r="BC145" s="1077"/>
      <c r="BD145" s="1077"/>
      <c r="BE145" s="1077"/>
      <c r="BF145" s="1077"/>
      <c r="BG145" s="1077"/>
      <c r="BH145" s="1077"/>
      <c r="BI145" s="1077"/>
      <c r="BJ145" s="1077"/>
      <c r="BK145" s="1077"/>
      <c r="BL145" s="1077"/>
      <c r="BM145" s="1077"/>
      <c r="BN145" s="1077"/>
      <c r="BO145" s="1077"/>
      <c r="BP145" s="1077"/>
      <c r="BQ145" s="1077"/>
      <c r="BR145" s="1077"/>
      <c r="BS145" s="1077"/>
      <c r="BT145" s="1077"/>
      <c r="BU145" s="1077"/>
    </row>
    <row r="146" spans="1:73" x14ac:dyDescent="0.2">
      <c r="A146" s="1077"/>
      <c r="B146" s="1077"/>
      <c r="C146" s="1101"/>
      <c r="D146" s="1081"/>
      <c r="E146" s="1094"/>
      <c r="F146" s="1094"/>
      <c r="G146" s="1094"/>
      <c r="H146" s="1094">
        <f t="shared" ref="H146:S146" ca="1" si="73">OFFSET(H$76,MATCH($C145,$N$101:$N$107,0)*3-2,0)</f>
        <v>0.14942045524399045</v>
      </c>
      <c r="I146" s="1094">
        <f t="shared" ca="1" si="73"/>
        <v>2.0985595575770056E-2</v>
      </c>
      <c r="J146" s="1094">
        <f t="shared" ca="1" si="73"/>
        <v>2.8372881315156803E-2</v>
      </c>
      <c r="K146" s="1094">
        <f t="shared" ca="1" si="73"/>
        <v>5.4915061535724839E-3</v>
      </c>
      <c r="L146" s="1094">
        <f t="shared" ca="1" si="73"/>
        <v>1.6201557621688327E-3</v>
      </c>
      <c r="M146" s="1094">
        <f t="shared" ca="1" si="73"/>
        <v>0.25862031433665061</v>
      </c>
      <c r="N146" s="1094">
        <f t="shared" ca="1" si="73"/>
        <v>1.3716385995415594</v>
      </c>
      <c r="O146" s="1094">
        <f t="shared" ca="1" si="73"/>
        <v>0.21197338494250778</v>
      </c>
      <c r="P146" s="1094">
        <f t="shared" ca="1" si="73"/>
        <v>0.23699256197042473</v>
      </c>
      <c r="Q146" s="1094">
        <f t="shared" ca="1" si="73"/>
        <v>9.8159081625125419E-2</v>
      </c>
      <c r="R146" s="1094">
        <f t="shared" ca="1" si="73"/>
        <v>1.6400612382384893E-2</v>
      </c>
      <c r="S146" s="1094">
        <f t="shared" ca="1" si="73"/>
        <v>4.4095299004201019E-3</v>
      </c>
      <c r="T146" s="1077"/>
      <c r="U146" s="1077"/>
      <c r="V146" s="1077"/>
      <c r="W146" s="1077"/>
      <c r="X146" s="1077"/>
      <c r="Y146" s="1077"/>
      <c r="Z146" s="1077"/>
      <c r="AA146" s="1077"/>
      <c r="AB146" s="1077"/>
      <c r="AC146" s="1077"/>
      <c r="AD146" s="1077"/>
      <c r="AE146" s="1077"/>
      <c r="AF146" s="1077"/>
      <c r="AG146" s="1077"/>
      <c r="AH146" s="1077"/>
      <c r="AI146" s="1077"/>
      <c r="AJ146" s="1077"/>
      <c r="AK146" s="1077"/>
      <c r="AL146" s="1077"/>
      <c r="AM146" s="1077"/>
      <c r="AN146" s="1077"/>
      <c r="AO146" s="1077"/>
      <c r="AP146" s="1077"/>
      <c r="AQ146" s="1077"/>
      <c r="AR146" s="1077"/>
      <c r="AS146" s="1077"/>
      <c r="AT146" s="1077"/>
      <c r="AU146" s="1077"/>
      <c r="AV146" s="1077"/>
      <c r="AW146" s="1077"/>
      <c r="AX146" s="1077"/>
      <c r="AY146" s="1077"/>
      <c r="AZ146" s="1077"/>
      <c r="BA146" s="1077"/>
      <c r="BB146" s="1077"/>
      <c r="BC146" s="1077"/>
      <c r="BD146" s="1077"/>
      <c r="BE146" s="1077"/>
      <c r="BF146" s="1077"/>
      <c r="BG146" s="1077"/>
      <c r="BH146" s="1077"/>
      <c r="BI146" s="1077"/>
      <c r="BJ146" s="1077"/>
      <c r="BK146" s="1077"/>
      <c r="BL146" s="1077"/>
      <c r="BM146" s="1077"/>
      <c r="BN146" s="1077"/>
      <c r="BO146" s="1077"/>
      <c r="BP146" s="1077"/>
      <c r="BQ146" s="1077"/>
      <c r="BR146" s="1077"/>
      <c r="BS146" s="1077"/>
      <c r="BT146" s="1077"/>
      <c r="BU146" s="1077"/>
    </row>
    <row r="147" spans="1:73" x14ac:dyDescent="0.2">
      <c r="A147" s="1077"/>
      <c r="B147" s="1077"/>
      <c r="C147" s="1101">
        <v>7</v>
      </c>
      <c r="D147" s="1081" t="str">
        <f t="shared" ref="D147:G147" ca="1" si="74">OFFSET(D$76,MATCH($C147,$N$101:$N$107,0)*3,0)</f>
        <v>Utilities Consumption (% of baseline) = 105%</v>
      </c>
      <c r="E147" s="1094">
        <f t="shared" ca="1" si="74"/>
        <v>2.4198336397028712</v>
      </c>
      <c r="F147" s="1094">
        <f t="shared" ca="1" si="74"/>
        <v>0</v>
      </c>
      <c r="G147" s="1094">
        <f t="shared" ca="1" si="74"/>
        <v>1.6418275002923967E-3</v>
      </c>
      <c r="H147" s="1094"/>
      <c r="I147" s="1094"/>
      <c r="J147" s="1094"/>
      <c r="K147" s="1094"/>
      <c r="L147" s="1094"/>
      <c r="M147" s="1094"/>
      <c r="N147" s="1094"/>
      <c r="O147" s="1094"/>
      <c r="P147" s="1094"/>
      <c r="Q147" s="1094"/>
      <c r="R147" s="1094"/>
      <c r="S147" s="1094"/>
      <c r="T147" s="1077"/>
      <c r="U147" s="1077"/>
      <c r="V147" s="1077"/>
      <c r="W147" s="1077"/>
      <c r="X147" s="1077"/>
      <c r="Y147" s="1077"/>
      <c r="Z147" s="1077"/>
      <c r="AA147" s="1077"/>
      <c r="AB147" s="1077"/>
      <c r="AC147" s="1077"/>
      <c r="AD147" s="1077"/>
      <c r="AE147" s="1077"/>
      <c r="AF147" s="1077"/>
      <c r="AG147" s="1077"/>
      <c r="AH147" s="1077"/>
      <c r="AI147" s="1077"/>
      <c r="AJ147" s="1077"/>
      <c r="AK147" s="1077"/>
      <c r="AL147" s="1077"/>
      <c r="AM147" s="1077"/>
      <c r="AN147" s="1077"/>
      <c r="AO147" s="1077"/>
      <c r="AP147" s="1077"/>
      <c r="AQ147" s="1077"/>
      <c r="AR147" s="1077"/>
      <c r="AS147" s="1077"/>
      <c r="AT147" s="1077"/>
      <c r="AU147" s="1077"/>
      <c r="AV147" s="1077"/>
      <c r="AW147" s="1077"/>
      <c r="AX147" s="1077"/>
      <c r="AY147" s="1077"/>
      <c r="AZ147" s="1077"/>
      <c r="BA147" s="1077"/>
      <c r="BB147" s="1077"/>
      <c r="BC147" s="1077"/>
      <c r="BD147" s="1077"/>
      <c r="BE147" s="1077"/>
      <c r="BF147" s="1077"/>
      <c r="BG147" s="1077"/>
      <c r="BH147" s="1077"/>
      <c r="BI147" s="1077"/>
      <c r="BJ147" s="1077"/>
      <c r="BK147" s="1077"/>
      <c r="BL147" s="1077"/>
      <c r="BM147" s="1077"/>
      <c r="BN147" s="1077"/>
      <c r="BO147" s="1077"/>
      <c r="BP147" s="1077"/>
      <c r="BQ147" s="1077"/>
      <c r="BR147" s="1077"/>
      <c r="BS147" s="1077"/>
      <c r="BT147" s="1077"/>
      <c r="BU147" s="1077"/>
    </row>
    <row r="148" spans="1:73" x14ac:dyDescent="0.2">
      <c r="A148" s="1077"/>
      <c r="B148" s="1077"/>
      <c r="C148" s="1081"/>
      <c r="D148" s="1081"/>
      <c r="E148" s="1081"/>
      <c r="F148" s="1081"/>
      <c r="G148" s="1081"/>
      <c r="H148" s="1094">
        <f t="shared" ref="H148:S148" ca="1" si="75">OFFSET(H$76,MATCH($C147,$N$101:$N$107,0)*3,0)</f>
        <v>0.14942045524399045</v>
      </c>
      <c r="I148" s="1094">
        <f t="shared" ca="1" si="75"/>
        <v>2.0985595575770056E-2</v>
      </c>
      <c r="J148" s="1094">
        <f t="shared" ca="1" si="75"/>
        <v>2.8605818700136856E-2</v>
      </c>
      <c r="K148" s="1094">
        <f t="shared" ca="1" si="75"/>
        <v>5.4915061535724839E-3</v>
      </c>
      <c r="L148" s="1094">
        <f t="shared" ca="1" si="75"/>
        <v>1.6201557621688327E-3</v>
      </c>
      <c r="M148" s="1094">
        <f t="shared" ca="1" si="75"/>
        <v>0.25862031433665061</v>
      </c>
      <c r="N148" s="1094">
        <f t="shared" ca="1" si="75"/>
        <v>1.3716385995415594</v>
      </c>
      <c r="O148" s="1094">
        <f t="shared" ca="1" si="75"/>
        <v>0.21197338494250778</v>
      </c>
      <c r="P148" s="1094">
        <f t="shared" ca="1" si="75"/>
        <v>0.2540696722862571</v>
      </c>
      <c r="Q148" s="1094">
        <f t="shared" ca="1" si="75"/>
        <v>9.8159081625125419E-2</v>
      </c>
      <c r="R148" s="1094">
        <f t="shared" ca="1" si="75"/>
        <v>1.6481353135002614E-2</v>
      </c>
      <c r="S148" s="1094">
        <f t="shared" ca="1" si="75"/>
        <v>4.4095299004201019E-3</v>
      </c>
      <c r="T148" s="1077"/>
      <c r="U148" s="1077"/>
      <c r="V148" s="1077"/>
      <c r="W148" s="1077"/>
      <c r="X148" s="1077"/>
      <c r="Y148" s="1077"/>
      <c r="Z148" s="1077"/>
      <c r="AA148" s="1077"/>
      <c r="AB148" s="1077"/>
      <c r="AC148" s="1077"/>
      <c r="AD148" s="1077"/>
      <c r="AE148" s="1077"/>
      <c r="AF148" s="1077"/>
      <c r="AG148" s="1077"/>
      <c r="AH148" s="1077"/>
      <c r="AI148" s="1077"/>
      <c r="AJ148" s="1077"/>
      <c r="AK148" s="1077"/>
      <c r="AL148" s="1077"/>
      <c r="AM148" s="1077"/>
      <c r="AN148" s="1077"/>
      <c r="AO148" s="1077"/>
      <c r="AP148" s="1077"/>
      <c r="AQ148" s="1077"/>
      <c r="AR148" s="1077"/>
      <c r="AS148" s="1077"/>
      <c r="AT148" s="1077"/>
      <c r="AU148" s="1077"/>
      <c r="AV148" s="1077"/>
      <c r="AW148" s="1077"/>
      <c r="AX148" s="1077"/>
      <c r="AY148" s="1077"/>
      <c r="AZ148" s="1077"/>
      <c r="BA148" s="1077"/>
      <c r="BB148" s="1077"/>
      <c r="BC148" s="1077"/>
      <c r="BD148" s="1077"/>
      <c r="BE148" s="1077"/>
      <c r="BF148" s="1077"/>
      <c r="BG148" s="1077"/>
      <c r="BH148" s="1077"/>
      <c r="BI148" s="1077"/>
      <c r="BJ148" s="1077"/>
      <c r="BK148" s="1077"/>
      <c r="BL148" s="1077"/>
      <c r="BM148" s="1077"/>
      <c r="BN148" s="1077"/>
      <c r="BO148" s="1077"/>
      <c r="BP148" s="1077"/>
      <c r="BQ148" s="1077"/>
      <c r="BR148" s="1077"/>
      <c r="BS148" s="1077"/>
      <c r="BT148" s="1077"/>
      <c r="BU148" s="1077"/>
    </row>
    <row r="149" spans="1:73" x14ac:dyDescent="0.2">
      <c r="A149" s="1077"/>
      <c r="B149" s="1077"/>
      <c r="C149" s="1077"/>
      <c r="D149" s="1077"/>
      <c r="E149" s="1077"/>
      <c r="F149" s="1077"/>
      <c r="G149" s="1077"/>
      <c r="H149" s="1077"/>
      <c r="I149" s="1077"/>
      <c r="J149" s="1077"/>
      <c r="K149" s="1077"/>
      <c r="L149" s="1077"/>
      <c r="M149" s="1077"/>
      <c r="N149" s="1077"/>
      <c r="O149" s="1077"/>
      <c r="P149" s="1077"/>
      <c r="Q149" s="1077"/>
      <c r="R149" s="1077"/>
      <c r="S149" s="1077"/>
      <c r="T149" s="1077"/>
      <c r="U149" s="1077"/>
      <c r="V149" s="1077"/>
      <c r="W149" s="1077"/>
      <c r="X149" s="1077"/>
      <c r="Y149" s="1077"/>
      <c r="Z149" s="1077"/>
      <c r="AA149" s="1077"/>
      <c r="AB149" s="1077"/>
      <c r="AC149" s="1077"/>
      <c r="AD149" s="1077"/>
      <c r="AE149" s="1077"/>
      <c r="AF149" s="1077"/>
      <c r="AG149" s="1077"/>
      <c r="AH149" s="1077"/>
      <c r="AI149" s="1077"/>
      <c r="AJ149" s="1077"/>
      <c r="AK149" s="1077"/>
      <c r="AL149" s="1077"/>
      <c r="AM149" s="1077"/>
      <c r="AN149" s="1077"/>
      <c r="AO149" s="1077"/>
      <c r="AP149" s="1077"/>
      <c r="AQ149" s="1077"/>
      <c r="AR149" s="1077"/>
      <c r="AS149" s="1077"/>
      <c r="AT149" s="1077"/>
      <c r="AU149" s="1077"/>
      <c r="AV149" s="1077"/>
      <c r="AW149" s="1077"/>
      <c r="AX149" s="1077"/>
      <c r="AY149" s="1077"/>
      <c r="AZ149" s="1077"/>
      <c r="BA149" s="1077"/>
      <c r="BB149" s="1077"/>
      <c r="BC149" s="1077"/>
      <c r="BD149" s="1077"/>
      <c r="BE149" s="1077"/>
      <c r="BF149" s="1077"/>
      <c r="BG149" s="1077"/>
      <c r="BH149" s="1077"/>
      <c r="BI149" s="1077"/>
      <c r="BJ149" s="1077"/>
      <c r="BK149" s="1077"/>
      <c r="BL149" s="1077"/>
      <c r="BM149" s="1077"/>
      <c r="BN149" s="1077"/>
      <c r="BO149" s="1077"/>
      <c r="BP149" s="1077"/>
      <c r="BQ149" s="1077"/>
      <c r="BR149" s="1077"/>
      <c r="BS149" s="1077"/>
      <c r="BT149" s="1077"/>
      <c r="BU149" s="1077"/>
    </row>
    <row r="150" spans="1:73" x14ac:dyDescent="0.2">
      <c r="A150" s="1077"/>
      <c r="B150" s="1077"/>
      <c r="C150" s="1077"/>
      <c r="D150" s="1077"/>
      <c r="E150" s="1077"/>
      <c r="F150" s="1077"/>
      <c r="G150" s="1077"/>
      <c r="H150" s="1077"/>
      <c r="I150" s="1077"/>
      <c r="J150" s="1077"/>
      <c r="K150" s="1077"/>
      <c r="L150" s="1077"/>
      <c r="M150" s="1077"/>
      <c r="N150" s="1077"/>
      <c r="O150" s="1077"/>
      <c r="P150" s="1077"/>
      <c r="Q150" s="1077"/>
      <c r="R150" s="1077"/>
      <c r="S150" s="1077"/>
      <c r="T150" s="1077"/>
      <c r="U150" s="1077"/>
      <c r="V150" s="1077"/>
      <c r="W150" s="1077"/>
      <c r="X150" s="1077"/>
      <c r="Y150" s="1077"/>
      <c r="Z150" s="1077"/>
      <c r="AA150" s="1077"/>
      <c r="AB150" s="1077"/>
      <c r="AC150" s="1077"/>
      <c r="AD150" s="1077"/>
      <c r="AE150" s="1077"/>
      <c r="AF150" s="1077"/>
      <c r="AG150" s="1077"/>
      <c r="AH150" s="1077"/>
      <c r="AI150" s="1077"/>
      <c r="AJ150" s="1077"/>
      <c r="AK150" s="1077"/>
      <c r="AL150" s="1077"/>
      <c r="AM150" s="1077"/>
      <c r="AN150" s="1077"/>
      <c r="AO150" s="1077"/>
      <c r="AP150" s="1077"/>
      <c r="AQ150" s="1077"/>
      <c r="AR150" s="1077"/>
      <c r="AS150" s="1077"/>
      <c r="AT150" s="1077"/>
      <c r="AU150" s="1077"/>
      <c r="AV150" s="1077"/>
      <c r="AW150" s="1077"/>
      <c r="AX150" s="1077"/>
      <c r="AY150" s="1077"/>
      <c r="AZ150" s="1077"/>
      <c r="BA150" s="1077"/>
      <c r="BB150" s="1077"/>
      <c r="BC150" s="1077"/>
      <c r="BD150" s="1077"/>
      <c r="BE150" s="1077"/>
      <c r="BF150" s="1077"/>
      <c r="BG150" s="1077"/>
      <c r="BH150" s="1077"/>
      <c r="BI150" s="1077"/>
      <c r="BJ150" s="1077"/>
      <c r="BK150" s="1077"/>
      <c r="BL150" s="1077"/>
      <c r="BM150" s="1077"/>
      <c r="BN150" s="1077"/>
      <c r="BO150" s="1077"/>
      <c r="BP150" s="1077"/>
      <c r="BQ150" s="1077"/>
      <c r="BR150" s="1077"/>
      <c r="BS150" s="1077"/>
      <c r="BT150" s="1077"/>
      <c r="BU150" s="1077"/>
    </row>
    <row r="151" spans="1:73" x14ac:dyDescent="0.2">
      <c r="A151" s="1077"/>
      <c r="B151" s="1077"/>
      <c r="C151" s="1077"/>
      <c r="D151" s="1077"/>
      <c r="E151" s="1077"/>
      <c r="F151" s="1077"/>
      <c r="G151" s="1077"/>
      <c r="H151" s="1077"/>
      <c r="I151" s="1077"/>
      <c r="J151" s="1077"/>
      <c r="K151" s="1077"/>
      <c r="L151" s="1077"/>
      <c r="M151" s="1077"/>
      <c r="N151" s="1077"/>
      <c r="O151" s="1077"/>
      <c r="P151" s="1077"/>
      <c r="Q151" s="1077"/>
      <c r="R151" s="1077"/>
      <c r="S151" s="1077"/>
      <c r="T151" s="1077"/>
      <c r="U151" s="1077"/>
      <c r="V151" s="1077"/>
      <c r="W151" s="1077"/>
      <c r="X151" s="1077"/>
      <c r="Y151" s="1077"/>
      <c r="Z151" s="1077"/>
      <c r="AA151" s="1077"/>
      <c r="AB151" s="1077"/>
      <c r="AC151" s="1077"/>
      <c r="AD151" s="1077"/>
      <c r="AE151" s="1077"/>
      <c r="AF151" s="1077"/>
      <c r="AG151" s="1077"/>
      <c r="AH151" s="1077"/>
      <c r="AI151" s="1077"/>
      <c r="AJ151" s="1077"/>
      <c r="AK151" s="1077"/>
      <c r="AL151" s="1077"/>
      <c r="AM151" s="1077"/>
      <c r="AN151" s="1077"/>
      <c r="AO151" s="1077"/>
      <c r="AP151" s="1077"/>
      <c r="AQ151" s="1077"/>
      <c r="AR151" s="1077"/>
      <c r="AS151" s="1077"/>
    </row>
    <row r="152" spans="1:73" x14ac:dyDescent="0.2">
      <c r="A152" s="1077"/>
      <c r="B152" s="1079" t="s">
        <v>1163</v>
      </c>
      <c r="C152" s="1077"/>
      <c r="D152" s="1077"/>
      <c r="E152" s="1077"/>
      <c r="F152" s="1077"/>
      <c r="G152" s="1077"/>
      <c r="H152" s="1077"/>
      <c r="I152" s="1077"/>
      <c r="J152" s="1077"/>
      <c r="K152" s="1077"/>
      <c r="L152" s="1077"/>
      <c r="M152" s="1077"/>
      <c r="N152" s="1077"/>
      <c r="O152" s="1077"/>
      <c r="P152" s="1077"/>
      <c r="Q152" s="1077"/>
      <c r="R152" s="1077"/>
      <c r="S152" s="1077"/>
      <c r="T152" s="1077"/>
      <c r="U152" s="1077"/>
      <c r="V152" s="1077"/>
      <c r="W152" s="1077"/>
      <c r="X152" s="1077"/>
      <c r="Y152" s="1077"/>
      <c r="Z152" s="1077"/>
      <c r="AA152" s="1077"/>
      <c r="AB152" s="1077"/>
      <c r="AC152" s="1077"/>
      <c r="AD152" s="1077"/>
      <c r="AE152" s="1077"/>
      <c r="AF152" s="1077"/>
      <c r="AG152" s="1077"/>
      <c r="AH152" s="1077"/>
      <c r="AI152" s="1077"/>
      <c r="AJ152" s="1077"/>
      <c r="AK152" s="1077"/>
      <c r="AL152" s="1077"/>
      <c r="AM152" s="1077"/>
      <c r="AN152" s="1077"/>
      <c r="AO152" s="1077"/>
      <c r="AP152" s="1077"/>
      <c r="AQ152" s="1077"/>
      <c r="AR152" s="1077"/>
      <c r="AS152" s="1077"/>
    </row>
    <row r="153" spans="1:73" x14ac:dyDescent="0.2">
      <c r="A153" s="1077"/>
      <c r="B153" s="1077"/>
      <c r="C153" s="1077"/>
      <c r="D153" s="1088" t="s">
        <v>1167</v>
      </c>
      <c r="E153" s="1088"/>
      <c r="F153" s="1088"/>
      <c r="G153" s="1088"/>
      <c r="H153" s="1088"/>
      <c r="I153" s="1088"/>
      <c r="J153" s="1077"/>
      <c r="K153" s="1077"/>
      <c r="L153" s="1077"/>
      <c r="M153" s="1077"/>
      <c r="N153" s="1077"/>
      <c r="O153" s="1077"/>
      <c r="P153" s="1077"/>
      <c r="Q153" s="1077"/>
      <c r="R153" s="1077"/>
      <c r="S153" s="1077"/>
      <c r="T153" s="1077"/>
      <c r="U153" s="1077"/>
      <c r="V153" s="1077"/>
      <c r="W153" s="1077"/>
      <c r="X153" s="1077"/>
      <c r="Y153" s="1077"/>
      <c r="Z153" s="1077"/>
      <c r="AA153" s="1077"/>
      <c r="AB153" s="1077"/>
      <c r="AC153" s="1077"/>
      <c r="AD153" s="1077"/>
      <c r="AE153" s="1077"/>
      <c r="AF153" s="1077"/>
      <c r="AG153" s="1077"/>
      <c r="AH153" s="1077"/>
      <c r="AI153" s="1077"/>
      <c r="AJ153" s="1077"/>
      <c r="AK153" s="1077"/>
      <c r="AL153" s="1077"/>
      <c r="AM153" s="1077"/>
      <c r="AN153" s="1077"/>
      <c r="AO153" s="1077"/>
      <c r="AP153" s="1077"/>
      <c r="AQ153" s="1077"/>
      <c r="AR153" s="1077"/>
      <c r="AS153" s="1077"/>
    </row>
    <row r="154" spans="1:73" ht="25.5" x14ac:dyDescent="0.2">
      <c r="A154" s="1077"/>
      <c r="B154" s="1079"/>
      <c r="C154" s="1077"/>
      <c r="D154" s="1088" t="s">
        <v>1166</v>
      </c>
      <c r="E154" s="1088" t="s">
        <v>1172</v>
      </c>
      <c r="F154" s="1088" t="s">
        <v>1168</v>
      </c>
      <c r="G154" s="1088" t="s">
        <v>1169</v>
      </c>
      <c r="H154" s="1088" t="s">
        <v>1170</v>
      </c>
      <c r="I154" s="1088" t="s">
        <v>1171</v>
      </c>
      <c r="J154" s="1077"/>
      <c r="K154" s="1088" t="s">
        <v>1201</v>
      </c>
      <c r="L154" s="1088" t="s">
        <v>1199</v>
      </c>
      <c r="M154" s="1088" t="s">
        <v>1200</v>
      </c>
      <c r="N154" s="1088" t="s">
        <v>1202</v>
      </c>
      <c r="O154" s="1077"/>
      <c r="P154" s="1077"/>
      <c r="Q154" s="1077"/>
      <c r="R154" s="1077"/>
      <c r="S154" s="1077"/>
      <c r="T154" s="1077"/>
      <c r="U154" s="1077"/>
      <c r="V154" s="1077"/>
      <c r="W154" s="1077"/>
      <c r="X154" s="1077"/>
      <c r="Y154" s="1077"/>
      <c r="Z154" s="1077"/>
      <c r="AA154" s="1077"/>
      <c r="AB154" s="1077"/>
      <c r="AC154" s="1077"/>
      <c r="AD154" s="1077"/>
      <c r="AE154" s="1077"/>
      <c r="AF154" s="1077"/>
      <c r="AG154" s="1077"/>
      <c r="AH154" s="1077"/>
      <c r="AI154" s="1077"/>
      <c r="AJ154" s="1077"/>
      <c r="AK154" s="1077"/>
      <c r="AL154" s="1077"/>
      <c r="AM154" s="1077"/>
      <c r="AN154" s="1077"/>
      <c r="AO154" s="1077"/>
      <c r="AP154" s="1077"/>
      <c r="AQ154" s="1077"/>
      <c r="AR154" s="1077"/>
      <c r="AS154" s="1077"/>
    </row>
    <row r="155" spans="1:73" x14ac:dyDescent="0.2">
      <c r="A155" s="1077"/>
      <c r="B155" s="1079" t="s">
        <v>1165</v>
      </c>
      <c r="C155" s="1077">
        <v>1</v>
      </c>
      <c r="D155" s="1080" t="s">
        <v>1180</v>
      </c>
      <c r="E155" s="1094">
        <f ca="1">+K48+C155/10000000000</f>
        <v>2.4111382455761561</v>
      </c>
      <c r="F155" s="1081">
        <f ca="1">+RANK(E155,$E$155:$E$157)</f>
        <v>1</v>
      </c>
      <c r="G155" s="1086">
        <v>1</v>
      </c>
      <c r="H155" s="1081" t="str">
        <f ca="1">OFFSET($D$154,MATCH($G155,$F$155:$F$157,0),0)</f>
        <v>Cost of Hydrogen</v>
      </c>
      <c r="I155" s="1096">
        <f ca="1">OFFSET($E$154,MATCH($G155,$F$155:$F$157,0),0)-OFFSET($C$154,MATCH($G155,$F$155:$F$157,0),0)/10000000000</f>
        <v>2.4111382454761561</v>
      </c>
      <c r="J155" s="1077"/>
      <c r="K155" s="1081" t="str">
        <f ca="1">+H155</f>
        <v>Cost of Hydrogen</v>
      </c>
      <c r="L155" s="1094">
        <f ca="1">+I155</f>
        <v>2.4111382454761561</v>
      </c>
      <c r="M155" s="1081"/>
      <c r="N155" s="1081" t="str">
        <f ca="1">+IF(L155&gt;0,K155,"")</f>
        <v>Cost of Hydrogen</v>
      </c>
      <c r="O155" s="1077"/>
      <c r="P155" s="1077"/>
      <c r="Q155" s="1077"/>
      <c r="R155" s="1077"/>
      <c r="S155" s="1077"/>
      <c r="T155" s="1077"/>
      <c r="U155" s="1077"/>
      <c r="V155" s="1077"/>
      <c r="W155" s="1077"/>
      <c r="X155" s="1077"/>
      <c r="Y155" s="1077"/>
      <c r="Z155" s="1077"/>
      <c r="AA155" s="1077"/>
      <c r="AB155" s="1077"/>
      <c r="AC155" s="1077"/>
      <c r="AD155" s="1077"/>
      <c r="AE155" s="1077"/>
      <c r="AF155" s="1077"/>
      <c r="AG155" s="1077"/>
      <c r="AH155" s="1077"/>
      <c r="AI155" s="1077"/>
      <c r="AJ155" s="1077"/>
    </row>
    <row r="156" spans="1:73" x14ac:dyDescent="0.2">
      <c r="A156" s="1077"/>
      <c r="B156" s="1079"/>
      <c r="C156" s="1077">
        <v>2</v>
      </c>
      <c r="D156" s="1081" t="str">
        <f>+F110</f>
        <v>Byproduct Sales</v>
      </c>
      <c r="E156" s="1094">
        <f ca="1">+L48+C156/10000000000</f>
        <v>2.0000000000000001E-10</v>
      </c>
      <c r="F156" s="1081">
        <f ca="1">+RANK(E156,$E$155:$E$157)</f>
        <v>3</v>
      </c>
      <c r="G156" s="1086">
        <v>2</v>
      </c>
      <c r="H156" s="1081" t="str">
        <f ca="1">OFFSET($D$154,MATCH($G156,$F$155:$F$157,0),0)</f>
        <v>Salvage Value</v>
      </c>
      <c r="I156" s="1096">
        <f ca="1">OFFSET($E$154,MATCH($G156,$F$155:$F$157,0),0)-OFFSET($C$154,MATCH($G156,$F$155:$F$157,0),0)/10000000000</f>
        <v>1.6418275002923967E-3</v>
      </c>
      <c r="J156" s="1077"/>
      <c r="K156" s="1081" t="str">
        <f t="shared" ref="K156:K170" ca="1" si="76">+H156</f>
        <v>Salvage Value</v>
      </c>
      <c r="L156" s="1094">
        <f t="shared" ref="L156:L157" ca="1" si="77">+I156</f>
        <v>1.6418275002923967E-3</v>
      </c>
      <c r="M156" s="1081"/>
      <c r="N156" s="1081" t="str">
        <f t="shared" ref="N156:N157" ca="1" si="78">+IF(L156&gt;0,K156,"")</f>
        <v>Salvage Value</v>
      </c>
      <c r="O156" s="1077"/>
      <c r="P156" s="1077"/>
      <c r="Q156" s="1077"/>
      <c r="R156" s="1077"/>
      <c r="S156" s="1077"/>
      <c r="T156" s="1077"/>
      <c r="U156" s="1077"/>
      <c r="V156" s="1077"/>
      <c r="W156" s="1077"/>
      <c r="X156" s="1077"/>
      <c r="Y156" s="1077"/>
      <c r="Z156" s="1077"/>
      <c r="AA156" s="1077"/>
      <c r="AB156" s="1077"/>
      <c r="AC156" s="1077"/>
      <c r="AD156" s="1077"/>
      <c r="AE156" s="1077"/>
      <c r="AF156" s="1077"/>
      <c r="AG156" s="1077"/>
      <c r="AH156" s="1077"/>
      <c r="AI156" s="1077"/>
      <c r="AJ156" s="1077"/>
    </row>
    <row r="157" spans="1:73" x14ac:dyDescent="0.2">
      <c r="A157" s="1077"/>
      <c r="B157" s="1079"/>
      <c r="C157" s="1077">
        <v>3</v>
      </c>
      <c r="D157" s="1081" t="str">
        <f>+G110</f>
        <v>Salvage Value</v>
      </c>
      <c r="E157" s="1094">
        <f ca="1">+M48+C157/10000000000</f>
        <v>1.6418278002923968E-3</v>
      </c>
      <c r="F157" s="1081">
        <f ca="1">+RANK(E157,$E$155:$E$157)</f>
        <v>2</v>
      </c>
      <c r="G157" s="1086">
        <v>3</v>
      </c>
      <c r="H157" s="1081" t="str">
        <f ca="1">OFFSET($D$154,MATCH($G157,$F$155:$F$157,0),0)</f>
        <v>Byproduct Sales</v>
      </c>
      <c r="I157" s="1096">
        <f ca="1">OFFSET($E$154,MATCH($G157,$F$155:$F$157,0),0)-OFFSET($C$154,MATCH($G157,$F$155:$F$157,0),0)/10000000000</f>
        <v>0</v>
      </c>
      <c r="J157" s="1077"/>
      <c r="K157" s="1081" t="str">
        <f t="shared" ca="1" si="76"/>
        <v>Byproduct Sales</v>
      </c>
      <c r="L157" s="1094">
        <f t="shared" ca="1" si="77"/>
        <v>0</v>
      </c>
      <c r="M157" s="1081"/>
      <c r="N157" s="1081" t="str">
        <f t="shared" ca="1" si="78"/>
        <v/>
      </c>
      <c r="O157" s="1077"/>
      <c r="P157" s="1077"/>
      <c r="Q157" s="1077"/>
      <c r="R157" s="1077"/>
      <c r="S157" s="1077"/>
      <c r="T157" s="1077"/>
      <c r="U157" s="1077"/>
      <c r="V157" s="1077"/>
      <c r="W157" s="1077"/>
      <c r="X157" s="1077"/>
      <c r="Y157" s="1077"/>
      <c r="Z157" s="1077"/>
      <c r="AA157" s="1077"/>
      <c r="AB157" s="1077"/>
      <c r="AC157" s="1077"/>
      <c r="AD157" s="1077"/>
      <c r="AE157" s="1077"/>
      <c r="AF157" s="1077"/>
      <c r="AG157" s="1077"/>
      <c r="AH157" s="1077"/>
      <c r="AI157" s="1077"/>
      <c r="AJ157" s="1077"/>
    </row>
    <row r="158" spans="1:73" x14ac:dyDescent="0.2">
      <c r="A158" s="1077"/>
      <c r="B158" s="1079"/>
      <c r="C158" s="1077"/>
      <c r="D158" s="1079"/>
      <c r="E158" s="1079"/>
      <c r="F158" s="1079"/>
      <c r="G158" s="1079"/>
      <c r="H158" s="1079"/>
      <c r="I158" s="1107"/>
      <c r="J158" s="1077"/>
      <c r="K158" s="1081"/>
      <c r="L158" s="1081"/>
      <c r="M158" s="1094"/>
      <c r="N158" s="1081" t="str">
        <f t="shared" ref="N158" si="79">+IF(L158&gt;0.01,K158,"")</f>
        <v/>
      </c>
      <c r="O158" s="1077"/>
      <c r="P158" s="1077"/>
      <c r="Q158" s="1077"/>
      <c r="R158" s="1077"/>
      <c r="S158" s="1077"/>
      <c r="T158" s="1077"/>
      <c r="U158" s="1077"/>
      <c r="V158" s="1077"/>
      <c r="W158" s="1077"/>
      <c r="X158" s="1077"/>
      <c r="Y158" s="1077"/>
      <c r="Z158" s="1077"/>
      <c r="AA158" s="1077"/>
      <c r="AB158" s="1077"/>
      <c r="AC158" s="1077"/>
      <c r="AD158" s="1077"/>
      <c r="AE158" s="1077"/>
      <c r="AF158" s="1077"/>
      <c r="AG158" s="1077"/>
      <c r="AH158" s="1077"/>
      <c r="AI158" s="1077"/>
      <c r="AJ158" s="1077"/>
    </row>
    <row r="159" spans="1:73" x14ac:dyDescent="0.2">
      <c r="A159" s="1077"/>
      <c r="B159" s="1079" t="s">
        <v>1164</v>
      </c>
      <c r="C159" s="1077">
        <v>1</v>
      </c>
      <c r="D159" s="1081" t="str">
        <f>+H110</f>
        <v>Initial Equity Depreciable Capital</v>
      </c>
      <c r="E159" s="1094">
        <f ca="1">+N48+C159/10000000000</f>
        <v>0.14942045534399045</v>
      </c>
      <c r="F159" s="1081">
        <f t="shared" ref="F159:F170" ca="1" si="80">+RANK(E159,$E$159:$E$170)</f>
        <v>5</v>
      </c>
      <c r="G159" s="1086">
        <v>1</v>
      </c>
      <c r="H159" s="1081" t="str">
        <f t="shared" ref="H159:H170" ca="1" si="81">OFFSET($D$158,MATCH($G159,$F$159:$F$170,0),0)</f>
        <v>Feedstock Cost</v>
      </c>
      <c r="I159" s="1096">
        <f t="shared" ref="I159:I170" ca="1" si="82">OFFSET($E$158,MATCH($G159,$F$159:$F$170,0),0)-OFFSET($C$158,MATCH($G159,$F$159:$F$170,0),0)/10000000000</f>
        <v>1.3716385995415594</v>
      </c>
      <c r="J159" s="1077"/>
      <c r="K159" s="1081" t="str">
        <f t="shared" ca="1" si="76"/>
        <v>Feedstock Cost</v>
      </c>
      <c r="L159" s="1081"/>
      <c r="M159" s="1094">
        <f ca="1">+I159</f>
        <v>1.3716385995415594</v>
      </c>
      <c r="N159" s="1081" t="str">
        <f ca="1">+IF(M159&gt;0,K159,"")</f>
        <v>Feedstock Cost</v>
      </c>
      <c r="O159" s="1077"/>
      <c r="P159" s="1077"/>
      <c r="Q159" s="1077"/>
      <c r="R159" s="1077"/>
      <c r="S159" s="1077"/>
      <c r="T159" s="1077"/>
      <c r="U159" s="1077"/>
      <c r="V159" s="1077"/>
      <c r="W159" s="1077"/>
      <c r="X159" s="1077"/>
      <c r="Y159" s="1077"/>
      <c r="Z159" s="1077"/>
      <c r="AA159" s="1077"/>
      <c r="AB159" s="1077"/>
      <c r="AC159" s="1077"/>
      <c r="AD159" s="1077"/>
      <c r="AE159" s="1077"/>
      <c r="AF159" s="1077"/>
      <c r="AG159" s="1077"/>
      <c r="AH159" s="1077"/>
      <c r="AI159" s="1077"/>
      <c r="AJ159" s="1077"/>
    </row>
    <row r="160" spans="1:73" x14ac:dyDescent="0.2">
      <c r="A160" s="1077"/>
      <c r="B160" s="1077"/>
      <c r="C160" s="1077">
        <f>+C159+1</f>
        <v>2</v>
      </c>
      <c r="D160" s="1081" t="str">
        <f>+I110</f>
        <v>Yearly Replacement Costs</v>
      </c>
      <c r="E160" s="1094">
        <f ca="1">+O48+C160/10000000000</f>
        <v>2.0985595775770055E-2</v>
      </c>
      <c r="F160" s="1081">
        <f t="shared" ca="1" si="80"/>
        <v>8</v>
      </c>
      <c r="G160" s="1086">
        <v>2</v>
      </c>
      <c r="H160" s="1081" t="str">
        <f t="shared" ca="1" si="81"/>
        <v>Fixed Operating Cost</v>
      </c>
      <c r="I160" s="1096">
        <f t="shared" ca="1" si="82"/>
        <v>0.25862031433665061</v>
      </c>
      <c r="J160" s="1077"/>
      <c r="K160" s="1081" t="str">
        <f t="shared" ca="1" si="76"/>
        <v>Fixed Operating Cost</v>
      </c>
      <c r="L160" s="1081"/>
      <c r="M160" s="1094">
        <f t="shared" ref="M160:M170" ca="1" si="83">+I160</f>
        <v>0.25862031433665061</v>
      </c>
      <c r="N160" s="1081" t="str">
        <f t="shared" ref="N160:N170" ca="1" si="84">+IF(M160&gt;0,K160,"")</f>
        <v>Fixed Operating Cost</v>
      </c>
      <c r="O160" s="1077"/>
      <c r="P160" s="1077"/>
      <c r="Q160" s="1077"/>
      <c r="R160" s="1077"/>
      <c r="S160" s="1077"/>
      <c r="T160" s="1077"/>
      <c r="U160" s="1077"/>
      <c r="V160" s="1077"/>
      <c r="W160" s="1077"/>
      <c r="X160" s="1077"/>
      <c r="Y160" s="1077"/>
      <c r="Z160" s="1077"/>
      <c r="AA160" s="1077"/>
      <c r="AB160" s="1077"/>
      <c r="AC160" s="1077"/>
      <c r="AD160" s="1077"/>
      <c r="AE160" s="1077"/>
      <c r="AF160" s="1077"/>
      <c r="AG160" s="1077"/>
      <c r="AH160" s="1077"/>
      <c r="AI160" s="1077"/>
      <c r="AJ160" s="1077"/>
    </row>
    <row r="161" spans="1:36" x14ac:dyDescent="0.2">
      <c r="A161" s="1077"/>
      <c r="B161" s="1077"/>
      <c r="C161" s="1077">
        <f t="shared" ref="C161:C170" si="85">+C160+1</f>
        <v>3</v>
      </c>
      <c r="D161" s="1081" t="str">
        <f>+J110</f>
        <v>Cash for Working Capital Reserve</v>
      </c>
      <c r="E161" s="1094">
        <f ca="1">+P48+C161/10000000000</f>
        <v>2.8489350307646818E-2</v>
      </c>
      <c r="F161" s="1081">
        <f t="shared" ca="1" si="80"/>
        <v>7</v>
      </c>
      <c r="G161" s="1086">
        <v>3</v>
      </c>
      <c r="H161" s="1081" t="str">
        <f t="shared" ca="1" si="81"/>
        <v>Other Variable Operating Costs</v>
      </c>
      <c r="I161" s="1096">
        <f t="shared" ca="1" si="82"/>
        <v>0.24553111712834094</v>
      </c>
      <c r="J161" s="1077"/>
      <c r="K161" s="1081" t="str">
        <f t="shared" ca="1" si="76"/>
        <v>Other Variable Operating Costs</v>
      </c>
      <c r="L161" s="1081"/>
      <c r="M161" s="1094">
        <f t="shared" ca="1" si="83"/>
        <v>0.24553111712834094</v>
      </c>
      <c r="N161" s="1081" t="str">
        <f t="shared" ca="1" si="84"/>
        <v>Other Variable Operating Costs</v>
      </c>
      <c r="O161" s="1077"/>
      <c r="P161" s="1077"/>
      <c r="Q161" s="1077"/>
      <c r="R161" s="1077"/>
      <c r="S161" s="1077"/>
      <c r="T161" s="1077"/>
      <c r="U161" s="1077"/>
      <c r="V161" s="1077"/>
      <c r="W161" s="1077"/>
      <c r="X161" s="1077"/>
      <c r="Y161" s="1077"/>
      <c r="Z161" s="1077"/>
      <c r="AA161" s="1077"/>
      <c r="AB161" s="1077"/>
      <c r="AC161" s="1077"/>
      <c r="AD161" s="1077"/>
      <c r="AE161" s="1077"/>
      <c r="AF161" s="1077"/>
      <c r="AG161" s="1077"/>
      <c r="AH161" s="1077"/>
      <c r="AI161" s="1077"/>
      <c r="AJ161" s="1077"/>
    </row>
    <row r="162" spans="1:36" x14ac:dyDescent="0.2">
      <c r="A162" s="1077"/>
      <c r="B162" s="1077"/>
      <c r="C162" s="1077">
        <f t="shared" si="85"/>
        <v>4</v>
      </c>
      <c r="D162" s="1081" t="str">
        <f>+K110</f>
        <v>Other Non-Depreciable Capital Costs</v>
      </c>
      <c r="E162" s="1094">
        <f ca="1">+Q48+C162/10000000000</f>
        <v>5.491506553572484E-3</v>
      </c>
      <c r="F162" s="1081">
        <f t="shared" ca="1" si="80"/>
        <v>10</v>
      </c>
      <c r="G162" s="1086">
        <v>4</v>
      </c>
      <c r="H162" s="1081" t="str">
        <f t="shared" ca="1" si="81"/>
        <v>Other Raw Material Cost</v>
      </c>
      <c r="I162" s="1096">
        <f t="shared" ca="1" si="82"/>
        <v>0.21197338494250778</v>
      </c>
      <c r="J162" s="1077"/>
      <c r="K162" s="1081" t="str">
        <f t="shared" ca="1" si="76"/>
        <v>Other Raw Material Cost</v>
      </c>
      <c r="L162" s="1081"/>
      <c r="M162" s="1094">
        <f t="shared" ca="1" si="83"/>
        <v>0.21197338494250778</v>
      </c>
      <c r="N162" s="1081" t="str">
        <f t="shared" ca="1" si="84"/>
        <v>Other Raw Material Cost</v>
      </c>
      <c r="O162" s="1077"/>
      <c r="P162" s="1077"/>
      <c r="Q162" s="1077"/>
      <c r="R162" s="1077"/>
      <c r="S162" s="1077"/>
      <c r="T162" s="1077"/>
      <c r="U162" s="1077"/>
      <c r="V162" s="1077"/>
      <c r="W162" s="1077"/>
      <c r="X162" s="1077"/>
      <c r="Y162" s="1077"/>
      <c r="Z162" s="1077"/>
      <c r="AA162" s="1077"/>
      <c r="AB162" s="1077"/>
      <c r="AC162" s="1077"/>
      <c r="AD162" s="1077"/>
      <c r="AE162" s="1077"/>
      <c r="AF162" s="1077"/>
      <c r="AG162" s="1077"/>
      <c r="AH162" s="1077"/>
      <c r="AI162" s="1077"/>
      <c r="AJ162" s="1077"/>
    </row>
    <row r="163" spans="1:36" x14ac:dyDescent="0.2">
      <c r="A163" s="1077"/>
      <c r="B163" s="1077"/>
      <c r="C163" s="1077">
        <f t="shared" si="85"/>
        <v>5</v>
      </c>
      <c r="D163" s="1081" t="str">
        <f>+L110</f>
        <v>Decommissioning Costs</v>
      </c>
      <c r="E163" s="1094">
        <f ca="1">+R48+C163/10000000000</f>
        <v>1.6201562621688326E-3</v>
      </c>
      <c r="F163" s="1081">
        <f t="shared" ca="1" si="80"/>
        <v>12</v>
      </c>
      <c r="G163" s="1086">
        <v>5</v>
      </c>
      <c r="H163" s="1081" t="str">
        <f t="shared" ca="1" si="81"/>
        <v>Initial Equity Depreciable Capital</v>
      </c>
      <c r="I163" s="1096">
        <f t="shared" ca="1" si="82"/>
        <v>0.14942045524399045</v>
      </c>
      <c r="J163" s="1077"/>
      <c r="K163" s="1081" t="str">
        <f t="shared" ca="1" si="76"/>
        <v>Initial Equity Depreciable Capital</v>
      </c>
      <c r="L163" s="1081"/>
      <c r="M163" s="1094">
        <f t="shared" ca="1" si="83"/>
        <v>0.14942045524399045</v>
      </c>
      <c r="N163" s="1081" t="str">
        <f t="shared" ca="1" si="84"/>
        <v>Initial Equity Depreciable Capital</v>
      </c>
      <c r="O163" s="1077"/>
      <c r="P163" s="1077"/>
      <c r="Q163" s="1077"/>
      <c r="R163" s="1077"/>
      <c r="S163" s="1077"/>
      <c r="T163" s="1077"/>
      <c r="U163" s="1077"/>
      <c r="V163" s="1077"/>
      <c r="W163" s="1077"/>
      <c r="X163" s="1077"/>
      <c r="Y163" s="1077"/>
      <c r="Z163" s="1077"/>
      <c r="AA163" s="1077"/>
      <c r="AB163" s="1077"/>
      <c r="AC163" s="1077"/>
      <c r="AD163" s="1077"/>
      <c r="AE163" s="1077"/>
      <c r="AF163" s="1077"/>
      <c r="AG163" s="1077"/>
      <c r="AH163" s="1077"/>
      <c r="AI163" s="1077"/>
      <c r="AJ163" s="1077"/>
    </row>
    <row r="164" spans="1:36" x14ac:dyDescent="0.2">
      <c r="A164" s="1077"/>
      <c r="B164" s="1077"/>
      <c r="C164" s="1077">
        <f t="shared" si="85"/>
        <v>6</v>
      </c>
      <c r="D164" s="1081" t="str">
        <f>+M110</f>
        <v>Fixed Operating Cost</v>
      </c>
      <c r="E164" s="1094">
        <f ca="1">+S48+C164/10000000000</f>
        <v>0.25862031493665061</v>
      </c>
      <c r="F164" s="1081">
        <f t="shared" ca="1" si="80"/>
        <v>2</v>
      </c>
      <c r="G164" s="1086">
        <v>6</v>
      </c>
      <c r="H164" s="1081" t="str">
        <f t="shared" ca="1" si="81"/>
        <v>Debt Interest</v>
      </c>
      <c r="I164" s="1096">
        <f t="shared" ca="1" si="82"/>
        <v>9.8159081625125419E-2</v>
      </c>
      <c r="J164" s="1077"/>
      <c r="K164" s="1081" t="str">
        <f t="shared" ca="1" si="76"/>
        <v>Debt Interest</v>
      </c>
      <c r="L164" s="1081"/>
      <c r="M164" s="1094">
        <f t="shared" ca="1" si="83"/>
        <v>9.8159081625125419E-2</v>
      </c>
      <c r="N164" s="1081" t="str">
        <f t="shared" ca="1" si="84"/>
        <v>Debt Interest</v>
      </c>
      <c r="O164" s="1077"/>
      <c r="P164" s="1077"/>
      <c r="Q164" s="1077"/>
      <c r="R164" s="1077"/>
      <c r="S164" s="1077"/>
      <c r="T164" s="1077"/>
      <c r="U164" s="1077"/>
      <c r="V164" s="1077"/>
      <c r="W164" s="1077"/>
      <c r="X164" s="1077"/>
      <c r="Y164" s="1077"/>
      <c r="Z164" s="1077"/>
      <c r="AA164" s="1077"/>
      <c r="AB164" s="1077"/>
      <c r="AC164" s="1077"/>
      <c r="AD164" s="1077"/>
      <c r="AE164" s="1077"/>
      <c r="AF164" s="1077"/>
      <c r="AG164" s="1077"/>
      <c r="AH164" s="1077"/>
      <c r="AI164" s="1077"/>
      <c r="AJ164" s="1077"/>
    </row>
    <row r="165" spans="1:36" x14ac:dyDescent="0.2">
      <c r="A165" s="1077"/>
      <c r="B165" s="1077"/>
      <c r="C165" s="1077">
        <f t="shared" si="85"/>
        <v>7</v>
      </c>
      <c r="D165" s="1081" t="str">
        <f>+N110</f>
        <v>Feedstock Cost</v>
      </c>
      <c r="E165" s="1094">
        <f ca="1">+T48+C165/10000000000</f>
        <v>1.3716386002415595</v>
      </c>
      <c r="F165" s="1081">
        <f t="shared" ca="1" si="80"/>
        <v>1</v>
      </c>
      <c r="G165" s="1086">
        <v>7</v>
      </c>
      <c r="H165" s="1081" t="str">
        <f t="shared" ca="1" si="81"/>
        <v>Cash for Working Capital Reserve</v>
      </c>
      <c r="I165" s="1096">
        <f t="shared" ca="1" si="82"/>
        <v>2.8489350007646817E-2</v>
      </c>
      <c r="J165" s="1077"/>
      <c r="K165" s="1081" t="str">
        <f t="shared" ca="1" si="76"/>
        <v>Cash for Working Capital Reserve</v>
      </c>
      <c r="L165" s="1081"/>
      <c r="M165" s="1094">
        <f t="shared" ca="1" si="83"/>
        <v>2.8489350007646817E-2</v>
      </c>
      <c r="N165" s="1081" t="str">
        <f t="shared" ca="1" si="84"/>
        <v>Cash for Working Capital Reserve</v>
      </c>
      <c r="O165" s="1077"/>
      <c r="P165" s="1077"/>
      <c r="Q165" s="1077"/>
      <c r="R165" s="1077"/>
      <c r="S165" s="1077"/>
      <c r="T165" s="1077"/>
      <c r="U165" s="1077"/>
      <c r="V165" s="1077"/>
      <c r="W165" s="1077"/>
      <c r="X165" s="1077"/>
      <c r="Y165" s="1077"/>
      <c r="Z165" s="1077"/>
      <c r="AA165" s="1077"/>
      <c r="AB165" s="1077"/>
      <c r="AC165" s="1077"/>
      <c r="AD165" s="1077"/>
      <c r="AE165" s="1077"/>
      <c r="AF165" s="1077"/>
      <c r="AG165" s="1077"/>
      <c r="AH165" s="1077"/>
      <c r="AI165" s="1077"/>
      <c r="AJ165" s="1077"/>
    </row>
    <row r="166" spans="1:36" x14ac:dyDescent="0.2">
      <c r="A166" s="1077"/>
      <c r="B166" s="1077"/>
      <c r="C166" s="1077">
        <f t="shared" si="85"/>
        <v>8</v>
      </c>
      <c r="D166" s="1081" t="str">
        <f>+O110</f>
        <v>Other Raw Material Cost</v>
      </c>
      <c r="E166" s="1094">
        <f ca="1">+U48+C166/10000000000</f>
        <v>0.21197338574250779</v>
      </c>
      <c r="F166" s="1081">
        <f t="shared" ca="1" si="80"/>
        <v>4</v>
      </c>
      <c r="G166" s="1086">
        <v>8</v>
      </c>
      <c r="H166" s="1081" t="str">
        <f t="shared" ca="1" si="81"/>
        <v>Yearly Replacement Costs</v>
      </c>
      <c r="I166" s="1096">
        <f t="shared" ca="1" si="82"/>
        <v>2.0985595575770056E-2</v>
      </c>
      <c r="J166" s="1077"/>
      <c r="K166" s="1081" t="str">
        <f t="shared" ca="1" si="76"/>
        <v>Yearly Replacement Costs</v>
      </c>
      <c r="L166" s="1081"/>
      <c r="M166" s="1094">
        <f t="shared" ca="1" si="83"/>
        <v>2.0985595575770056E-2</v>
      </c>
      <c r="N166" s="1081" t="str">
        <f t="shared" ca="1" si="84"/>
        <v>Yearly Replacement Costs</v>
      </c>
      <c r="O166" s="1077"/>
      <c r="P166" s="1077"/>
      <c r="Q166" s="1077"/>
      <c r="R166" s="1077"/>
      <c r="S166" s="1077"/>
      <c r="T166" s="1077"/>
      <c r="U166" s="1077"/>
      <c r="V166" s="1077"/>
      <c r="W166" s="1077"/>
      <c r="X166" s="1077"/>
      <c r="Y166" s="1077"/>
      <c r="Z166" s="1077"/>
      <c r="AA166" s="1077"/>
      <c r="AB166" s="1077"/>
      <c r="AC166" s="1077"/>
      <c r="AD166" s="1077"/>
      <c r="AE166" s="1077"/>
      <c r="AF166" s="1077"/>
      <c r="AG166" s="1077"/>
      <c r="AH166" s="1077"/>
      <c r="AI166" s="1077"/>
      <c r="AJ166" s="1077"/>
    </row>
    <row r="167" spans="1:36" x14ac:dyDescent="0.2">
      <c r="A167" s="1077"/>
      <c r="B167" s="1077"/>
      <c r="C167" s="1077">
        <f t="shared" si="85"/>
        <v>9</v>
      </c>
      <c r="D167" s="1081" t="str">
        <f>+P110</f>
        <v>Other Variable Operating Costs</v>
      </c>
      <c r="E167" s="1094">
        <f ca="1">+V48+C167/10000000000</f>
        <v>0.24553111802834093</v>
      </c>
      <c r="F167" s="1081">
        <f t="shared" ca="1" si="80"/>
        <v>3</v>
      </c>
      <c r="G167" s="1086">
        <v>9</v>
      </c>
      <c r="H167" s="1081" t="str">
        <f t="shared" ca="1" si="81"/>
        <v>Taxes</v>
      </c>
      <c r="I167" s="1096">
        <f t="shared" ca="1" si="82"/>
        <v>1.6440982758693726E-2</v>
      </c>
      <c r="J167" s="1077"/>
      <c r="K167" s="1081" t="str">
        <f t="shared" ca="1" si="76"/>
        <v>Taxes</v>
      </c>
      <c r="L167" s="1081"/>
      <c r="M167" s="1094">
        <f t="shared" ca="1" si="83"/>
        <v>1.6440982758693726E-2</v>
      </c>
      <c r="N167" s="1081" t="str">
        <f t="shared" ca="1" si="84"/>
        <v>Taxes</v>
      </c>
      <c r="O167" s="1077"/>
      <c r="P167" s="1077"/>
      <c r="Q167" s="1077"/>
      <c r="R167" s="1077"/>
      <c r="S167" s="1077"/>
      <c r="T167" s="1077"/>
      <c r="U167" s="1077"/>
      <c r="V167" s="1077"/>
      <c r="W167" s="1077"/>
      <c r="X167" s="1077"/>
      <c r="Y167" s="1077"/>
      <c r="Z167" s="1077"/>
      <c r="AA167" s="1077"/>
      <c r="AB167" s="1077"/>
      <c r="AC167" s="1077"/>
      <c r="AD167" s="1077"/>
      <c r="AE167" s="1077"/>
      <c r="AF167" s="1077"/>
      <c r="AG167" s="1077"/>
      <c r="AH167" s="1077"/>
      <c r="AI167" s="1077"/>
      <c r="AJ167" s="1077"/>
    </row>
    <row r="168" spans="1:36" x14ac:dyDescent="0.2">
      <c r="A168" s="1077"/>
      <c r="B168" s="1077"/>
      <c r="C168" s="1077">
        <f t="shared" si="85"/>
        <v>10</v>
      </c>
      <c r="D168" s="1081" t="str">
        <f>+Q110</f>
        <v>Debt Interest</v>
      </c>
      <c r="E168" s="1094">
        <f ca="1">+W48+C168/10000000000</f>
        <v>9.8159082625125418E-2</v>
      </c>
      <c r="F168" s="1081">
        <f t="shared" ca="1" si="80"/>
        <v>6</v>
      </c>
      <c r="G168" s="1086">
        <v>10</v>
      </c>
      <c r="H168" s="1081" t="str">
        <f t="shared" ca="1" si="81"/>
        <v>Other Non-Depreciable Capital Costs</v>
      </c>
      <c r="I168" s="1096">
        <f t="shared" ca="1" si="82"/>
        <v>5.4915061535724839E-3</v>
      </c>
      <c r="J168" s="1077"/>
      <c r="K168" s="1081" t="str">
        <f t="shared" ca="1" si="76"/>
        <v>Other Non-Depreciable Capital Costs</v>
      </c>
      <c r="L168" s="1081"/>
      <c r="M168" s="1094">
        <f t="shared" ca="1" si="83"/>
        <v>5.4915061535724839E-3</v>
      </c>
      <c r="N168" s="1081" t="str">
        <f t="shared" ca="1" si="84"/>
        <v>Other Non-Depreciable Capital Costs</v>
      </c>
      <c r="O168" s="1077"/>
      <c r="P168" s="1077"/>
      <c r="Q168" s="1077"/>
      <c r="R168" s="1077"/>
      <c r="S168" s="1077"/>
      <c r="T168" s="1077"/>
      <c r="U168" s="1077"/>
      <c r="V168" s="1077"/>
      <c r="W168" s="1077"/>
      <c r="X168" s="1077"/>
      <c r="Y168" s="1077"/>
      <c r="Z168" s="1077"/>
      <c r="AA168" s="1077"/>
      <c r="AB168" s="1077"/>
      <c r="AC168" s="1077"/>
      <c r="AD168" s="1077"/>
      <c r="AE168" s="1077"/>
      <c r="AF168" s="1077"/>
      <c r="AG168" s="1077"/>
      <c r="AH168" s="1077"/>
      <c r="AI168" s="1077"/>
      <c r="AJ168" s="1077"/>
    </row>
    <row r="169" spans="1:36" x14ac:dyDescent="0.2">
      <c r="A169" s="1077"/>
      <c r="B169" s="1077"/>
      <c r="C169" s="1077">
        <f t="shared" si="85"/>
        <v>11</v>
      </c>
      <c r="D169" s="1081" t="str">
        <f>+R110</f>
        <v>Taxes</v>
      </c>
      <c r="E169" s="1094">
        <f ca="1">+X48+C169/10000000000</f>
        <v>1.6440983858693727E-2</v>
      </c>
      <c r="F169" s="1081">
        <f t="shared" ca="1" si="80"/>
        <v>9</v>
      </c>
      <c r="G169" s="1086">
        <v>11</v>
      </c>
      <c r="H169" s="1081" t="str">
        <f t="shared" ca="1" si="81"/>
        <v>Principal Payment</v>
      </c>
      <c r="I169" s="1096">
        <f t="shared" ca="1" si="82"/>
        <v>4.4095299004201019E-3</v>
      </c>
      <c r="J169" s="1077"/>
      <c r="K169" s="1081" t="str">
        <f t="shared" ca="1" si="76"/>
        <v>Principal Payment</v>
      </c>
      <c r="L169" s="1081"/>
      <c r="M169" s="1094">
        <f t="shared" ca="1" si="83"/>
        <v>4.4095299004201019E-3</v>
      </c>
      <c r="N169" s="1081" t="str">
        <f t="shared" ca="1" si="84"/>
        <v>Principal Payment</v>
      </c>
      <c r="O169" s="1077"/>
      <c r="P169" s="1077"/>
      <c r="Q169" s="1077"/>
      <c r="R169" s="1077"/>
      <c r="S169" s="1077"/>
      <c r="T169" s="1077"/>
      <c r="U169" s="1077"/>
      <c r="V169" s="1077"/>
      <c r="W169" s="1077"/>
      <c r="X169" s="1077"/>
      <c r="Y169" s="1077"/>
      <c r="Z169" s="1077"/>
      <c r="AA169" s="1077"/>
      <c r="AB169" s="1077"/>
      <c r="AC169" s="1077"/>
      <c r="AD169" s="1077"/>
      <c r="AE169" s="1077"/>
      <c r="AF169" s="1077"/>
      <c r="AG169" s="1077"/>
      <c r="AH169" s="1077"/>
      <c r="AI169" s="1077"/>
      <c r="AJ169" s="1077"/>
    </row>
    <row r="170" spans="1:36" x14ac:dyDescent="0.2">
      <c r="A170" s="1077"/>
      <c r="B170" s="1077"/>
      <c r="C170" s="1077">
        <f t="shared" si="85"/>
        <v>12</v>
      </c>
      <c r="D170" s="1081" t="str">
        <f>+S110</f>
        <v>Principal Payment</v>
      </c>
      <c r="E170" s="1094">
        <f ca="1">+Y48+C170/10000000000</f>
        <v>4.4095311004201023E-3</v>
      </c>
      <c r="F170" s="1081">
        <f t="shared" ca="1" si="80"/>
        <v>11</v>
      </c>
      <c r="G170" s="1086">
        <v>12</v>
      </c>
      <c r="H170" s="1081" t="str">
        <f t="shared" ca="1" si="81"/>
        <v>Decommissioning Costs</v>
      </c>
      <c r="I170" s="1096">
        <f t="shared" ca="1" si="82"/>
        <v>1.6201557621688327E-3</v>
      </c>
      <c r="J170" s="1077"/>
      <c r="K170" s="1081" t="str">
        <f t="shared" ca="1" si="76"/>
        <v>Decommissioning Costs</v>
      </c>
      <c r="L170" s="1081"/>
      <c r="M170" s="1094">
        <f t="shared" ca="1" si="83"/>
        <v>1.6201557621688327E-3</v>
      </c>
      <c r="N170" s="1081" t="str">
        <f t="shared" ca="1" si="84"/>
        <v>Decommissioning Costs</v>
      </c>
      <c r="O170" s="1077"/>
      <c r="P170" s="1077"/>
      <c r="Q170" s="1077"/>
      <c r="R170" s="1077"/>
      <c r="S170" s="1077"/>
      <c r="T170" s="1077"/>
      <c r="U170" s="1077"/>
      <c r="V170" s="1077"/>
      <c r="W170" s="1077"/>
      <c r="X170" s="1077"/>
      <c r="Y170" s="1077"/>
      <c r="Z170" s="1077"/>
      <c r="AA170" s="1077"/>
      <c r="AB170" s="1077"/>
      <c r="AC170" s="1077"/>
      <c r="AD170" s="1077"/>
      <c r="AE170" s="1077"/>
      <c r="AF170" s="1077"/>
      <c r="AG170" s="1077"/>
      <c r="AH170" s="1077"/>
      <c r="AI170" s="1077"/>
      <c r="AJ170" s="1077"/>
    </row>
    <row r="171" spans="1:36" x14ac:dyDescent="0.2">
      <c r="A171" s="1077"/>
      <c r="B171" s="1077"/>
      <c r="C171" s="1077"/>
      <c r="D171" s="1077"/>
      <c r="E171" s="1077"/>
      <c r="F171" s="1077"/>
      <c r="G171" s="1077"/>
      <c r="H171" s="1079"/>
      <c r="I171" s="1077"/>
      <c r="J171" s="1077"/>
      <c r="K171" s="1080" t="s">
        <v>58</v>
      </c>
      <c r="L171" s="1094">
        <f ca="1">+SUM(L155:L170)</f>
        <v>2.4127800729764486</v>
      </c>
      <c r="M171" s="1094">
        <f ca="1">+SUM(M155:M170)</f>
        <v>2.4127800729764468</v>
      </c>
      <c r="N171" s="1081" t="str">
        <f t="shared" ref="N171" ca="1" si="86">+IF(M171&lt;0.01,K171,"")</f>
        <v/>
      </c>
      <c r="O171" s="1077"/>
      <c r="P171" s="1077"/>
      <c r="Q171" s="1077"/>
      <c r="R171" s="1077"/>
      <c r="S171" s="1077"/>
      <c r="T171" s="1077"/>
      <c r="U171" s="1077"/>
      <c r="V171" s="1077"/>
      <c r="W171" s="1077"/>
      <c r="X171" s="1077"/>
      <c r="Y171" s="1077"/>
      <c r="Z171" s="1077"/>
      <c r="AA171" s="1077"/>
      <c r="AB171" s="1077"/>
      <c r="AC171" s="1077"/>
      <c r="AD171" s="1077"/>
      <c r="AE171" s="1077"/>
      <c r="AF171" s="1077"/>
      <c r="AG171" s="1077"/>
      <c r="AH171" s="1077"/>
      <c r="AI171" s="1077"/>
      <c r="AJ171" s="1077"/>
    </row>
    <row r="172" spans="1:36" x14ac:dyDescent="0.2">
      <c r="A172" s="1077"/>
      <c r="B172" s="1077"/>
      <c r="C172" s="1077"/>
      <c r="E172" s="1077"/>
      <c r="F172" s="1077"/>
      <c r="G172" s="1077"/>
      <c r="H172" s="1077"/>
      <c r="I172" s="1077"/>
      <c r="J172" s="1077"/>
      <c r="K172" s="1077"/>
      <c r="L172" s="1077"/>
      <c r="M172" s="1077"/>
      <c r="N172" s="1077"/>
      <c r="O172" s="1077"/>
      <c r="P172" s="1077"/>
      <c r="Q172" s="1077"/>
      <c r="R172" s="1077"/>
      <c r="S172" s="1077"/>
      <c r="T172" s="1077"/>
      <c r="U172" s="1077"/>
      <c r="V172" s="1077"/>
      <c r="W172" s="1077"/>
      <c r="X172" s="1077"/>
      <c r="Y172" s="1077"/>
      <c r="Z172" s="1077"/>
      <c r="AA172" s="1077"/>
      <c r="AB172" s="1077"/>
      <c r="AC172" s="1077"/>
      <c r="AD172" s="1077"/>
      <c r="AE172" s="1077"/>
      <c r="AF172" s="1077"/>
      <c r="AG172" s="1077"/>
      <c r="AH172" s="1077"/>
      <c r="AI172" s="1077"/>
      <c r="AJ172" s="1077"/>
    </row>
    <row r="173" spans="1:36" x14ac:dyDescent="0.2">
      <c r="A173" s="1077"/>
      <c r="B173" s="1077"/>
      <c r="C173" s="1077"/>
      <c r="D173" s="1077"/>
      <c r="E173" s="1077"/>
      <c r="F173" s="1077"/>
      <c r="G173" s="1077"/>
      <c r="H173" s="1077"/>
      <c r="I173" s="1077"/>
      <c r="J173" s="1077"/>
      <c r="K173" s="1077"/>
      <c r="L173" s="1077"/>
      <c r="M173" s="1077"/>
      <c r="N173" s="1077"/>
      <c r="O173" s="1077"/>
      <c r="P173" s="1077"/>
      <c r="Q173" s="1077"/>
      <c r="R173" s="1077"/>
      <c r="S173" s="1077"/>
      <c r="T173" s="1077"/>
      <c r="U173" s="1077"/>
      <c r="V173" s="1077"/>
      <c r="W173" s="1077"/>
      <c r="X173" s="1077"/>
      <c r="Y173" s="1077"/>
      <c r="Z173" s="1077"/>
      <c r="AA173" s="1077"/>
      <c r="AB173" s="1077"/>
      <c r="AC173" s="1077"/>
      <c r="AD173" s="1077"/>
      <c r="AE173" s="1077"/>
      <c r="AF173" s="1077"/>
      <c r="AG173" s="1077"/>
      <c r="AH173" s="1077"/>
      <c r="AI173" s="1077"/>
      <c r="AJ173" s="1077"/>
    </row>
    <row r="174" spans="1:36" x14ac:dyDescent="0.2">
      <c r="A174" s="1077"/>
      <c r="B174" s="1079" t="s">
        <v>1185</v>
      </c>
      <c r="C174" s="1077"/>
      <c r="D174" s="1078" t="s">
        <v>1197</v>
      </c>
      <c r="E174" s="1078" t="s">
        <v>1195</v>
      </c>
      <c r="F174" s="1078" t="s">
        <v>1198</v>
      </c>
      <c r="G174" s="1078" t="s">
        <v>1196</v>
      </c>
      <c r="H174" s="1077"/>
      <c r="I174" s="1077"/>
      <c r="J174" s="1077"/>
      <c r="K174" s="1077"/>
      <c r="L174" s="1077"/>
      <c r="M174" s="1078"/>
      <c r="N174" s="1078"/>
      <c r="O174" s="1077"/>
      <c r="P174" s="1077"/>
      <c r="Q174" s="1077"/>
      <c r="R174" s="1077"/>
      <c r="S174" s="1077"/>
      <c r="T174" s="1077"/>
      <c r="U174" s="1077"/>
      <c r="V174" s="1077"/>
      <c r="W174" s="1077"/>
      <c r="X174" s="1077"/>
      <c r="Y174" s="1077"/>
      <c r="Z174" s="1077"/>
      <c r="AA174" s="1077"/>
      <c r="AB174" s="1077"/>
      <c r="AC174" s="1077"/>
      <c r="AD174" s="1077"/>
      <c r="AE174" s="1077"/>
      <c r="AF174" s="1077"/>
      <c r="AG174" s="1077"/>
      <c r="AH174" s="1077"/>
      <c r="AI174" s="1077"/>
      <c r="AJ174" s="1077"/>
    </row>
    <row r="175" spans="1:36" x14ac:dyDescent="0.2">
      <c r="A175" s="1077"/>
      <c r="B175">
        <v>0</v>
      </c>
      <c r="C175" s="1080" t="s">
        <v>1186</v>
      </c>
      <c r="D175" s="1094">
        <f>+K51</f>
        <v>2.4111382454761561</v>
      </c>
      <c r="E175" s="1094">
        <f>+D175</f>
        <v>2.4111382454761561</v>
      </c>
      <c r="F175" s="1094"/>
      <c r="G175" s="1094"/>
      <c r="H175" s="1077"/>
      <c r="I175" s="1077"/>
      <c r="J175" s="1077"/>
      <c r="K175" s="1077"/>
      <c r="L175" s="1077"/>
      <c r="M175" s="1211"/>
      <c r="N175" s="1211"/>
      <c r="O175" s="1077"/>
      <c r="P175" s="1077"/>
      <c r="Q175" s="1077"/>
      <c r="R175" s="1077"/>
      <c r="S175" s="1077"/>
      <c r="T175" s="1077"/>
      <c r="U175" s="1077"/>
      <c r="V175" s="1077"/>
      <c r="W175" s="1077"/>
      <c r="X175" s="1077"/>
      <c r="Y175" s="1077"/>
      <c r="Z175" s="1077"/>
      <c r="AA175" s="1077"/>
      <c r="AB175" s="1077"/>
      <c r="AC175" s="1077"/>
      <c r="AD175" s="1077"/>
      <c r="AE175" s="1077"/>
      <c r="AF175" s="1077"/>
      <c r="AG175" s="1077"/>
      <c r="AH175" s="1077"/>
      <c r="AI175" s="1077"/>
      <c r="AJ175" s="1077"/>
    </row>
    <row r="176" spans="1:36" x14ac:dyDescent="0.2">
      <c r="A176" s="1077"/>
      <c r="B176" s="1077">
        <v>1</v>
      </c>
      <c r="C176" s="1081" t="str">
        <f ca="1">OFFSET($B$50,0,MATCH($B176,$C$72:$I$72,0))&amp;
IF(OFFSET($F$2,MATCH($B176,$C$72:$I$72,0),0)&lt;1,
"
= "&amp;OFFSET($F$2,MATCH($B176,$C$72:$I$72,0),0)*100-100,
"
= +"&amp;OFFSET($F$2,MATCH($B176,$C$72:$I$72,0),0)*100-100)
&amp;"%"</f>
        <v>Feedstock consumption (% of most likely value)
= -5%</v>
      </c>
      <c r="D176" s="1094">
        <f>+K66</f>
        <v>2.3412960583840761</v>
      </c>
      <c r="E176" s="1094">
        <f t="shared" ref="E176:E181" si="87">+E175+G175-F176</f>
        <v>2.3412960583840761</v>
      </c>
      <c r="F176" s="1094">
        <f>+MAX(D175-D176,0)</f>
        <v>6.984218709208001E-2</v>
      </c>
      <c r="G176" s="1094">
        <f>+MAX(D176-D175,0)</f>
        <v>0</v>
      </c>
      <c r="H176" s="1077"/>
      <c r="I176" s="1077"/>
      <c r="J176" s="1077"/>
      <c r="K176" s="1077"/>
      <c r="L176" s="1077"/>
      <c r="M176" s="1211"/>
      <c r="N176" s="1211"/>
      <c r="O176" s="1077"/>
      <c r="P176" s="1077"/>
      <c r="Q176" s="1077"/>
      <c r="R176" s="1077"/>
      <c r="S176" s="1077"/>
      <c r="T176" s="1077"/>
      <c r="U176" s="1077"/>
      <c r="V176" s="1077"/>
      <c r="W176" s="1077"/>
      <c r="X176" s="1077"/>
      <c r="Y176" s="1077"/>
      <c r="Z176" s="1077"/>
      <c r="AA176" s="1077"/>
      <c r="AB176" s="1077"/>
      <c r="AC176" s="1077"/>
      <c r="AD176" s="1077"/>
      <c r="AE176" s="1077"/>
      <c r="AF176" s="1077"/>
      <c r="AG176" s="1077"/>
      <c r="AH176" s="1077"/>
      <c r="AI176" s="1077"/>
      <c r="AJ176" s="1077"/>
    </row>
    <row r="177" spans="1:36" x14ac:dyDescent="0.2">
      <c r="A177" s="1077"/>
      <c r="B177" s="1077">
        <v>2</v>
      </c>
      <c r="C177" s="1081" t="str">
        <f ca="1">OFFSET($B$50,0,MATCH($B177,$C$72:$I$72,0))&amp;
IF(OFFSET($F$2,MATCH($B177,$C$72:$I$72,0),0)&lt;1,
"
= "&amp;OFFSET($F$2,MATCH($B177,$C$72:$I$72,0),0)*100-100,
"
= +"&amp;OFFSET($F$2,MATCH($B177,$C$72:$I$72,0),0)*100-100)
&amp;"%"</f>
        <v>Operating capacity factor
= +5%</v>
      </c>
      <c r="D177" s="1094">
        <f>+K67</f>
        <v>2.3018773378992341</v>
      </c>
      <c r="E177" s="1094">
        <f t="shared" si="87"/>
        <v>2.3018773378992341</v>
      </c>
      <c r="F177" s="1094">
        <f>+MAX(D176-D177,0)</f>
        <v>3.9418720484841963E-2</v>
      </c>
      <c r="G177" s="1094">
        <f>+MAX(D177-D176,0)</f>
        <v>0</v>
      </c>
      <c r="H177" s="1077"/>
      <c r="I177" s="1077"/>
      <c r="J177" s="1077"/>
      <c r="K177" s="1077"/>
      <c r="L177" s="1077"/>
      <c r="M177" s="1211"/>
      <c r="N177" s="1211"/>
      <c r="O177" s="1077"/>
      <c r="P177" s="1077"/>
      <c r="Q177" s="1077"/>
      <c r="R177" s="1077"/>
      <c r="S177" s="1077"/>
      <c r="T177" s="1077"/>
      <c r="U177" s="1077"/>
      <c r="V177" s="1077"/>
      <c r="W177" s="1077"/>
      <c r="X177" s="1077"/>
      <c r="Y177" s="1077"/>
      <c r="Z177" s="1077"/>
      <c r="AA177" s="1077"/>
      <c r="AB177" s="1077"/>
      <c r="AC177" s="1077"/>
      <c r="AD177" s="1077"/>
      <c r="AE177" s="1077"/>
      <c r="AF177" s="1077"/>
      <c r="AG177" s="1077"/>
      <c r="AH177" s="1077"/>
      <c r="AI177" s="1077"/>
      <c r="AJ177" s="1077"/>
    </row>
    <row r="178" spans="1:36" x14ac:dyDescent="0.2">
      <c r="A178" s="1077"/>
      <c r="B178" s="1077">
        <v>3</v>
      </c>
      <c r="C178" s="1081" t="str">
        <f ca="1">OFFSET($B$50,0,MATCH($B178,$C$72:$I$72,0))&amp;
IF(OFFSET($F$2,MATCH($B178,$C$72:$I$72,0),0)&lt;1,
"
= "&amp;OFFSET($F$2,MATCH($B178,$C$72:$I$72,0),0)*100-100,
"
= +"&amp;OFFSET($F$2,MATCH($B178,$C$72:$I$72,0),0)*100-100)
&amp;"%"</f>
        <v>Total capital investment ($)
= -5%</v>
      </c>
      <c r="D178" s="1094">
        <f>+K68</f>
        <v>2.2855428569558001</v>
      </c>
      <c r="E178" s="1094">
        <f t="shared" si="87"/>
        <v>2.2855428569558001</v>
      </c>
      <c r="F178" s="1094">
        <f>+MAX(D177-D178,0)</f>
        <v>1.6334480943434038E-2</v>
      </c>
      <c r="G178" s="1094">
        <f>+MAX(D178-D177,0)</f>
        <v>0</v>
      </c>
      <c r="H178" s="1077"/>
      <c r="I178" s="1077"/>
      <c r="J178" s="1077"/>
      <c r="K178" s="1077"/>
      <c r="L178" s="1077"/>
      <c r="M178" s="1211"/>
      <c r="N178" s="1211"/>
      <c r="O178" s="1077"/>
      <c r="P178" s="1077"/>
      <c r="Q178" s="1077"/>
      <c r="R178" s="1077"/>
      <c r="S178" s="1077"/>
      <c r="T178" s="1077"/>
      <c r="U178" s="1077"/>
      <c r="V178" s="1077"/>
      <c r="W178" s="1077"/>
      <c r="X178" s="1077"/>
      <c r="Y178" s="1077"/>
      <c r="Z178" s="1077"/>
      <c r="AA178" s="1077"/>
      <c r="AB178" s="1077"/>
      <c r="AC178" s="1077"/>
      <c r="AD178" s="1077"/>
      <c r="AE178" s="1077"/>
      <c r="AF178" s="1077"/>
      <c r="AG178" s="1077"/>
      <c r="AH178" s="1077"/>
      <c r="AI178" s="1077"/>
      <c r="AJ178" s="1077"/>
    </row>
    <row r="179" spans="1:36" x14ac:dyDescent="0.2">
      <c r="A179" s="1077"/>
      <c r="B179" s="1077">
        <v>4</v>
      </c>
      <c r="C179" s="1081" t="str">
        <f ca="1">OFFSET($B$50,0,MATCH($B179,$C$72:$I$72,0))&amp;
IF(OFFSET($F$2,MATCH($B179,$C$72:$I$72,0),0)&lt;1,
"
= "&amp;OFFSET($F$2,MATCH($B179,$C$72:$I$72,0),0)*100-100,
"
= +"&amp;OFFSET($F$2,MATCH($B179,$C$72:$I$72,0),0)*100-100)
&amp;"%"</f>
        <v>Total fixed operating cost ($/year)
= -5%</v>
      </c>
      <c r="D179" s="1094">
        <f>+K69</f>
        <v>2.2732075260076887</v>
      </c>
      <c r="E179" s="1094">
        <f t="shared" si="87"/>
        <v>2.2732075260076887</v>
      </c>
      <c r="F179" s="1094">
        <f>+MAX(D178-D179,0)</f>
        <v>1.2335330948111345E-2</v>
      </c>
      <c r="G179" s="1094">
        <f>+MAX(D179-D178,0)</f>
        <v>0</v>
      </c>
      <c r="H179" s="1077"/>
      <c r="I179" s="1077"/>
      <c r="J179" s="1077"/>
      <c r="K179" s="1077"/>
      <c r="L179" s="1077"/>
      <c r="M179" s="1211"/>
      <c r="N179" s="1211"/>
      <c r="O179" s="1077"/>
      <c r="P179" s="1077"/>
      <c r="Q179" s="1077"/>
      <c r="R179" s="1077"/>
      <c r="S179" s="1077"/>
      <c r="T179" s="1077"/>
      <c r="U179" s="1077"/>
      <c r="V179" s="1077"/>
      <c r="W179" s="1077"/>
      <c r="X179" s="1077"/>
      <c r="Y179" s="1077"/>
      <c r="Z179" s="1077"/>
      <c r="AA179" s="1077"/>
      <c r="AB179" s="1077"/>
      <c r="AC179" s="1077"/>
      <c r="AD179" s="1077"/>
      <c r="AE179" s="1077"/>
      <c r="AF179" s="1077"/>
      <c r="AG179" s="1077"/>
      <c r="AH179" s="1077"/>
      <c r="AI179" s="1077"/>
      <c r="AJ179" s="1077"/>
    </row>
    <row r="180" spans="1:36" x14ac:dyDescent="0.2">
      <c r="A180" s="1077"/>
      <c r="B180" s="1077">
        <v>5</v>
      </c>
      <c r="C180" s="1081" t="str">
        <f ca="1">OFFSET($B$50,0,MATCH($B180,$C$72:$I$72,0))&amp;
IF(OFFSET($F$2,MATCH($B180,$C$72:$I$72,0),0)&lt;1,
"
= "&amp;OFFSET($F$2,MATCH($B180,$C$72:$I$72,0),0)*100-100,
"
= +"&amp;OFFSET($F$2,MATCH($B180,$C$72:$I$72,0),0)*100-100)
&amp;"%"</f>
        <v>Utilities consumption (% of most likely value)
= -5%</v>
      </c>
      <c r="D180" s="1094">
        <f>+K70</f>
        <v>2.264512131780974</v>
      </c>
      <c r="E180" s="1094">
        <f t="shared" si="87"/>
        <v>2.264512131780974</v>
      </c>
      <c r="F180" s="1094">
        <f>+MAX(D179-D180,0)</f>
        <v>8.6953942267147255E-3</v>
      </c>
      <c r="G180" s="1094">
        <f>+MAX(D180-D179,0)</f>
        <v>0</v>
      </c>
      <c r="H180" s="1077"/>
      <c r="I180" s="1077"/>
      <c r="J180" s="1077"/>
      <c r="K180" s="1077"/>
      <c r="L180" s="1077"/>
      <c r="M180" s="1211"/>
      <c r="N180" s="1211"/>
      <c r="O180" s="1077"/>
      <c r="P180" s="1077"/>
      <c r="Q180" s="1077"/>
      <c r="R180" s="1077"/>
      <c r="S180" s="1077"/>
      <c r="T180" s="1077"/>
      <c r="U180" s="1077"/>
      <c r="V180" s="1077"/>
      <c r="W180" s="1077"/>
      <c r="X180" s="1077"/>
      <c r="Y180" s="1077"/>
      <c r="Z180" s="1077"/>
      <c r="AA180" s="1077"/>
      <c r="AB180" s="1077"/>
      <c r="AC180" s="1077"/>
      <c r="AD180" s="1077"/>
      <c r="AE180" s="1077"/>
      <c r="AF180" s="1077"/>
      <c r="AG180" s="1077"/>
      <c r="AH180" s="1077"/>
      <c r="AI180" s="1077"/>
      <c r="AJ180" s="1077"/>
    </row>
    <row r="181" spans="1:36" x14ac:dyDescent="0.2">
      <c r="A181" s="1077"/>
      <c r="B181" s="1077">
        <v>6</v>
      </c>
      <c r="C181" s="1080" t="s">
        <v>1193</v>
      </c>
      <c r="D181" s="1094">
        <f>+K70</f>
        <v>2.264512131780974</v>
      </c>
      <c r="E181" s="1094">
        <f t="shared" si="87"/>
        <v>2.264512131780974</v>
      </c>
      <c r="F181" s="1094"/>
      <c r="G181" s="1094"/>
      <c r="H181" s="1077"/>
      <c r="I181" s="1077"/>
      <c r="J181" s="1077"/>
      <c r="K181" s="1077"/>
      <c r="L181" s="1077"/>
      <c r="M181" s="1211"/>
      <c r="N181" s="1211"/>
      <c r="O181" s="1077"/>
      <c r="P181" s="1077"/>
      <c r="Q181" s="1077"/>
      <c r="R181" s="1077"/>
      <c r="S181" s="1077"/>
      <c r="T181" s="1077"/>
      <c r="U181" s="1077"/>
      <c r="V181" s="1077"/>
      <c r="W181" s="1077"/>
      <c r="X181" s="1077"/>
      <c r="Y181" s="1077"/>
      <c r="Z181" s="1077"/>
      <c r="AA181" s="1077"/>
      <c r="AB181" s="1077"/>
      <c r="AC181" s="1077"/>
      <c r="AD181" s="1077"/>
      <c r="AE181" s="1077"/>
      <c r="AF181" s="1077"/>
      <c r="AG181" s="1077"/>
      <c r="AH181" s="1077"/>
      <c r="AI181" s="1077"/>
      <c r="AJ181" s="1077"/>
    </row>
    <row r="182" spans="1:36" x14ac:dyDescent="0.2">
      <c r="A182" s="1077"/>
      <c r="B182" s="1077"/>
      <c r="C182" s="1077"/>
      <c r="D182" s="1077"/>
      <c r="E182" s="1077"/>
      <c r="F182" s="1077"/>
      <c r="G182" s="1077"/>
      <c r="H182" s="1077"/>
      <c r="I182" s="1077"/>
      <c r="J182" s="1077"/>
      <c r="K182" s="1077"/>
      <c r="L182" s="1077"/>
      <c r="M182" s="1077"/>
      <c r="N182" s="1077"/>
      <c r="O182" s="1077"/>
      <c r="P182" s="1077"/>
      <c r="Q182" s="1077"/>
      <c r="R182" s="1077"/>
      <c r="S182" s="1077"/>
      <c r="T182" s="1077"/>
      <c r="U182" s="1077"/>
      <c r="V182" s="1077"/>
      <c r="W182" s="1077"/>
      <c r="X182" s="1077"/>
      <c r="Y182" s="1077"/>
      <c r="Z182" s="1077"/>
      <c r="AA182" s="1077"/>
      <c r="AB182" s="1077"/>
      <c r="AC182" s="1077"/>
      <c r="AD182" s="1077"/>
      <c r="AE182" s="1077"/>
      <c r="AF182" s="1077"/>
      <c r="AG182" s="1077"/>
      <c r="AH182" s="1077"/>
      <c r="AI182" s="1077"/>
      <c r="AJ182" s="1077"/>
    </row>
    <row r="183" spans="1:36" x14ac:dyDescent="0.2">
      <c r="A183" s="1077"/>
      <c r="B183" s="1077"/>
      <c r="C183" s="1077"/>
      <c r="D183" s="1077"/>
      <c r="E183" s="1077"/>
      <c r="F183" s="1077"/>
      <c r="G183" s="1077"/>
      <c r="H183" s="1077"/>
      <c r="I183" s="1077"/>
      <c r="J183" s="1077"/>
      <c r="K183" s="1077"/>
      <c r="L183" s="1077"/>
      <c r="M183" s="1077"/>
      <c r="N183" s="1077"/>
      <c r="O183" s="1077"/>
      <c r="P183" s="1077"/>
      <c r="Q183" s="1077"/>
      <c r="R183" s="1077"/>
      <c r="S183" s="1077"/>
      <c r="T183" s="1077"/>
      <c r="U183" s="1077"/>
      <c r="V183" s="1077"/>
      <c r="W183" s="1077"/>
      <c r="X183" s="1077"/>
      <c r="Y183" s="1077"/>
      <c r="Z183" s="1077"/>
      <c r="AA183" s="1077"/>
      <c r="AB183" s="1077"/>
      <c r="AC183" s="1077"/>
      <c r="AD183" s="1077"/>
      <c r="AE183" s="1077"/>
      <c r="AF183" s="1077"/>
      <c r="AG183" s="1077"/>
      <c r="AH183" s="1077"/>
      <c r="AI183" s="1077"/>
      <c r="AJ183" s="1077"/>
    </row>
    <row r="184" spans="1:36" x14ac:dyDescent="0.2">
      <c r="A184" s="1077"/>
      <c r="B184" s="1077"/>
      <c r="C184" s="1077"/>
      <c r="D184" s="1077"/>
      <c r="E184" s="1077"/>
      <c r="F184" s="1077"/>
      <c r="G184" s="1077"/>
      <c r="H184" s="1077"/>
      <c r="I184" s="1077"/>
      <c r="J184" s="1077"/>
      <c r="K184" s="1077"/>
      <c r="L184" s="1077"/>
      <c r="M184" s="1077"/>
      <c r="N184" s="1077"/>
      <c r="O184" s="1077"/>
      <c r="P184" s="1077"/>
      <c r="Q184" s="1077"/>
      <c r="R184" s="1077"/>
      <c r="S184" s="1077"/>
      <c r="T184" s="1077"/>
      <c r="U184" s="1077"/>
      <c r="V184" s="1077"/>
      <c r="W184" s="1077"/>
      <c r="X184" s="1077"/>
      <c r="Y184" s="1077"/>
      <c r="Z184" s="1077"/>
      <c r="AA184" s="1077"/>
      <c r="AB184" s="1077"/>
      <c r="AC184" s="1077"/>
      <c r="AD184" s="1077"/>
      <c r="AE184" s="1077"/>
      <c r="AF184" s="1077"/>
      <c r="AG184" s="1077"/>
      <c r="AH184" s="1077"/>
      <c r="AI184" s="1077"/>
      <c r="AJ184" s="1077"/>
    </row>
    <row r="185" spans="1:36" x14ac:dyDescent="0.2">
      <c r="A185" s="1077"/>
      <c r="B185" s="1077"/>
      <c r="C185" s="1077"/>
      <c r="D185" s="1077"/>
      <c r="E185" s="1077"/>
      <c r="F185" s="1077"/>
      <c r="G185" s="1077"/>
      <c r="H185" s="1077"/>
      <c r="I185" s="1077"/>
      <c r="J185" s="1077"/>
      <c r="K185" s="1077"/>
      <c r="L185" s="1077"/>
      <c r="M185" s="1077"/>
      <c r="N185" s="1077"/>
      <c r="O185" s="1077"/>
      <c r="P185" s="1077"/>
      <c r="Q185" s="1077"/>
      <c r="R185" s="1077"/>
      <c r="S185" s="1077"/>
      <c r="T185" s="1077"/>
      <c r="U185" s="1077"/>
      <c r="V185" s="1077"/>
      <c r="W185" s="1077"/>
      <c r="X185" s="1077"/>
      <c r="Y185" s="1077"/>
      <c r="Z185" s="1077"/>
      <c r="AA185" s="1077"/>
      <c r="AB185" s="1077"/>
      <c r="AC185" s="1077"/>
      <c r="AD185" s="1077"/>
      <c r="AE185" s="1077"/>
      <c r="AF185" s="1077"/>
      <c r="AG185" s="1077"/>
      <c r="AH185" s="1077"/>
      <c r="AI185" s="1077"/>
      <c r="AJ185" s="1077"/>
    </row>
    <row r="186" spans="1:36" x14ac:dyDescent="0.2">
      <c r="A186" s="1077"/>
      <c r="B186" s="1077"/>
      <c r="C186" s="1077"/>
      <c r="D186" s="1077"/>
      <c r="E186" s="1077"/>
      <c r="F186" s="1077"/>
      <c r="G186" s="1077"/>
      <c r="H186" s="1077"/>
      <c r="I186" s="1077"/>
      <c r="J186" s="1077"/>
      <c r="K186" s="1077"/>
      <c r="L186" s="1077"/>
      <c r="M186" s="1077"/>
      <c r="N186" s="1077"/>
      <c r="O186" s="1077"/>
      <c r="P186" s="1077"/>
      <c r="Q186" s="1077"/>
      <c r="R186" s="1077"/>
      <c r="S186" s="1077"/>
      <c r="T186" s="1077"/>
      <c r="U186" s="1077"/>
      <c r="V186" s="1077"/>
      <c r="W186" s="1077"/>
      <c r="X186" s="1077"/>
      <c r="Y186" s="1077"/>
      <c r="Z186" s="1077"/>
      <c r="AA186" s="1077"/>
      <c r="AB186" s="1077"/>
      <c r="AC186" s="1077"/>
      <c r="AD186" s="1077"/>
      <c r="AE186" s="1077"/>
      <c r="AF186" s="1077"/>
      <c r="AG186" s="1077"/>
      <c r="AH186" s="1077"/>
      <c r="AI186" s="1077"/>
      <c r="AJ186" s="1077"/>
    </row>
    <row r="187" spans="1:36" x14ac:dyDescent="0.2">
      <c r="A187" s="1077"/>
      <c r="B187" s="1077"/>
      <c r="C187" s="1077"/>
      <c r="D187" s="1077"/>
      <c r="E187" s="1077"/>
      <c r="F187" s="1077"/>
      <c r="G187" s="1077"/>
      <c r="H187" s="1077"/>
      <c r="I187" s="1077"/>
      <c r="J187" s="1077"/>
      <c r="K187" s="1077"/>
      <c r="L187" s="1077"/>
      <c r="M187" s="1077"/>
      <c r="N187" s="1077"/>
      <c r="O187" s="1077"/>
      <c r="P187" s="1077"/>
      <c r="Q187" s="1077"/>
      <c r="R187" s="1077"/>
      <c r="S187" s="1077"/>
      <c r="T187" s="1077"/>
      <c r="U187" s="1077"/>
      <c r="V187" s="1077"/>
      <c r="W187" s="1077"/>
      <c r="X187" s="1077"/>
      <c r="Y187" s="1077"/>
      <c r="Z187" s="1077"/>
      <c r="AA187" s="1077"/>
      <c r="AB187" s="1077"/>
      <c r="AC187" s="1077"/>
      <c r="AD187" s="1077"/>
      <c r="AE187" s="1077"/>
      <c r="AF187" s="1077"/>
      <c r="AG187" s="1077"/>
      <c r="AH187" s="1077"/>
      <c r="AI187" s="1077"/>
      <c r="AJ187" s="1077"/>
    </row>
    <row r="188" spans="1:36" x14ac:dyDescent="0.2">
      <c r="A188" s="1077"/>
      <c r="B188" s="1077"/>
      <c r="C188" s="1077"/>
      <c r="D188" s="1077"/>
      <c r="E188" s="1077"/>
      <c r="F188" s="1077"/>
      <c r="G188" s="1077"/>
      <c r="H188" s="1077"/>
      <c r="I188" s="1077"/>
      <c r="J188" s="1077"/>
      <c r="K188" s="1077"/>
      <c r="L188" s="1077"/>
      <c r="M188" s="1077"/>
      <c r="N188" s="1077"/>
      <c r="O188" s="1077"/>
      <c r="P188" s="1077"/>
      <c r="Q188" s="1077"/>
      <c r="R188" s="1077"/>
      <c r="S188" s="1077"/>
      <c r="T188" s="1077"/>
      <c r="U188" s="1077"/>
      <c r="V188" s="1077"/>
      <c r="W188" s="1077"/>
      <c r="X188" s="1077"/>
      <c r="Y188" s="1077"/>
      <c r="Z188" s="1077"/>
      <c r="AA188" s="1077"/>
      <c r="AB188" s="1077"/>
      <c r="AC188" s="1077"/>
      <c r="AD188" s="1077"/>
      <c r="AE188" s="1077"/>
      <c r="AF188" s="1077"/>
      <c r="AG188" s="1077"/>
      <c r="AH188" s="1077"/>
      <c r="AI188" s="1077"/>
      <c r="AJ188" s="1077"/>
    </row>
    <row r="189" spans="1:36" x14ac:dyDescent="0.2">
      <c r="A189" s="1077"/>
      <c r="B189" s="1440" t="s">
        <v>1308</v>
      </c>
      <c r="C189" s="1441">
        <f>+MIN(F3:G3)</f>
        <v>0.95</v>
      </c>
      <c r="D189" s="1441">
        <f>+MIN(F4:G4)</f>
        <v>0.95</v>
      </c>
      <c r="E189" s="1441">
        <f>+MIN(F5:G5)</f>
        <v>0.95</v>
      </c>
      <c r="F189" s="1441">
        <f>+MIN(F6:G6)</f>
        <v>0.95</v>
      </c>
      <c r="G189" s="1441">
        <f>+MIN(F7:G7)</f>
        <v>0.95</v>
      </c>
      <c r="H189" s="1441">
        <f>+MIN(F8:G8)</f>
        <v>0.95</v>
      </c>
      <c r="I189" s="1441">
        <f>+MIN(F9:G9)</f>
        <v>0.95</v>
      </c>
      <c r="J189" s="1077"/>
      <c r="K189" s="1077"/>
      <c r="L189" s="1077"/>
      <c r="M189" s="1077"/>
      <c r="N189" s="1077"/>
      <c r="O189" s="1077"/>
      <c r="P189" s="1077"/>
      <c r="Q189" s="1077"/>
      <c r="R189" s="1077"/>
      <c r="S189" s="1077"/>
      <c r="T189" s="1077"/>
      <c r="U189" s="1077"/>
      <c r="V189" s="1077"/>
      <c r="W189" s="1077"/>
      <c r="X189" s="1077"/>
      <c r="Y189" s="1077"/>
      <c r="Z189" s="1077"/>
      <c r="AA189" s="1077"/>
      <c r="AB189" s="1077"/>
      <c r="AC189" s="1077"/>
      <c r="AD189" s="1077"/>
      <c r="AE189" s="1077"/>
      <c r="AF189" s="1077"/>
      <c r="AG189" s="1077"/>
      <c r="AH189" s="1077"/>
      <c r="AI189" s="1077"/>
      <c r="AJ189" s="1077"/>
    </row>
    <row r="190" spans="1:36" x14ac:dyDescent="0.2">
      <c r="A190" s="1077"/>
      <c r="B190" s="1440" t="s">
        <v>1310</v>
      </c>
      <c r="C190" s="1442">
        <v>1</v>
      </c>
      <c r="D190" s="1442">
        <v>1</v>
      </c>
      <c r="E190" s="1442">
        <v>1</v>
      </c>
      <c r="F190" s="1442">
        <v>1</v>
      </c>
      <c r="G190" s="1442">
        <v>1</v>
      </c>
      <c r="H190" s="1442">
        <v>1</v>
      </c>
      <c r="I190" s="1442">
        <v>1</v>
      </c>
      <c r="J190" s="1077"/>
      <c r="K190" s="1077"/>
      <c r="L190" s="1077"/>
      <c r="M190" s="1077"/>
      <c r="N190" s="1077"/>
      <c r="O190" s="1077"/>
      <c r="P190" s="1077"/>
      <c r="Q190" s="1077"/>
      <c r="R190" s="1077"/>
      <c r="S190" s="1077"/>
      <c r="T190" s="1077"/>
      <c r="U190" s="1077"/>
      <c r="V190" s="1077"/>
      <c r="W190" s="1077"/>
      <c r="X190" s="1077"/>
      <c r="Y190" s="1077"/>
      <c r="Z190" s="1077"/>
      <c r="AA190" s="1077"/>
      <c r="AB190" s="1077"/>
      <c r="AC190" s="1077"/>
      <c r="AD190" s="1077"/>
      <c r="AE190" s="1077"/>
      <c r="AF190" s="1077"/>
      <c r="AG190" s="1077"/>
      <c r="AH190" s="1077"/>
      <c r="AI190" s="1077"/>
      <c r="AJ190" s="1077"/>
    </row>
    <row r="191" spans="1:36" x14ac:dyDescent="0.2">
      <c r="A191" s="1077"/>
      <c r="B191" s="1440" t="s">
        <v>1309</v>
      </c>
      <c r="C191" s="1441">
        <f>+MAX(F3:G3)</f>
        <v>1.05</v>
      </c>
      <c r="D191" s="1441">
        <f>+MAX(F4:G4)</f>
        <v>1.05</v>
      </c>
      <c r="E191" s="1441">
        <f>+MAX(F5:G5)</f>
        <v>1.05</v>
      </c>
      <c r="F191" s="1441">
        <f>+MAX(F6:G6)</f>
        <v>1.05</v>
      </c>
      <c r="G191" s="1441">
        <f>+MAX(F7:G7)</f>
        <v>1.05</v>
      </c>
      <c r="H191" s="1441">
        <f>+MAX(F8:G8)</f>
        <v>1.05</v>
      </c>
      <c r="I191" s="1441">
        <f>+MAX(F9:G9)</f>
        <v>1.05</v>
      </c>
      <c r="J191" s="1077"/>
      <c r="K191" s="1077"/>
      <c r="L191" s="1077"/>
      <c r="M191" s="1077"/>
      <c r="N191" s="1077"/>
      <c r="O191" s="1077"/>
      <c r="P191" s="1077"/>
      <c r="Q191" s="1077"/>
      <c r="R191" s="1077"/>
      <c r="S191" s="1077"/>
      <c r="T191" s="1077"/>
      <c r="U191" s="1077"/>
      <c r="V191" s="1077"/>
      <c r="W191" s="1077"/>
      <c r="X191" s="1077"/>
      <c r="Y191" s="1077"/>
      <c r="Z191" s="1077"/>
      <c r="AA191" s="1077"/>
      <c r="AB191" s="1077"/>
      <c r="AC191" s="1077"/>
      <c r="AD191" s="1077"/>
      <c r="AE191" s="1077"/>
      <c r="AF191" s="1077"/>
      <c r="AG191" s="1077"/>
      <c r="AH191" s="1077"/>
      <c r="AI191" s="1077"/>
      <c r="AJ191" s="1077"/>
    </row>
    <row r="192" spans="1:36" x14ac:dyDescent="0.2">
      <c r="A192" s="1077"/>
      <c r="B192" s="1077"/>
      <c r="C192" s="1077"/>
      <c r="D192" s="1077"/>
      <c r="E192" s="1077"/>
      <c r="F192" s="1077"/>
      <c r="G192" s="1077"/>
      <c r="H192" s="1077"/>
      <c r="I192" s="1077"/>
      <c r="J192" s="1077"/>
      <c r="K192" s="1077"/>
      <c r="L192" s="1077"/>
      <c r="M192" s="1077"/>
      <c r="N192" s="1077"/>
      <c r="O192" s="1077"/>
      <c r="P192" s="1077"/>
      <c r="Q192" s="1077"/>
      <c r="R192" s="1077"/>
      <c r="S192" s="1077"/>
      <c r="T192" s="1077"/>
      <c r="U192" s="1077"/>
      <c r="V192" s="1077"/>
      <c r="W192" s="1077"/>
      <c r="X192" s="1077"/>
      <c r="Y192" s="1077"/>
      <c r="Z192" s="1077"/>
      <c r="AA192" s="1077"/>
      <c r="AB192" s="1077"/>
      <c r="AC192" s="1077"/>
      <c r="AD192" s="1077"/>
      <c r="AE192" s="1077"/>
      <c r="AF192" s="1077"/>
      <c r="AG192" s="1077"/>
      <c r="AH192" s="1077"/>
      <c r="AI192" s="1077"/>
      <c r="AJ192" s="1077"/>
    </row>
    <row r="193" spans="1:36" x14ac:dyDescent="0.2">
      <c r="A193" s="1077"/>
      <c r="B193" s="1077"/>
      <c r="C193" s="1077"/>
      <c r="D193" s="1077"/>
      <c r="E193" s="1077"/>
      <c r="F193" s="1077"/>
      <c r="G193" s="1077"/>
      <c r="H193" s="1077"/>
      <c r="I193" s="1077"/>
      <c r="J193" s="1077"/>
      <c r="K193" s="1077"/>
      <c r="L193" s="1077"/>
      <c r="M193" s="1077"/>
      <c r="N193" s="1077"/>
      <c r="O193" s="1077"/>
      <c r="P193" s="1077"/>
      <c r="Q193" s="1077"/>
      <c r="R193" s="1077"/>
      <c r="S193" s="1077"/>
      <c r="T193" s="1077"/>
      <c r="U193" s="1077"/>
      <c r="V193" s="1077"/>
      <c r="W193" s="1077"/>
      <c r="X193" s="1077"/>
      <c r="Y193" s="1077"/>
      <c r="Z193" s="1077"/>
      <c r="AA193" s="1077"/>
      <c r="AB193" s="1077"/>
      <c r="AC193" s="1077"/>
      <c r="AD193" s="1077"/>
      <c r="AE193" s="1077"/>
      <c r="AF193" s="1077"/>
      <c r="AG193" s="1077"/>
      <c r="AH193" s="1077"/>
      <c r="AI193" s="1077"/>
      <c r="AJ193" s="1077"/>
    </row>
    <row r="194" spans="1:36" x14ac:dyDescent="0.2">
      <c r="A194" s="1077"/>
      <c r="B194" s="1078" t="s">
        <v>1316</v>
      </c>
      <c r="C194" s="1077">
        <f>+MATCH(R12,C50:Y50,0)</f>
        <v>9</v>
      </c>
      <c r="D194" s="1077"/>
      <c r="E194" s="1077"/>
      <c r="F194" s="1077"/>
      <c r="G194" s="1077"/>
      <c r="H194" s="1077"/>
      <c r="I194" s="1077"/>
      <c r="J194" s="1077"/>
      <c r="K194" s="1077"/>
      <c r="L194" s="1077"/>
      <c r="M194" s="1077"/>
      <c r="N194" s="1077"/>
      <c r="O194" s="1077"/>
      <c r="P194" s="1077"/>
      <c r="Q194" s="1077"/>
      <c r="R194" s="1077"/>
      <c r="S194" s="1077"/>
      <c r="T194" s="1077"/>
      <c r="U194" s="1077"/>
      <c r="V194" s="1077"/>
      <c r="W194" s="1077"/>
      <c r="X194" s="1077"/>
      <c r="Y194" s="1077"/>
      <c r="Z194" s="1077"/>
      <c r="AA194" s="1077"/>
      <c r="AB194" s="1077"/>
      <c r="AC194" s="1077"/>
      <c r="AD194" s="1077"/>
      <c r="AE194" s="1077"/>
      <c r="AF194" s="1077"/>
      <c r="AG194" s="1077"/>
      <c r="AH194" s="1077"/>
      <c r="AI194" s="1077"/>
      <c r="AJ194" s="1077"/>
    </row>
    <row r="195" spans="1:36" x14ac:dyDescent="0.2">
      <c r="A195" s="1077"/>
      <c r="B195" s="1078" t="s">
        <v>1312</v>
      </c>
      <c r="C195" s="1077">
        <f ca="1">+MIN(OFFSET($B$251:$B$2250,0,C194))</f>
        <v>2.3045310020950209</v>
      </c>
      <c r="D195" s="1077"/>
      <c r="E195" s="1077"/>
      <c r="F195" s="1077"/>
      <c r="G195" s="1077"/>
      <c r="H195" s="1077"/>
      <c r="I195" s="1077"/>
      <c r="J195" s="1077"/>
      <c r="K195" s="1077"/>
      <c r="L195" s="1077"/>
      <c r="M195" s="1077"/>
      <c r="N195" s="1077"/>
      <c r="O195" s="1077"/>
      <c r="P195" s="1077"/>
      <c r="Q195" s="1077"/>
      <c r="R195" s="1077"/>
      <c r="S195" s="1077"/>
      <c r="T195" s="1077"/>
      <c r="U195" s="1077"/>
      <c r="V195" s="1077"/>
      <c r="W195" s="1077"/>
      <c r="X195" s="1077"/>
      <c r="Y195" s="1077"/>
      <c r="Z195" s="1077"/>
      <c r="AA195" s="1077"/>
      <c r="AB195" s="1077"/>
      <c r="AC195" s="1077"/>
      <c r="AD195" s="1077"/>
      <c r="AE195" s="1077"/>
      <c r="AF195" s="1077"/>
      <c r="AG195" s="1077"/>
      <c r="AH195" s="1077"/>
      <c r="AI195" s="1077"/>
      <c r="AJ195" s="1077"/>
    </row>
    <row r="196" spans="1:36" x14ac:dyDescent="0.2">
      <c r="A196" s="1077"/>
      <c r="B196" s="1078" t="s">
        <v>1317</v>
      </c>
      <c r="C196" s="1077">
        <f ca="1">+MAX(OFFSET($B$251:$B$2250,0,C194))</f>
        <v>2.5093744319270033</v>
      </c>
      <c r="D196" s="1077"/>
      <c r="E196" s="1077"/>
      <c r="F196" s="1077"/>
      <c r="G196" s="1077"/>
      <c r="H196" s="1077"/>
      <c r="I196" s="1077"/>
      <c r="J196" s="1077"/>
      <c r="K196" s="1077"/>
      <c r="L196" s="1077"/>
      <c r="M196" s="1077"/>
      <c r="N196" s="1077"/>
      <c r="O196" s="1077"/>
      <c r="P196" s="1077"/>
      <c r="Q196" s="1077"/>
      <c r="R196" s="1077"/>
      <c r="S196" s="1077"/>
      <c r="T196" s="1077"/>
      <c r="U196" s="1077"/>
      <c r="V196" s="1077"/>
      <c r="W196" s="1077"/>
      <c r="X196" s="1077"/>
      <c r="Y196" s="1077"/>
      <c r="Z196" s="1077"/>
      <c r="AA196" s="1077"/>
      <c r="AB196" s="1077"/>
      <c r="AC196" s="1077"/>
      <c r="AD196" s="1077"/>
      <c r="AE196" s="1077"/>
      <c r="AF196" s="1077"/>
      <c r="AG196" s="1077"/>
      <c r="AH196" s="1077"/>
      <c r="AI196" s="1077"/>
      <c r="AJ196" s="1077"/>
    </row>
    <row r="197" spans="1:36" x14ac:dyDescent="0.2">
      <c r="A197" s="1077"/>
      <c r="B197" s="1078" t="s">
        <v>1319</v>
      </c>
      <c r="C197" s="1077">
        <f ca="1">+C196-C195</f>
        <v>0.20484342983198234</v>
      </c>
      <c r="D197" s="1077"/>
      <c r="E197" s="1077"/>
      <c r="F197" s="1077"/>
      <c r="G197" s="1077"/>
      <c r="H197" s="1077"/>
      <c r="I197" s="1077"/>
      <c r="J197" s="1077"/>
      <c r="K197" s="1077"/>
      <c r="L197" s="1077"/>
      <c r="M197" s="1077"/>
      <c r="N197" s="1077"/>
      <c r="O197" s="1077"/>
      <c r="P197" s="1077"/>
      <c r="Q197" s="1077"/>
      <c r="R197" s="1077"/>
      <c r="S197" s="1077"/>
      <c r="T197" s="1077"/>
      <c r="U197" s="1077"/>
      <c r="V197" s="1077"/>
      <c r="W197" s="1077"/>
      <c r="X197" s="1077"/>
      <c r="Y197" s="1077"/>
      <c r="Z197" s="1077"/>
      <c r="AA197" s="1077"/>
      <c r="AB197" s="1077"/>
      <c r="AC197" s="1077"/>
      <c r="AD197" s="1077"/>
      <c r="AE197" s="1077"/>
      <c r="AF197" s="1077"/>
      <c r="AG197" s="1077"/>
      <c r="AH197" s="1077"/>
      <c r="AI197" s="1077"/>
      <c r="AJ197" s="1077"/>
    </row>
    <row r="198" spans="1:36" x14ac:dyDescent="0.2">
      <c r="A198" s="1077"/>
      <c r="B198" s="1078" t="s">
        <v>1318</v>
      </c>
      <c r="C198" s="1077">
        <f ca="1">+OFFSET(B199,0,C194)</f>
        <v>1</v>
      </c>
      <c r="D198" s="1077"/>
      <c r="E198" s="1077"/>
      <c r="F198" s="1077"/>
      <c r="G198" s="1077"/>
      <c r="H198" s="1077"/>
      <c r="I198" s="1077"/>
      <c r="J198" s="1077"/>
      <c r="K198" s="1077"/>
      <c r="L198" s="1077"/>
      <c r="M198" s="1077"/>
      <c r="N198" s="1077"/>
      <c r="O198" s="1077"/>
      <c r="P198" s="1077"/>
      <c r="Q198" s="1077"/>
      <c r="R198" s="1077"/>
      <c r="S198" s="1077"/>
      <c r="T198" s="1077"/>
      <c r="U198" s="1077"/>
      <c r="V198" s="1077"/>
      <c r="W198" s="1077"/>
      <c r="X198" s="1077"/>
      <c r="Y198" s="1077"/>
      <c r="Z198" s="1077"/>
      <c r="AA198" s="1077"/>
      <c r="AB198" s="1077"/>
      <c r="AC198" s="1077"/>
      <c r="AD198" s="1077"/>
      <c r="AE198" s="1077"/>
      <c r="AF198" s="1077"/>
      <c r="AG198" s="1077"/>
      <c r="AH198" s="1077"/>
      <c r="AI198" s="1077"/>
      <c r="AJ198" s="1077"/>
    </row>
    <row r="199" spans="1:36" x14ac:dyDescent="0.2">
      <c r="A199" s="1077"/>
      <c r="B199" s="1078" t="s">
        <v>1318</v>
      </c>
      <c r="C199" s="1438">
        <f ca="1">+C3</f>
        <v>0.9</v>
      </c>
      <c r="D199" s="1445">
        <f ca="1">+C4</f>
        <v>155236</v>
      </c>
      <c r="E199" s="1438">
        <f ca="1">+C5</f>
        <v>0.08</v>
      </c>
      <c r="F199" s="1438">
        <f>+C6</f>
        <v>1</v>
      </c>
      <c r="G199" s="1438">
        <f>+C7</f>
        <v>1</v>
      </c>
      <c r="H199" s="1445">
        <f ca="1">+C8</f>
        <v>208474393.59898299</v>
      </c>
      <c r="I199" s="1445">
        <f ca="1">+C9</f>
        <v>12676323.203777689</v>
      </c>
      <c r="J199" s="1077"/>
      <c r="K199" s="1077">
        <v>1</v>
      </c>
      <c r="L199" s="1077">
        <v>1</v>
      </c>
      <c r="M199" s="1077">
        <v>1</v>
      </c>
      <c r="N199" s="1077">
        <v>1</v>
      </c>
      <c r="O199" s="1077">
        <v>1</v>
      </c>
      <c r="P199" s="1077">
        <v>1</v>
      </c>
      <c r="Q199" s="1077">
        <v>1</v>
      </c>
      <c r="R199" s="1077">
        <v>1</v>
      </c>
      <c r="S199" s="1077">
        <v>1</v>
      </c>
      <c r="T199" s="1077">
        <v>1</v>
      </c>
      <c r="U199" s="1077">
        <v>1</v>
      </c>
      <c r="V199" s="1077">
        <v>1</v>
      </c>
      <c r="W199" s="1077">
        <v>1</v>
      </c>
      <c r="X199" s="1077">
        <v>1</v>
      </c>
      <c r="Y199" s="1077"/>
      <c r="Z199" s="1077"/>
      <c r="AA199" s="1077"/>
      <c r="AB199" s="1077"/>
      <c r="AC199" s="1077"/>
      <c r="AD199" s="1077"/>
      <c r="AE199" s="1077"/>
      <c r="AF199" s="1077"/>
      <c r="AG199" s="1077"/>
      <c r="AH199" s="1077"/>
      <c r="AI199" s="1077"/>
      <c r="AJ199" s="1077"/>
    </row>
    <row r="200" spans="1:36" x14ac:dyDescent="0.2">
      <c r="A200" s="1077"/>
      <c r="B200" s="1078" t="s">
        <v>1315</v>
      </c>
      <c r="C200" s="1077"/>
      <c r="D200" s="1077"/>
      <c r="E200" s="1077"/>
      <c r="F200" s="1077"/>
      <c r="G200" s="1077"/>
      <c r="H200" s="1077"/>
      <c r="I200" s="1077"/>
      <c r="J200" s="1077"/>
      <c r="K200" s="1077"/>
      <c r="L200" s="1077"/>
      <c r="M200" s="1077"/>
      <c r="N200" s="1077"/>
      <c r="O200" s="1077"/>
      <c r="P200" s="1077"/>
      <c r="Q200" s="1077"/>
      <c r="R200" s="1077"/>
      <c r="S200" s="1077"/>
      <c r="T200" s="1077"/>
      <c r="U200" s="1077"/>
      <c r="V200" s="1077"/>
      <c r="W200" s="1077"/>
      <c r="X200" s="1077"/>
      <c r="Y200" s="1077"/>
      <c r="Z200" s="1077"/>
      <c r="AA200" s="1077"/>
      <c r="AB200" s="1077"/>
      <c r="AC200" s="1077"/>
      <c r="AD200" s="1077"/>
      <c r="AE200" s="1077"/>
      <c r="AF200" s="1077"/>
      <c r="AG200" s="1077"/>
      <c r="AH200" s="1077"/>
      <c r="AI200" s="1077"/>
      <c r="AJ200" s="1077"/>
    </row>
    <row r="201" spans="1:36" x14ac:dyDescent="0.2">
      <c r="A201" s="1077"/>
      <c r="B201" s="1078" t="s">
        <v>1312</v>
      </c>
      <c r="C201" s="1078" t="s">
        <v>1313</v>
      </c>
      <c r="D201" s="1077"/>
      <c r="E201" s="1078" t="s">
        <v>1320</v>
      </c>
      <c r="F201" s="1078" t="s">
        <v>1321</v>
      </c>
      <c r="G201" s="1078" t="s">
        <v>1322</v>
      </c>
      <c r="H201" s="1078" t="s">
        <v>1323</v>
      </c>
      <c r="I201" s="1078" t="s">
        <v>1324</v>
      </c>
      <c r="J201" s="1077"/>
      <c r="K201" s="1077"/>
      <c r="L201" s="1077"/>
      <c r="M201" s="1077"/>
      <c r="N201" s="1077"/>
      <c r="O201" s="1077"/>
      <c r="P201" s="1077"/>
      <c r="Q201" s="1077"/>
      <c r="R201" s="1077"/>
      <c r="S201" s="1077"/>
      <c r="T201" s="1077"/>
      <c r="U201" s="1077"/>
      <c r="V201" s="1077"/>
      <c r="W201" s="1077"/>
      <c r="X201" s="1077"/>
      <c r="Y201" s="1077"/>
      <c r="Z201" s="1077"/>
      <c r="AA201" s="1077"/>
      <c r="AB201" s="1077"/>
      <c r="AC201" s="1077"/>
      <c r="AD201" s="1077"/>
      <c r="AE201" s="1077"/>
      <c r="AF201" s="1077"/>
      <c r="AG201" s="1077"/>
      <c r="AH201" s="1077"/>
      <c r="AI201" s="1077"/>
      <c r="AJ201" s="1077"/>
    </row>
    <row r="202" spans="1:36" x14ac:dyDescent="0.2">
      <c r="A202" s="1077"/>
      <c r="B202" s="1082">
        <f ca="1">+C195</f>
        <v>2.3045310020950209</v>
      </c>
      <c r="C202" s="1443">
        <f ca="1">+B202+($C$197/20)</f>
        <v>2.3147731735866199</v>
      </c>
      <c r="D202" s="1077">
        <f t="shared" ref="D202:D221" ca="1" si="88">+COUNTIFS(OFFSET(B$251:B$2250,0,$C$194),"&gt;="&amp;$B202,
OFFSET(B$251:B$2250,0,$C$194),"&lt;="&amp;$C202)</f>
        <v>1</v>
      </c>
      <c r="E202" s="1446">
        <f ca="1">+B202*$C$198</f>
        <v>2.3045310020950209</v>
      </c>
      <c r="F202" s="1446">
        <f ca="1">+C202*$C$198</f>
        <v>2.3147731735866199</v>
      </c>
      <c r="G202" s="1445">
        <f ca="1">+AVERAGE(E202:F202)</f>
        <v>2.3096520878408207</v>
      </c>
      <c r="H202" s="1077">
        <f ca="1">+D202/$D$223</f>
        <v>5.0000000000000001E-4</v>
      </c>
      <c r="I202" s="1077">
        <f ca="1">+H202</f>
        <v>5.0000000000000001E-4</v>
      </c>
      <c r="J202" s="1077"/>
      <c r="K202" s="1077"/>
      <c r="L202" s="1077"/>
      <c r="M202" s="1077"/>
      <c r="N202" s="1077"/>
      <c r="O202" s="1077"/>
      <c r="P202" s="1077"/>
      <c r="Q202" s="1077"/>
      <c r="R202" s="1077"/>
      <c r="S202" s="1077"/>
      <c r="T202" s="1077"/>
      <c r="U202" s="1077"/>
      <c r="V202" s="1077"/>
      <c r="W202" s="1077"/>
      <c r="X202" s="1077"/>
      <c r="Y202" s="1077"/>
      <c r="Z202" s="1077"/>
      <c r="AA202" s="1077"/>
      <c r="AB202" s="1077"/>
      <c r="AC202" s="1077"/>
      <c r="AD202" s="1077"/>
      <c r="AE202" s="1077"/>
      <c r="AF202" s="1077"/>
      <c r="AG202" s="1077"/>
      <c r="AH202" s="1077"/>
      <c r="AI202" s="1077"/>
      <c r="AJ202" s="1077"/>
    </row>
    <row r="203" spans="1:36" x14ac:dyDescent="0.2">
      <c r="A203" s="1077"/>
      <c r="B203" s="1082">
        <f ca="1">+C202</f>
        <v>2.3147731735866199</v>
      </c>
      <c r="C203" s="1443">
        <f t="shared" ref="C203:C220" ca="1" si="89">+B203+($C$197/20)</f>
        <v>2.3250153450782189</v>
      </c>
      <c r="D203" s="1077">
        <f t="shared" ca="1" si="88"/>
        <v>6</v>
      </c>
      <c r="E203" s="1446">
        <f t="shared" ref="E203:E221" ca="1" si="90">+B203*$C$198</f>
        <v>2.3147731735866199</v>
      </c>
      <c r="F203" s="1446">
        <f t="shared" ref="F203:F222" ca="1" si="91">+C203*$C$198</f>
        <v>2.3250153450782189</v>
      </c>
      <c r="G203" s="1445">
        <f t="shared" ref="G203:G222" ca="1" si="92">+AVERAGE(E203:F203)</f>
        <v>2.3198942593324192</v>
      </c>
      <c r="H203" s="1077">
        <f t="shared" ref="H203:H221" ca="1" si="93">+D203/$D$223</f>
        <v>3.0000000000000001E-3</v>
      </c>
      <c r="I203" s="1077">
        <f ca="1">+I202+H203</f>
        <v>3.5000000000000001E-3</v>
      </c>
      <c r="J203" s="1077"/>
      <c r="K203" s="1077"/>
      <c r="L203" s="1077"/>
      <c r="M203" s="1077"/>
      <c r="N203" s="1077"/>
      <c r="O203" s="1077"/>
      <c r="P203" s="1077"/>
      <c r="Q203" s="1077"/>
      <c r="R203" s="1077"/>
      <c r="S203" s="1077"/>
      <c r="T203" s="1077"/>
      <c r="U203" s="1077"/>
      <c r="V203" s="1077"/>
      <c r="W203" s="1077"/>
      <c r="X203" s="1077"/>
      <c r="Y203" s="1077"/>
      <c r="Z203" s="1077"/>
      <c r="AA203" s="1077"/>
      <c r="AB203" s="1077"/>
      <c r="AC203" s="1077"/>
      <c r="AD203" s="1077"/>
      <c r="AE203" s="1077"/>
      <c r="AF203" s="1077"/>
      <c r="AG203" s="1077"/>
      <c r="AH203" s="1077"/>
      <c r="AI203" s="1077"/>
      <c r="AJ203" s="1077"/>
    </row>
    <row r="204" spans="1:36" x14ac:dyDescent="0.2">
      <c r="A204" s="1077"/>
      <c r="B204" s="1082">
        <f t="shared" ref="B204:B221" ca="1" si="94">+C203</f>
        <v>2.3250153450782189</v>
      </c>
      <c r="C204" s="1443">
        <f t="shared" ca="1" si="89"/>
        <v>2.3352575165698179</v>
      </c>
      <c r="D204" s="1077">
        <f t="shared" ca="1" si="88"/>
        <v>21</v>
      </c>
      <c r="E204" s="1446">
        <f t="shared" ca="1" si="90"/>
        <v>2.3250153450782189</v>
      </c>
      <c r="F204" s="1446">
        <f t="shared" ca="1" si="91"/>
        <v>2.3352575165698179</v>
      </c>
      <c r="G204" s="1445">
        <f t="shared" ca="1" si="92"/>
        <v>2.3301364308240187</v>
      </c>
      <c r="H204" s="1077">
        <f t="shared" ca="1" si="93"/>
        <v>1.0500000000000001E-2</v>
      </c>
      <c r="I204" s="1077">
        <f t="shared" ref="I204:I221" ca="1" si="95">+I203+H204</f>
        <v>1.4E-2</v>
      </c>
      <c r="J204" s="1077"/>
      <c r="K204" s="1077"/>
      <c r="L204" s="1077"/>
      <c r="M204" s="1077"/>
      <c r="N204" s="1077"/>
      <c r="O204" s="1077"/>
      <c r="P204" s="1077"/>
      <c r="Q204" s="1077"/>
      <c r="R204" s="1077"/>
      <c r="S204" s="1077"/>
      <c r="T204" s="1077"/>
      <c r="U204" s="1077"/>
      <c r="V204" s="1077"/>
      <c r="W204" s="1077"/>
      <c r="X204" s="1077"/>
      <c r="Y204" s="1077"/>
      <c r="Z204" s="1077"/>
      <c r="AA204" s="1077"/>
      <c r="AB204" s="1077"/>
      <c r="AC204" s="1077"/>
      <c r="AD204" s="1077"/>
      <c r="AE204" s="1077"/>
      <c r="AF204" s="1077"/>
      <c r="AG204" s="1077"/>
      <c r="AH204" s="1077"/>
      <c r="AI204" s="1077"/>
      <c r="AJ204" s="1077"/>
    </row>
    <row r="205" spans="1:36" x14ac:dyDescent="0.2">
      <c r="A205" s="1077"/>
      <c r="B205" s="1082">
        <f t="shared" ca="1" si="94"/>
        <v>2.3352575165698179</v>
      </c>
      <c r="C205" s="1443">
        <f t="shared" ca="1" si="89"/>
        <v>2.345499688061417</v>
      </c>
      <c r="D205" s="1077">
        <f t="shared" ca="1" si="88"/>
        <v>38</v>
      </c>
      <c r="E205" s="1446">
        <f t="shared" ca="1" si="90"/>
        <v>2.3352575165698179</v>
      </c>
      <c r="F205" s="1446">
        <f t="shared" ca="1" si="91"/>
        <v>2.345499688061417</v>
      </c>
      <c r="G205" s="1445">
        <f t="shared" ca="1" si="92"/>
        <v>2.3403786023156172</v>
      </c>
      <c r="H205" s="1077">
        <f t="shared" ca="1" si="93"/>
        <v>1.9E-2</v>
      </c>
      <c r="I205" s="1077">
        <f t="shared" ca="1" si="95"/>
        <v>3.3000000000000002E-2</v>
      </c>
      <c r="J205" s="1077"/>
      <c r="K205" s="1077"/>
      <c r="L205" s="1077"/>
      <c r="M205" s="1077"/>
      <c r="N205" s="1077"/>
      <c r="O205" s="1077"/>
      <c r="P205" s="1077"/>
      <c r="Q205" s="1077"/>
      <c r="R205" s="1077"/>
      <c r="S205" s="1077"/>
      <c r="T205" s="1077"/>
      <c r="U205" s="1077"/>
      <c r="V205" s="1077"/>
      <c r="W205" s="1077"/>
      <c r="X205" s="1077"/>
      <c r="Y205" s="1077"/>
      <c r="Z205" s="1077"/>
      <c r="AA205" s="1077"/>
      <c r="AB205" s="1077"/>
      <c r="AC205" s="1077"/>
      <c r="AD205" s="1077"/>
      <c r="AE205" s="1077"/>
      <c r="AF205" s="1077"/>
      <c r="AG205" s="1077"/>
      <c r="AH205" s="1077"/>
      <c r="AI205" s="1077"/>
      <c r="AJ205" s="1077"/>
    </row>
    <row r="206" spans="1:36" x14ac:dyDescent="0.2">
      <c r="A206" s="1077"/>
      <c r="B206" s="1082">
        <f t="shared" ca="1" si="94"/>
        <v>2.345499688061417</v>
      </c>
      <c r="C206" s="1443">
        <f t="shared" ca="1" si="89"/>
        <v>2.355741859553016</v>
      </c>
      <c r="D206" s="1077">
        <f t="shared" ca="1" si="88"/>
        <v>63</v>
      </c>
      <c r="E206" s="1446">
        <f t="shared" ca="1" si="90"/>
        <v>2.345499688061417</v>
      </c>
      <c r="F206" s="1446">
        <f t="shared" ca="1" si="91"/>
        <v>2.355741859553016</v>
      </c>
      <c r="G206" s="1445">
        <f t="shared" ca="1" si="92"/>
        <v>2.3506207738072167</v>
      </c>
      <c r="H206" s="1077">
        <f t="shared" ca="1" si="93"/>
        <v>3.15E-2</v>
      </c>
      <c r="I206" s="1077">
        <f t="shared" ca="1" si="95"/>
        <v>6.4500000000000002E-2</v>
      </c>
      <c r="J206" s="1077"/>
      <c r="K206" s="1077"/>
      <c r="L206" s="1077"/>
      <c r="M206" s="1077"/>
      <c r="N206" s="1077"/>
      <c r="O206" s="1077"/>
      <c r="P206" s="1077"/>
      <c r="Q206" s="1077"/>
      <c r="R206" s="1077"/>
      <c r="S206" s="1077"/>
      <c r="T206" s="1077"/>
      <c r="U206" s="1077"/>
      <c r="V206" s="1077"/>
      <c r="W206" s="1077"/>
      <c r="X206" s="1077"/>
      <c r="Y206" s="1077"/>
      <c r="Z206" s="1077"/>
      <c r="AA206" s="1077"/>
      <c r="AB206" s="1077"/>
      <c r="AC206" s="1077"/>
      <c r="AD206" s="1077"/>
      <c r="AE206" s="1077"/>
      <c r="AF206" s="1077"/>
      <c r="AG206" s="1077"/>
      <c r="AH206" s="1077"/>
      <c r="AI206" s="1077"/>
      <c r="AJ206" s="1077"/>
    </row>
    <row r="207" spans="1:36" x14ac:dyDescent="0.2">
      <c r="A207" s="1077"/>
      <c r="B207" s="1082">
        <f t="shared" ca="1" si="94"/>
        <v>2.355741859553016</v>
      </c>
      <c r="C207" s="1443">
        <f t="shared" ca="1" si="89"/>
        <v>2.365984031044615</v>
      </c>
      <c r="D207" s="1077">
        <f t="shared" ca="1" si="88"/>
        <v>90</v>
      </c>
      <c r="E207" s="1446">
        <f t="shared" ca="1" si="90"/>
        <v>2.355741859553016</v>
      </c>
      <c r="F207" s="1446">
        <f t="shared" ca="1" si="91"/>
        <v>2.365984031044615</v>
      </c>
      <c r="G207" s="1445">
        <f t="shared" ca="1" si="92"/>
        <v>2.3608629452988152</v>
      </c>
      <c r="H207" s="1077">
        <f t="shared" ca="1" si="93"/>
        <v>4.4999999999999998E-2</v>
      </c>
      <c r="I207" s="1077">
        <f t="shared" ca="1" si="95"/>
        <v>0.1095</v>
      </c>
      <c r="J207" s="1077"/>
      <c r="K207" s="1077"/>
      <c r="L207" s="1077"/>
      <c r="M207" s="1077"/>
      <c r="N207" s="1077"/>
      <c r="O207" s="1077"/>
      <c r="P207" s="1077"/>
      <c r="Q207" s="1077"/>
      <c r="R207" s="1077"/>
      <c r="S207" s="1077"/>
      <c r="T207" s="1077"/>
      <c r="U207" s="1077"/>
      <c r="V207" s="1077"/>
      <c r="W207" s="1077"/>
      <c r="X207" s="1077"/>
      <c r="Y207" s="1077"/>
      <c r="Z207" s="1077"/>
      <c r="AA207" s="1077"/>
      <c r="AB207" s="1077"/>
      <c r="AC207" s="1077"/>
      <c r="AD207" s="1077"/>
      <c r="AE207" s="1077"/>
      <c r="AF207" s="1077"/>
      <c r="AG207" s="1077"/>
      <c r="AH207" s="1077"/>
      <c r="AI207" s="1077"/>
      <c r="AJ207" s="1077"/>
    </row>
    <row r="208" spans="1:36" x14ac:dyDescent="0.2">
      <c r="A208" s="1077"/>
      <c r="B208" s="1082">
        <f t="shared" ca="1" si="94"/>
        <v>2.365984031044615</v>
      </c>
      <c r="C208" s="1443">
        <f t="shared" ca="1" si="89"/>
        <v>2.376226202536214</v>
      </c>
      <c r="D208" s="1077">
        <f t="shared" ca="1" si="88"/>
        <v>119</v>
      </c>
      <c r="E208" s="1446">
        <f t="shared" ca="1" si="90"/>
        <v>2.365984031044615</v>
      </c>
      <c r="F208" s="1446">
        <f t="shared" ca="1" si="91"/>
        <v>2.376226202536214</v>
      </c>
      <c r="G208" s="1445">
        <f t="shared" ca="1" si="92"/>
        <v>2.3711051167904147</v>
      </c>
      <c r="H208" s="1077">
        <f t="shared" ca="1" si="93"/>
        <v>5.9499999999999997E-2</v>
      </c>
      <c r="I208" s="1077">
        <f t="shared" ca="1" si="95"/>
        <v>0.16899999999999998</v>
      </c>
      <c r="J208" s="1077"/>
      <c r="K208" s="1077"/>
      <c r="L208" s="1077"/>
      <c r="M208" s="1077"/>
      <c r="N208" s="1077"/>
      <c r="O208" s="1077"/>
      <c r="P208" s="1077"/>
      <c r="Q208" s="1077"/>
      <c r="R208" s="1077"/>
      <c r="S208" s="1077"/>
      <c r="T208" s="1077"/>
      <c r="U208" s="1077"/>
      <c r="V208" s="1077"/>
      <c r="W208" s="1077"/>
      <c r="X208" s="1077"/>
      <c r="Y208" s="1077"/>
      <c r="Z208" s="1077"/>
      <c r="AA208" s="1077"/>
      <c r="AB208" s="1077"/>
      <c r="AC208" s="1077"/>
      <c r="AD208" s="1077"/>
      <c r="AE208" s="1077"/>
      <c r="AF208" s="1077"/>
      <c r="AG208" s="1077"/>
      <c r="AH208" s="1077"/>
      <c r="AI208" s="1077"/>
      <c r="AJ208" s="1077"/>
    </row>
    <row r="209" spans="1:36" x14ac:dyDescent="0.2">
      <c r="A209" s="1077"/>
      <c r="B209" s="1082">
        <f t="shared" ca="1" si="94"/>
        <v>2.376226202536214</v>
      </c>
      <c r="C209" s="1443">
        <f t="shared" ca="1" si="89"/>
        <v>2.386468374027813</v>
      </c>
      <c r="D209" s="1077">
        <f t="shared" ca="1" si="88"/>
        <v>163</v>
      </c>
      <c r="E209" s="1446">
        <f t="shared" ca="1" si="90"/>
        <v>2.376226202536214</v>
      </c>
      <c r="F209" s="1446">
        <f t="shared" ca="1" si="91"/>
        <v>2.386468374027813</v>
      </c>
      <c r="G209" s="1445">
        <f t="shared" ca="1" si="92"/>
        <v>2.3813472882820133</v>
      </c>
      <c r="H209" s="1077">
        <f t="shared" ca="1" si="93"/>
        <v>8.1500000000000003E-2</v>
      </c>
      <c r="I209" s="1077">
        <f t="shared" ca="1" si="95"/>
        <v>0.2505</v>
      </c>
      <c r="J209" s="1077"/>
      <c r="K209" s="1077"/>
      <c r="L209" s="1077"/>
      <c r="M209" s="1077"/>
      <c r="N209" s="1077"/>
      <c r="O209" s="1077"/>
      <c r="P209" s="1077"/>
      <c r="Q209" s="1077"/>
      <c r="R209" s="1077"/>
      <c r="S209" s="1077"/>
      <c r="T209" s="1077"/>
      <c r="U209" s="1077"/>
      <c r="V209" s="1077"/>
      <c r="W209" s="1077"/>
      <c r="X209" s="1077"/>
      <c r="Y209" s="1077"/>
      <c r="Z209" s="1077"/>
      <c r="AA209" s="1077"/>
      <c r="AB209" s="1077"/>
      <c r="AC209" s="1077"/>
      <c r="AD209" s="1077"/>
      <c r="AE209" s="1077"/>
      <c r="AF209" s="1077"/>
      <c r="AG209" s="1077"/>
      <c r="AH209" s="1077"/>
      <c r="AI209" s="1077"/>
      <c r="AJ209" s="1077"/>
    </row>
    <row r="210" spans="1:36" x14ac:dyDescent="0.2">
      <c r="A210" s="1077"/>
      <c r="B210" s="1082">
        <f t="shared" ca="1" si="94"/>
        <v>2.386468374027813</v>
      </c>
      <c r="C210" s="1443">
        <f t="shared" ca="1" si="89"/>
        <v>2.396710545519412</v>
      </c>
      <c r="D210" s="1077">
        <f t="shared" ca="1" si="88"/>
        <v>220</v>
      </c>
      <c r="E210" s="1446">
        <f t="shared" ca="1" si="90"/>
        <v>2.386468374027813</v>
      </c>
      <c r="F210" s="1446">
        <f t="shared" ca="1" si="91"/>
        <v>2.396710545519412</v>
      </c>
      <c r="G210" s="1445">
        <f t="shared" ca="1" si="92"/>
        <v>2.3915894597736127</v>
      </c>
      <c r="H210" s="1077">
        <f t="shared" ca="1" si="93"/>
        <v>0.11</v>
      </c>
      <c r="I210" s="1077">
        <f t="shared" ca="1" si="95"/>
        <v>0.36049999999999999</v>
      </c>
      <c r="J210" s="1077"/>
      <c r="K210" s="1077"/>
      <c r="L210" s="1077"/>
      <c r="M210" s="1077"/>
      <c r="N210" s="1077"/>
      <c r="O210" s="1077"/>
      <c r="P210" s="1077"/>
      <c r="Q210" s="1077"/>
      <c r="R210" s="1077"/>
      <c r="S210" s="1077"/>
      <c r="T210" s="1077"/>
      <c r="U210" s="1077"/>
      <c r="V210" s="1077"/>
      <c r="W210" s="1077"/>
      <c r="X210" s="1077"/>
      <c r="Y210" s="1077"/>
      <c r="Z210" s="1077"/>
      <c r="AA210" s="1077"/>
      <c r="AB210" s="1077"/>
      <c r="AC210" s="1077"/>
      <c r="AD210" s="1077"/>
      <c r="AE210" s="1077"/>
      <c r="AF210" s="1077"/>
      <c r="AG210" s="1077"/>
      <c r="AH210" s="1077"/>
      <c r="AI210" s="1077"/>
      <c r="AJ210" s="1077"/>
    </row>
    <row r="211" spans="1:36" x14ac:dyDescent="0.2">
      <c r="A211" s="1077"/>
      <c r="B211" s="1082">
        <f t="shared" ca="1" si="94"/>
        <v>2.396710545519412</v>
      </c>
      <c r="C211" s="1443">
        <f t="shared" ca="1" si="89"/>
        <v>2.406952717011011</v>
      </c>
      <c r="D211" s="1077">
        <f t="shared" ca="1" si="88"/>
        <v>217</v>
      </c>
      <c r="E211" s="1446">
        <f t="shared" ca="1" si="90"/>
        <v>2.396710545519412</v>
      </c>
      <c r="F211" s="1446">
        <f t="shared" ca="1" si="91"/>
        <v>2.406952717011011</v>
      </c>
      <c r="G211" s="1445">
        <f t="shared" ca="1" si="92"/>
        <v>2.4018316312652113</v>
      </c>
      <c r="H211" s="1077">
        <f t="shared" ca="1" si="93"/>
        <v>0.1085</v>
      </c>
      <c r="I211" s="1077">
        <f t="shared" ca="1" si="95"/>
        <v>0.46899999999999997</v>
      </c>
      <c r="J211" s="1077"/>
      <c r="K211" s="1077"/>
      <c r="L211" s="1077"/>
      <c r="M211" s="1077"/>
      <c r="N211" s="1077"/>
      <c r="O211" s="1077"/>
      <c r="P211" s="1077"/>
      <c r="Q211" s="1077"/>
      <c r="R211" s="1077"/>
      <c r="S211" s="1077"/>
      <c r="T211" s="1077"/>
      <c r="U211" s="1077"/>
      <c r="V211" s="1077"/>
      <c r="W211" s="1077"/>
      <c r="X211" s="1077"/>
      <c r="Y211" s="1077"/>
      <c r="Z211" s="1077"/>
      <c r="AA211" s="1077"/>
      <c r="AB211" s="1077"/>
      <c r="AC211" s="1077"/>
      <c r="AD211" s="1077"/>
      <c r="AE211" s="1077"/>
      <c r="AF211" s="1077"/>
      <c r="AG211" s="1077"/>
      <c r="AH211" s="1077"/>
      <c r="AI211" s="1077"/>
      <c r="AJ211" s="1077"/>
    </row>
    <row r="212" spans="1:36" x14ac:dyDescent="0.2">
      <c r="A212" s="1077"/>
      <c r="B212" s="1082">
        <f t="shared" ca="1" si="94"/>
        <v>2.406952717011011</v>
      </c>
      <c r="C212" s="1443">
        <f t="shared" ca="1" si="89"/>
        <v>2.41719488850261</v>
      </c>
      <c r="D212" s="1077">
        <f t="shared" ca="1" si="88"/>
        <v>206</v>
      </c>
      <c r="E212" s="1446">
        <f t="shared" ca="1" si="90"/>
        <v>2.406952717011011</v>
      </c>
      <c r="F212" s="1446">
        <f t="shared" ca="1" si="91"/>
        <v>2.41719488850261</v>
      </c>
      <c r="G212" s="1445">
        <f t="shared" ca="1" si="92"/>
        <v>2.4120738027568107</v>
      </c>
      <c r="H212" s="1077">
        <f t="shared" ca="1" si="93"/>
        <v>0.10299999999999999</v>
      </c>
      <c r="I212" s="1077">
        <f t="shared" ca="1" si="95"/>
        <v>0.57199999999999995</v>
      </c>
      <c r="J212" s="1077"/>
      <c r="K212" s="1077"/>
      <c r="L212" s="1077"/>
      <c r="M212" s="1077"/>
      <c r="N212" s="1077"/>
      <c r="O212" s="1077"/>
      <c r="P212" s="1077"/>
      <c r="Q212" s="1077"/>
      <c r="R212" s="1077"/>
      <c r="S212" s="1077"/>
      <c r="T212" s="1077"/>
      <c r="U212" s="1077"/>
      <c r="V212" s="1077"/>
      <c r="W212" s="1077"/>
      <c r="X212" s="1077"/>
      <c r="Y212" s="1077"/>
      <c r="Z212" s="1077"/>
      <c r="AA212" s="1077"/>
      <c r="AB212" s="1077"/>
      <c r="AC212" s="1077"/>
      <c r="AD212" s="1077"/>
      <c r="AE212" s="1077"/>
      <c r="AF212" s="1077"/>
      <c r="AG212" s="1077"/>
      <c r="AH212" s="1077"/>
      <c r="AI212" s="1077"/>
      <c r="AJ212" s="1077"/>
    </row>
    <row r="213" spans="1:36" x14ac:dyDescent="0.2">
      <c r="A213" s="1077"/>
      <c r="B213" s="1082">
        <f t="shared" ca="1" si="94"/>
        <v>2.41719488850261</v>
      </c>
      <c r="C213" s="1443">
        <f t="shared" ca="1" si="89"/>
        <v>2.427437059994209</v>
      </c>
      <c r="D213" s="1077">
        <f t="shared" ca="1" si="88"/>
        <v>216</v>
      </c>
      <c r="E213" s="1446">
        <f t="shared" ca="1" si="90"/>
        <v>2.41719488850261</v>
      </c>
      <c r="F213" s="1446">
        <f t="shared" ca="1" si="91"/>
        <v>2.427437059994209</v>
      </c>
      <c r="G213" s="1445">
        <f t="shared" ca="1" si="92"/>
        <v>2.4223159742484093</v>
      </c>
      <c r="H213" s="1077">
        <f t="shared" ca="1" si="93"/>
        <v>0.108</v>
      </c>
      <c r="I213" s="1077">
        <f t="shared" ca="1" si="95"/>
        <v>0.67999999999999994</v>
      </c>
      <c r="J213" s="1077"/>
      <c r="K213" s="1077"/>
      <c r="L213" s="1077"/>
      <c r="M213" s="1077"/>
      <c r="N213" s="1077"/>
      <c r="O213" s="1077"/>
      <c r="P213" s="1077"/>
      <c r="Q213" s="1077"/>
      <c r="R213" s="1077"/>
      <c r="S213" s="1077"/>
      <c r="T213" s="1077"/>
      <c r="U213" s="1077"/>
      <c r="V213" s="1077"/>
      <c r="W213" s="1077"/>
      <c r="X213" s="1077"/>
      <c r="Y213" s="1077"/>
      <c r="Z213" s="1077"/>
      <c r="AA213" s="1077"/>
      <c r="AB213" s="1077"/>
      <c r="AC213" s="1077"/>
      <c r="AD213" s="1077"/>
      <c r="AE213" s="1077"/>
      <c r="AF213" s="1077"/>
      <c r="AG213" s="1077"/>
      <c r="AH213" s="1077"/>
      <c r="AI213" s="1077"/>
      <c r="AJ213" s="1077"/>
    </row>
    <row r="214" spans="1:36" x14ac:dyDescent="0.2">
      <c r="A214" s="1077"/>
      <c r="B214" s="1082">
        <f t="shared" ca="1" si="94"/>
        <v>2.427437059994209</v>
      </c>
      <c r="C214" s="1443">
        <f t="shared" ca="1" si="89"/>
        <v>2.437679231485808</v>
      </c>
      <c r="D214" s="1077">
        <f t="shared" ca="1" si="88"/>
        <v>185</v>
      </c>
      <c r="E214" s="1446">
        <f t="shared" ca="1" si="90"/>
        <v>2.427437059994209</v>
      </c>
      <c r="F214" s="1446">
        <f t="shared" ca="1" si="91"/>
        <v>2.437679231485808</v>
      </c>
      <c r="G214" s="1445">
        <f t="shared" ca="1" si="92"/>
        <v>2.4325581457400087</v>
      </c>
      <c r="H214" s="1077">
        <f t="shared" ca="1" si="93"/>
        <v>9.2499999999999999E-2</v>
      </c>
      <c r="I214" s="1077">
        <f t="shared" ca="1" si="95"/>
        <v>0.77249999999999996</v>
      </c>
      <c r="J214" s="1077"/>
      <c r="K214" s="1077"/>
      <c r="L214" s="1077"/>
      <c r="M214" s="1077"/>
      <c r="N214" s="1077"/>
      <c r="O214" s="1077"/>
      <c r="P214" s="1077"/>
      <c r="Q214" s="1077"/>
      <c r="R214" s="1077"/>
      <c r="S214" s="1077"/>
      <c r="T214" s="1077"/>
      <c r="U214" s="1077"/>
      <c r="V214" s="1077"/>
      <c r="W214" s="1077"/>
      <c r="X214" s="1077"/>
      <c r="Y214" s="1077"/>
      <c r="Z214" s="1077"/>
      <c r="AA214" s="1077"/>
      <c r="AB214" s="1077"/>
      <c r="AC214" s="1077"/>
      <c r="AD214" s="1077"/>
      <c r="AE214" s="1077"/>
      <c r="AF214" s="1077"/>
      <c r="AG214" s="1077"/>
      <c r="AH214" s="1077"/>
      <c r="AI214" s="1077"/>
      <c r="AJ214" s="1077"/>
    </row>
    <row r="215" spans="1:36" x14ac:dyDescent="0.2">
      <c r="A215" s="1077"/>
      <c r="B215" s="1082">
        <f t="shared" ca="1" si="94"/>
        <v>2.437679231485808</v>
      </c>
      <c r="C215" s="1443">
        <f t="shared" ca="1" si="89"/>
        <v>2.447921402977407</v>
      </c>
      <c r="D215" s="1077">
        <f t="shared" ca="1" si="88"/>
        <v>150</v>
      </c>
      <c r="E215" s="1446">
        <f t="shared" ca="1" si="90"/>
        <v>2.437679231485808</v>
      </c>
      <c r="F215" s="1446">
        <f t="shared" ca="1" si="91"/>
        <v>2.447921402977407</v>
      </c>
      <c r="G215" s="1445">
        <f t="shared" ca="1" si="92"/>
        <v>2.4428003172316073</v>
      </c>
      <c r="H215" s="1077">
        <f t="shared" ca="1" si="93"/>
        <v>7.4999999999999997E-2</v>
      </c>
      <c r="I215" s="1077">
        <f t="shared" ca="1" si="95"/>
        <v>0.84749999999999992</v>
      </c>
      <c r="J215" s="1077"/>
      <c r="K215" s="1077"/>
      <c r="L215" s="1077"/>
      <c r="M215" s="1077"/>
      <c r="N215" s="1077"/>
      <c r="O215" s="1077"/>
      <c r="P215" s="1077"/>
      <c r="Q215" s="1077"/>
      <c r="R215" s="1077"/>
      <c r="S215" s="1077"/>
      <c r="T215" s="1077"/>
      <c r="U215" s="1077"/>
      <c r="V215" s="1077"/>
      <c r="W215" s="1077"/>
      <c r="X215" s="1077"/>
      <c r="Y215" s="1077"/>
      <c r="Z215" s="1077"/>
      <c r="AA215" s="1077"/>
      <c r="AB215" s="1077"/>
      <c r="AC215" s="1077"/>
      <c r="AD215" s="1077"/>
      <c r="AE215" s="1077"/>
      <c r="AF215" s="1077"/>
      <c r="AG215" s="1077"/>
      <c r="AH215" s="1077"/>
      <c r="AI215" s="1077"/>
      <c r="AJ215" s="1077"/>
    </row>
    <row r="216" spans="1:36" x14ac:dyDescent="0.2">
      <c r="A216" s="1077"/>
      <c r="B216" s="1082">
        <f t="shared" ca="1" si="94"/>
        <v>2.447921402977407</v>
      </c>
      <c r="C216" s="1443">
        <f t="shared" ca="1" si="89"/>
        <v>2.458163574469006</v>
      </c>
      <c r="D216" s="1077">
        <f t="shared" ca="1" si="88"/>
        <v>119</v>
      </c>
      <c r="E216" s="1446">
        <f t="shared" ca="1" si="90"/>
        <v>2.447921402977407</v>
      </c>
      <c r="F216" s="1446">
        <f t="shared" ca="1" si="91"/>
        <v>2.458163574469006</v>
      </c>
      <c r="G216" s="1445">
        <f t="shared" ca="1" si="92"/>
        <v>2.4530424887232067</v>
      </c>
      <c r="H216" s="1077">
        <f t="shared" ca="1" si="93"/>
        <v>5.9499999999999997E-2</v>
      </c>
      <c r="I216" s="1077">
        <f t="shared" ca="1" si="95"/>
        <v>0.90699999999999992</v>
      </c>
      <c r="J216" s="1077"/>
      <c r="K216" s="1077"/>
      <c r="L216" s="1077"/>
      <c r="M216" s="1077"/>
      <c r="N216" s="1077"/>
      <c r="O216" s="1077"/>
      <c r="P216" s="1077"/>
      <c r="Q216" s="1077"/>
      <c r="R216" s="1077"/>
      <c r="S216" s="1077"/>
      <c r="T216" s="1077"/>
      <c r="U216" s="1077"/>
      <c r="V216" s="1077"/>
      <c r="W216" s="1077"/>
      <c r="X216" s="1077"/>
      <c r="Y216" s="1077"/>
      <c r="Z216" s="1077"/>
      <c r="AA216" s="1077"/>
      <c r="AB216" s="1077"/>
      <c r="AC216" s="1077"/>
      <c r="AD216" s="1077"/>
      <c r="AE216" s="1077"/>
      <c r="AF216" s="1077"/>
      <c r="AG216" s="1077"/>
      <c r="AH216" s="1077"/>
      <c r="AI216" s="1077"/>
      <c r="AJ216" s="1077"/>
    </row>
    <row r="217" spans="1:36" x14ac:dyDescent="0.2">
      <c r="A217" s="1077"/>
      <c r="B217" s="1082">
        <f t="shared" ca="1" si="94"/>
        <v>2.458163574469006</v>
      </c>
      <c r="C217" s="1443">
        <f t="shared" ca="1" si="89"/>
        <v>2.468405745960605</v>
      </c>
      <c r="D217" s="1077">
        <f t="shared" ca="1" si="88"/>
        <v>75</v>
      </c>
      <c r="E217" s="1446">
        <f t="shared" ca="1" si="90"/>
        <v>2.458163574469006</v>
      </c>
      <c r="F217" s="1446">
        <f t="shared" ca="1" si="91"/>
        <v>2.468405745960605</v>
      </c>
      <c r="G217" s="1445">
        <f t="shared" ca="1" si="92"/>
        <v>2.4632846602148053</v>
      </c>
      <c r="H217" s="1077">
        <f t="shared" ca="1" si="93"/>
        <v>3.7499999999999999E-2</v>
      </c>
      <c r="I217" s="1077">
        <f t="shared" ca="1" si="95"/>
        <v>0.9444999999999999</v>
      </c>
      <c r="J217" s="1077"/>
      <c r="K217" s="1077"/>
      <c r="L217" s="1077"/>
      <c r="M217" s="1077"/>
      <c r="N217" s="1077"/>
      <c r="O217" s="1077"/>
      <c r="P217" s="1077"/>
      <c r="Q217" s="1077"/>
      <c r="R217" s="1077"/>
      <c r="S217" s="1077"/>
      <c r="T217" s="1077"/>
      <c r="U217" s="1077"/>
      <c r="V217" s="1077"/>
      <c r="W217" s="1077"/>
      <c r="X217" s="1077"/>
      <c r="Y217" s="1077"/>
      <c r="Z217" s="1077"/>
      <c r="AA217" s="1077"/>
      <c r="AB217" s="1077"/>
      <c r="AC217" s="1077"/>
      <c r="AD217" s="1077"/>
      <c r="AE217" s="1077"/>
      <c r="AF217" s="1077"/>
      <c r="AG217" s="1077"/>
      <c r="AH217" s="1077"/>
      <c r="AI217" s="1077"/>
      <c r="AJ217" s="1077"/>
    </row>
    <row r="218" spans="1:36" x14ac:dyDescent="0.2">
      <c r="A218" s="1077"/>
      <c r="B218" s="1082">
        <f t="shared" ca="1" si="94"/>
        <v>2.468405745960605</v>
      </c>
      <c r="C218" s="1443">
        <f t="shared" ca="1" si="89"/>
        <v>2.478647917452204</v>
      </c>
      <c r="D218" s="1077">
        <f t="shared" ca="1" si="88"/>
        <v>45</v>
      </c>
      <c r="E218" s="1446">
        <f t="shared" ca="1" si="90"/>
        <v>2.468405745960605</v>
      </c>
      <c r="F218" s="1446">
        <f t="shared" ca="1" si="91"/>
        <v>2.478647917452204</v>
      </c>
      <c r="G218" s="1445">
        <f t="shared" ca="1" si="92"/>
        <v>2.4735268317064047</v>
      </c>
      <c r="H218" s="1077">
        <f t="shared" ca="1" si="93"/>
        <v>2.2499999999999999E-2</v>
      </c>
      <c r="I218" s="1077">
        <f t="shared" ca="1" si="95"/>
        <v>0.96699999999999986</v>
      </c>
      <c r="J218" s="1077"/>
      <c r="K218" s="1077"/>
      <c r="L218" s="1077"/>
      <c r="M218" s="1077"/>
      <c r="N218" s="1077"/>
      <c r="O218" s="1077"/>
      <c r="P218" s="1077"/>
      <c r="Q218" s="1077"/>
      <c r="R218" s="1077"/>
      <c r="S218" s="1077"/>
      <c r="T218" s="1077"/>
      <c r="U218" s="1077"/>
      <c r="V218" s="1077"/>
      <c r="W218" s="1077"/>
      <c r="X218" s="1077"/>
      <c r="Y218" s="1077"/>
      <c r="Z218" s="1077"/>
      <c r="AA218" s="1077"/>
      <c r="AB218" s="1077"/>
      <c r="AC218" s="1077"/>
      <c r="AD218" s="1077"/>
      <c r="AE218" s="1077"/>
      <c r="AF218" s="1077"/>
      <c r="AG218" s="1077"/>
      <c r="AH218" s="1077"/>
      <c r="AI218" s="1077"/>
      <c r="AJ218" s="1077"/>
    </row>
    <row r="219" spans="1:36" x14ac:dyDescent="0.2">
      <c r="A219" s="1077"/>
      <c r="B219" s="1082">
        <f t="shared" ca="1" si="94"/>
        <v>2.478647917452204</v>
      </c>
      <c r="C219" s="1443">
        <f t="shared" ca="1" si="89"/>
        <v>2.488890088943803</v>
      </c>
      <c r="D219" s="1077">
        <f t="shared" ca="1" si="88"/>
        <v>38</v>
      </c>
      <c r="E219" s="1446">
        <f t="shared" ca="1" si="90"/>
        <v>2.478647917452204</v>
      </c>
      <c r="F219" s="1446">
        <f t="shared" ca="1" si="91"/>
        <v>2.488890088943803</v>
      </c>
      <c r="G219" s="1445">
        <f t="shared" ca="1" si="92"/>
        <v>2.4837690031980033</v>
      </c>
      <c r="H219" s="1077">
        <f t="shared" ca="1" si="93"/>
        <v>1.9E-2</v>
      </c>
      <c r="I219" s="1077">
        <f t="shared" ca="1" si="95"/>
        <v>0.98599999999999988</v>
      </c>
      <c r="J219" s="1077"/>
      <c r="K219" s="1077"/>
      <c r="L219" s="1077"/>
      <c r="M219" s="1077"/>
      <c r="N219" s="1077"/>
      <c r="O219" s="1077"/>
      <c r="P219" s="1077"/>
      <c r="Q219" s="1077"/>
      <c r="R219" s="1077"/>
      <c r="S219" s="1077"/>
      <c r="T219" s="1077"/>
      <c r="U219" s="1077"/>
      <c r="V219" s="1077"/>
      <c r="W219" s="1077"/>
      <c r="X219" s="1077"/>
      <c r="Y219" s="1077"/>
      <c r="Z219" s="1077"/>
      <c r="AA219" s="1077"/>
      <c r="AB219" s="1077"/>
      <c r="AC219" s="1077"/>
      <c r="AD219" s="1077"/>
      <c r="AE219" s="1077"/>
      <c r="AF219" s="1077"/>
      <c r="AG219" s="1077"/>
      <c r="AH219" s="1077"/>
      <c r="AI219" s="1077"/>
      <c r="AJ219" s="1077"/>
    </row>
    <row r="220" spans="1:36" x14ac:dyDescent="0.2">
      <c r="A220" s="1077"/>
      <c r="B220" s="1082">
        <f t="shared" ca="1" si="94"/>
        <v>2.488890088943803</v>
      </c>
      <c r="C220" s="1443">
        <f t="shared" ca="1" si="89"/>
        <v>2.499132260435402</v>
      </c>
      <c r="D220" s="1077">
        <f t="shared" ca="1" si="88"/>
        <v>21</v>
      </c>
      <c r="E220" s="1446">
        <f t="shared" ca="1" si="90"/>
        <v>2.488890088943803</v>
      </c>
      <c r="F220" s="1446">
        <f t="shared" ca="1" si="91"/>
        <v>2.499132260435402</v>
      </c>
      <c r="G220" s="1445">
        <f t="shared" ca="1" si="92"/>
        <v>2.4940111746896028</v>
      </c>
      <c r="H220" s="1077">
        <f t="shared" ca="1" si="93"/>
        <v>1.0500000000000001E-2</v>
      </c>
      <c r="I220" s="1077">
        <f t="shared" ca="1" si="95"/>
        <v>0.99649999999999983</v>
      </c>
      <c r="J220" s="1077"/>
      <c r="K220" s="1077"/>
      <c r="L220" s="1077"/>
      <c r="M220" s="1077"/>
      <c r="N220" s="1077"/>
      <c r="O220" s="1077"/>
      <c r="P220" s="1077"/>
      <c r="Q220" s="1077"/>
      <c r="R220" s="1077"/>
      <c r="S220" s="1077"/>
      <c r="T220" s="1077"/>
      <c r="U220" s="1077"/>
      <c r="V220" s="1077"/>
      <c r="W220" s="1077"/>
      <c r="X220" s="1077"/>
      <c r="Y220" s="1077"/>
      <c r="Z220" s="1077"/>
      <c r="AA220" s="1077"/>
      <c r="AB220" s="1077"/>
      <c r="AC220" s="1077"/>
      <c r="AD220" s="1077"/>
      <c r="AE220" s="1077"/>
      <c r="AF220" s="1077"/>
      <c r="AG220" s="1077"/>
      <c r="AH220" s="1077"/>
      <c r="AI220" s="1077"/>
      <c r="AJ220" s="1077"/>
    </row>
    <row r="221" spans="1:36" x14ac:dyDescent="0.2">
      <c r="A221" s="1077"/>
      <c r="B221" s="1082">
        <f t="shared" ca="1" si="94"/>
        <v>2.499132260435402</v>
      </c>
      <c r="C221" s="1443">
        <f ca="1">+B221+($C$197/20)+0.000001</f>
        <v>2.5093754319270012</v>
      </c>
      <c r="D221" s="1077">
        <f t="shared" ca="1" si="88"/>
        <v>7</v>
      </c>
      <c r="E221" s="1446">
        <f t="shared" ca="1" si="90"/>
        <v>2.499132260435402</v>
      </c>
      <c r="F221" s="1446">
        <f t="shared" ca="1" si="91"/>
        <v>2.5093754319270012</v>
      </c>
      <c r="G221" s="1445">
        <f t="shared" ca="1" si="92"/>
        <v>2.5042538461812018</v>
      </c>
      <c r="H221" s="1077">
        <f t="shared" ca="1" si="93"/>
        <v>3.5000000000000001E-3</v>
      </c>
      <c r="I221" s="1077">
        <f t="shared" ca="1" si="95"/>
        <v>0.99999999999999978</v>
      </c>
      <c r="J221" s="1077"/>
      <c r="K221" s="1077"/>
      <c r="L221" s="1077"/>
      <c r="M221" s="1077"/>
      <c r="N221" s="1077"/>
      <c r="O221" s="1077"/>
      <c r="P221" s="1077"/>
      <c r="Q221" s="1077"/>
      <c r="R221" s="1077"/>
      <c r="S221" s="1077"/>
      <c r="T221" s="1077"/>
      <c r="U221" s="1077"/>
      <c r="V221" s="1077"/>
      <c r="W221" s="1077"/>
      <c r="X221" s="1077"/>
      <c r="Y221" s="1077"/>
      <c r="Z221" s="1077"/>
      <c r="AA221" s="1077"/>
      <c r="AB221" s="1077"/>
      <c r="AC221" s="1077"/>
      <c r="AD221" s="1077"/>
      <c r="AE221" s="1077"/>
      <c r="AF221" s="1077"/>
      <c r="AG221" s="1077"/>
      <c r="AH221" s="1077"/>
      <c r="AI221" s="1077"/>
      <c r="AJ221" s="1077"/>
    </row>
    <row r="222" spans="1:36" x14ac:dyDescent="0.2">
      <c r="A222" s="1077"/>
      <c r="B222" s="1078"/>
      <c r="C222" s="1447"/>
      <c r="D222" s="1077"/>
      <c r="E222" s="1077"/>
      <c r="F222" s="1077">
        <f t="shared" ca="1" si="91"/>
        <v>0</v>
      </c>
      <c r="G222" s="1445">
        <f t="shared" ca="1" si="92"/>
        <v>0</v>
      </c>
      <c r="H222" s="1077"/>
      <c r="I222" s="1077"/>
      <c r="J222" s="1077"/>
      <c r="K222" s="1077"/>
      <c r="L222" s="1077"/>
      <c r="M222" s="1077"/>
      <c r="N222" s="1077"/>
      <c r="O222" s="1077"/>
      <c r="P222" s="1077"/>
      <c r="Q222" s="1077"/>
      <c r="R222" s="1077"/>
      <c r="S222" s="1077"/>
      <c r="T222" s="1077"/>
      <c r="U222" s="1077"/>
      <c r="V222" s="1077"/>
      <c r="W222" s="1077"/>
      <c r="X222" s="1077"/>
      <c r="Y222" s="1077"/>
      <c r="Z222" s="1077"/>
      <c r="AA222" s="1077"/>
      <c r="AB222" s="1077"/>
      <c r="AC222" s="1077"/>
      <c r="AD222" s="1077"/>
      <c r="AE222" s="1077"/>
      <c r="AF222" s="1077"/>
      <c r="AG222" s="1077"/>
      <c r="AH222" s="1077"/>
      <c r="AI222" s="1077"/>
      <c r="AJ222" s="1077"/>
    </row>
    <row r="223" spans="1:36" x14ac:dyDescent="0.2">
      <c r="A223" s="1077"/>
      <c r="B223" s="1078" t="s">
        <v>1314</v>
      </c>
      <c r="C223" s="1077"/>
      <c r="D223" s="1077">
        <f ca="1">+SUM(D202:D221)</f>
        <v>2000</v>
      </c>
      <c r="E223" s="1077"/>
      <c r="F223" s="1077"/>
      <c r="G223" s="1077"/>
      <c r="H223" s="1077"/>
      <c r="I223" s="1077"/>
      <c r="J223" s="1077"/>
      <c r="K223" s="1077"/>
      <c r="L223" s="1077"/>
      <c r="M223" s="1077"/>
      <c r="N223" s="1077"/>
      <c r="O223" s="1077"/>
      <c r="P223" s="1077"/>
      <c r="Q223" s="1077"/>
      <c r="R223" s="1077"/>
      <c r="S223" s="1077"/>
      <c r="T223" s="1077"/>
      <c r="U223" s="1077"/>
      <c r="V223" s="1077"/>
      <c r="W223" s="1077"/>
      <c r="X223" s="1077"/>
      <c r="Y223" s="1077"/>
      <c r="Z223" s="1077"/>
      <c r="AA223" s="1077"/>
      <c r="AB223" s="1077"/>
      <c r="AC223" s="1077"/>
      <c r="AD223" s="1077"/>
      <c r="AE223" s="1077"/>
      <c r="AF223" s="1077"/>
      <c r="AG223" s="1077"/>
      <c r="AH223" s="1077"/>
      <c r="AI223" s="1077"/>
      <c r="AJ223" s="1077"/>
    </row>
    <row r="224" spans="1:36" x14ac:dyDescent="0.2">
      <c r="A224" s="1077"/>
      <c r="B224" s="1077" t="str">
        <f t="array" ref="B224:B238">+TRANSPOSE(Sensitivity_output)</f>
        <v>Cost of hydrogen ($/kg)</v>
      </c>
      <c r="C224" s="1077"/>
      <c r="D224" s="1077"/>
      <c r="E224" s="1077"/>
      <c r="F224" s="1077"/>
      <c r="G224" s="1077"/>
      <c r="H224" s="1077"/>
      <c r="I224" s="1077"/>
      <c r="J224" s="1077"/>
      <c r="K224" s="1077"/>
      <c r="L224" s="1077"/>
      <c r="M224" s="1077"/>
      <c r="N224" s="1077"/>
      <c r="O224" s="1077"/>
      <c r="P224" s="1077"/>
      <c r="Q224" s="1077"/>
      <c r="R224" s="1077"/>
      <c r="S224" s="1077"/>
      <c r="T224" s="1077"/>
      <c r="U224" s="1077"/>
      <c r="V224" s="1077"/>
      <c r="W224" s="1077"/>
      <c r="X224" s="1077"/>
      <c r="Y224" s="1077"/>
      <c r="Z224" s="1077"/>
      <c r="AA224" s="1077"/>
      <c r="AB224" s="1077"/>
      <c r="AC224" s="1077"/>
      <c r="AD224" s="1077"/>
      <c r="AE224" s="1077"/>
      <c r="AF224" s="1077"/>
      <c r="AG224" s="1077"/>
      <c r="AH224" s="1077"/>
      <c r="AI224" s="1077"/>
      <c r="AJ224" s="1077"/>
    </row>
    <row r="225" spans="1:36" x14ac:dyDescent="0.2">
      <c r="A225" s="1077"/>
      <c r="B225" s="1077" t="str">
        <v>Revenue from byproduct sales ($/kg)</v>
      </c>
      <c r="C225" s="1077"/>
      <c r="D225" s="1077"/>
      <c r="E225" s="1077"/>
      <c r="F225" s="1077"/>
      <c r="G225" s="1077"/>
      <c r="H225" s="1077"/>
      <c r="I225" s="1077"/>
      <c r="J225" s="1077"/>
      <c r="K225" s="1077"/>
      <c r="L225" s="1077"/>
      <c r="M225" s="1077"/>
      <c r="N225" s="1077"/>
      <c r="O225" s="1077"/>
      <c r="P225" s="1077"/>
      <c r="Q225" s="1077"/>
      <c r="R225" s="1077"/>
      <c r="S225" s="1077"/>
      <c r="T225" s="1077"/>
      <c r="U225" s="1077"/>
      <c r="V225" s="1077"/>
      <c r="W225" s="1077"/>
      <c r="X225" s="1077"/>
      <c r="Y225" s="1077"/>
      <c r="Z225" s="1077"/>
      <c r="AA225" s="1077"/>
      <c r="AB225" s="1077"/>
      <c r="AC225" s="1077"/>
      <c r="AD225" s="1077"/>
      <c r="AE225" s="1077"/>
      <c r="AF225" s="1077"/>
      <c r="AG225" s="1077"/>
      <c r="AH225" s="1077"/>
      <c r="AI225" s="1077"/>
      <c r="AJ225" s="1077"/>
    </row>
    <row r="226" spans="1:36" x14ac:dyDescent="0.2">
      <c r="A226" s="1077"/>
      <c r="B226" s="1077" t="str">
        <v>Salvage value ($/kg)</v>
      </c>
      <c r="C226" s="1077"/>
      <c r="D226" s="1077"/>
      <c r="E226" s="1077"/>
      <c r="F226" s="1077"/>
      <c r="G226" s="1077"/>
      <c r="H226" s="1077"/>
      <c r="I226" s="1077"/>
      <c r="J226" s="1077"/>
      <c r="K226" s="1077"/>
      <c r="L226" s="1077"/>
      <c r="M226" s="1077"/>
      <c r="N226" s="1077"/>
      <c r="O226" s="1077"/>
      <c r="P226" s="1077"/>
      <c r="Q226" s="1077"/>
      <c r="R226" s="1077"/>
      <c r="S226" s="1077"/>
      <c r="T226" s="1077"/>
      <c r="U226" s="1077"/>
      <c r="V226" s="1077"/>
      <c r="W226" s="1077"/>
      <c r="X226" s="1077"/>
      <c r="Y226" s="1077"/>
      <c r="Z226" s="1077"/>
      <c r="AA226" s="1077"/>
      <c r="AB226" s="1077"/>
      <c r="AC226" s="1077"/>
      <c r="AD226" s="1077"/>
      <c r="AE226" s="1077"/>
      <c r="AF226" s="1077"/>
      <c r="AG226" s="1077"/>
      <c r="AH226" s="1077"/>
      <c r="AI226" s="1077"/>
      <c r="AJ226" s="1077"/>
    </row>
    <row r="227" spans="1:36" x14ac:dyDescent="0.2">
      <c r="A227" s="1077"/>
      <c r="B227" s="1077" t="str">
        <v>Initial equity depreciable capital ($/kg)</v>
      </c>
      <c r="C227" s="1077"/>
      <c r="D227" s="1077"/>
      <c r="E227" s="1077"/>
      <c r="F227" s="1077"/>
      <c r="G227" s="1077"/>
      <c r="H227" s="1077"/>
      <c r="I227" s="1077"/>
      <c r="J227" s="1077"/>
      <c r="K227" s="1077"/>
      <c r="L227" s="1077"/>
      <c r="M227" s="1077"/>
      <c r="N227" s="1077"/>
      <c r="O227" s="1077"/>
      <c r="P227" s="1077"/>
      <c r="Q227" s="1077"/>
      <c r="R227" s="1077"/>
      <c r="S227" s="1077"/>
      <c r="T227" s="1077"/>
      <c r="U227" s="1077"/>
      <c r="V227" s="1077"/>
      <c r="W227" s="1077"/>
      <c r="X227" s="1077"/>
      <c r="Y227" s="1077"/>
      <c r="Z227" s="1077"/>
      <c r="AA227" s="1077"/>
      <c r="AB227" s="1077"/>
      <c r="AC227" s="1077"/>
      <c r="AD227" s="1077"/>
      <c r="AE227" s="1077"/>
      <c r="AF227" s="1077"/>
      <c r="AG227" s="1077"/>
      <c r="AH227" s="1077"/>
      <c r="AI227" s="1077"/>
      <c r="AJ227" s="1077"/>
    </row>
    <row r="228" spans="1:36" x14ac:dyDescent="0.2">
      <c r="A228" s="1077"/>
      <c r="B228" s="1077" t="str">
        <v>Yearly replacement costs ($/kg)</v>
      </c>
      <c r="C228" s="1077"/>
      <c r="D228" s="1077"/>
      <c r="E228" s="1077"/>
      <c r="F228" s="1077"/>
      <c r="G228" s="1077"/>
      <c r="H228" s="1077"/>
      <c r="I228" s="1077"/>
      <c r="J228" s="1077"/>
      <c r="K228" s="1077"/>
      <c r="L228" s="1077"/>
      <c r="M228" s="1077"/>
      <c r="N228" s="1077"/>
      <c r="O228" s="1077"/>
      <c r="P228" s="1077"/>
      <c r="Q228" s="1077"/>
      <c r="R228" s="1077"/>
      <c r="S228" s="1077"/>
      <c r="T228" s="1077"/>
      <c r="U228" s="1077"/>
      <c r="V228" s="1077"/>
      <c r="W228" s="1077"/>
      <c r="X228" s="1077"/>
      <c r="Y228" s="1077"/>
      <c r="Z228" s="1077"/>
      <c r="AA228" s="1077"/>
      <c r="AB228" s="1077"/>
      <c r="AC228" s="1077"/>
      <c r="AD228" s="1077"/>
      <c r="AE228" s="1077"/>
      <c r="AF228" s="1077"/>
      <c r="AG228" s="1077"/>
      <c r="AH228" s="1077"/>
      <c r="AI228" s="1077"/>
      <c r="AJ228" s="1077"/>
    </row>
    <row r="229" spans="1:36" x14ac:dyDescent="0.2">
      <c r="A229" s="1077"/>
      <c r="B229" s="1077" t="str">
        <v>Cash from working capital reserve ($/kg)</v>
      </c>
      <c r="C229" s="1077"/>
      <c r="D229" s="1077"/>
      <c r="E229" s="1077"/>
      <c r="F229" s="1077"/>
      <c r="G229" s="1077"/>
      <c r="H229" s="1077"/>
      <c r="I229" s="1077"/>
      <c r="J229" s="1077"/>
      <c r="K229" s="1077"/>
      <c r="L229" s="1077"/>
      <c r="M229" s="1077"/>
      <c r="N229" s="1077"/>
      <c r="O229" s="1077"/>
      <c r="P229" s="1077"/>
      <c r="Q229" s="1077"/>
      <c r="R229" s="1077"/>
      <c r="S229" s="1077"/>
      <c r="T229" s="1077"/>
      <c r="U229" s="1077"/>
      <c r="V229" s="1077"/>
      <c r="W229" s="1077"/>
      <c r="X229" s="1077"/>
      <c r="Y229" s="1077"/>
      <c r="Z229" s="1077"/>
      <c r="AA229" s="1077"/>
      <c r="AB229" s="1077"/>
      <c r="AC229" s="1077"/>
      <c r="AD229" s="1077"/>
      <c r="AE229" s="1077"/>
      <c r="AF229" s="1077"/>
      <c r="AG229" s="1077"/>
      <c r="AH229" s="1077"/>
      <c r="AI229" s="1077"/>
      <c r="AJ229" s="1077"/>
    </row>
    <row r="230" spans="1:36" x14ac:dyDescent="0.2">
      <c r="A230" s="1077"/>
      <c r="B230" s="1077" t="str">
        <v>Other non-depreciable capital costs ($/kg)</v>
      </c>
      <c r="C230" s="1077"/>
      <c r="D230" s="1077"/>
      <c r="E230" s="1077"/>
      <c r="F230" s="1077"/>
      <c r="G230" s="1077"/>
      <c r="H230" s="1077"/>
      <c r="I230" s="1077"/>
      <c r="J230" s="1077"/>
      <c r="K230" s="1077"/>
      <c r="L230" s="1077"/>
      <c r="M230" s="1077"/>
      <c r="N230" s="1077"/>
      <c r="O230" s="1077"/>
      <c r="P230" s="1077"/>
      <c r="Q230" s="1077"/>
      <c r="R230" s="1077"/>
      <c r="S230" s="1077"/>
      <c r="T230" s="1077"/>
      <c r="U230" s="1077"/>
      <c r="V230" s="1077"/>
      <c r="W230" s="1077"/>
      <c r="X230" s="1077"/>
      <c r="Y230" s="1077"/>
      <c r="Z230" s="1077"/>
      <c r="AA230" s="1077"/>
      <c r="AB230" s="1077"/>
      <c r="AC230" s="1077"/>
      <c r="AD230" s="1077"/>
      <c r="AE230" s="1077"/>
      <c r="AF230" s="1077"/>
      <c r="AG230" s="1077"/>
      <c r="AH230" s="1077"/>
      <c r="AI230" s="1077"/>
      <c r="AJ230" s="1077"/>
    </row>
    <row r="231" spans="1:36" x14ac:dyDescent="0.2">
      <c r="A231" s="1077"/>
      <c r="B231" s="1077" t="str">
        <v>Decommissioning costs ($/kg)</v>
      </c>
      <c r="C231" s="1077"/>
      <c r="D231" s="1077"/>
      <c r="E231" s="1077"/>
      <c r="F231" s="1077"/>
      <c r="G231" s="1077"/>
      <c r="H231" s="1077"/>
      <c r="I231" s="1077"/>
      <c r="J231" s="1077"/>
      <c r="K231" s="1077"/>
      <c r="L231" s="1077"/>
      <c r="M231" s="1077"/>
      <c r="N231" s="1077"/>
      <c r="O231" s="1077"/>
      <c r="P231" s="1077"/>
      <c r="Q231" s="1077"/>
      <c r="R231" s="1077"/>
      <c r="S231" s="1077"/>
      <c r="T231" s="1077"/>
      <c r="U231" s="1077"/>
      <c r="V231" s="1077"/>
      <c r="W231" s="1077"/>
      <c r="X231" s="1077"/>
      <c r="Y231" s="1077"/>
      <c r="Z231" s="1077"/>
      <c r="AA231" s="1077"/>
      <c r="AB231" s="1077"/>
      <c r="AC231" s="1077"/>
      <c r="AD231" s="1077"/>
      <c r="AE231" s="1077"/>
      <c r="AF231" s="1077"/>
      <c r="AG231" s="1077"/>
      <c r="AH231" s="1077"/>
      <c r="AI231" s="1077"/>
      <c r="AJ231" s="1077"/>
    </row>
    <row r="232" spans="1:36" x14ac:dyDescent="0.2">
      <c r="A232" s="1077"/>
      <c r="B232" s="1077" t="str">
        <v>Fixed operating cost ($/kg)</v>
      </c>
      <c r="C232" s="1077"/>
      <c r="D232" s="1077"/>
      <c r="E232" s="1077"/>
      <c r="F232" s="1077"/>
      <c r="G232" s="1077"/>
      <c r="H232" s="1077"/>
      <c r="I232" s="1077"/>
      <c r="J232" s="1077"/>
      <c r="K232" s="1077"/>
      <c r="L232" s="1077"/>
      <c r="M232" s="1077"/>
      <c r="N232" s="1077"/>
      <c r="O232" s="1077"/>
      <c r="P232" s="1077"/>
      <c r="Q232" s="1077"/>
      <c r="R232" s="1077"/>
      <c r="S232" s="1077"/>
      <c r="T232" s="1077"/>
      <c r="U232" s="1077"/>
      <c r="V232" s="1077"/>
      <c r="W232" s="1077"/>
      <c r="X232" s="1077"/>
      <c r="Y232" s="1077"/>
      <c r="Z232" s="1077"/>
      <c r="AA232" s="1077"/>
      <c r="AB232" s="1077"/>
      <c r="AC232" s="1077"/>
      <c r="AD232" s="1077"/>
      <c r="AE232" s="1077"/>
      <c r="AF232" s="1077"/>
      <c r="AG232" s="1077"/>
      <c r="AH232" s="1077"/>
      <c r="AI232" s="1077"/>
      <c r="AJ232" s="1077"/>
    </row>
    <row r="233" spans="1:36" x14ac:dyDescent="0.2">
      <c r="A233" s="1077"/>
      <c r="B233" s="1077" t="str">
        <v>Feedstock cost ($/kg)</v>
      </c>
      <c r="C233" s="1077"/>
      <c r="D233" s="1077"/>
      <c r="E233" s="1077"/>
      <c r="F233" s="1077"/>
      <c r="G233" s="1077"/>
      <c r="H233" s="1077"/>
      <c r="I233" s="1077"/>
      <c r="J233" s="1077"/>
      <c r="K233" s="1077"/>
      <c r="L233" s="1077"/>
      <c r="M233" s="1077"/>
      <c r="N233" s="1077"/>
      <c r="O233" s="1077"/>
      <c r="P233" s="1077"/>
      <c r="Q233" s="1077"/>
      <c r="R233" s="1077"/>
      <c r="S233" s="1077"/>
      <c r="T233" s="1077"/>
      <c r="U233" s="1077"/>
      <c r="V233" s="1077"/>
      <c r="W233" s="1077"/>
      <c r="X233" s="1077"/>
      <c r="Y233" s="1077"/>
      <c r="Z233" s="1077"/>
      <c r="AA233" s="1077"/>
      <c r="AB233" s="1077"/>
      <c r="AC233" s="1077"/>
      <c r="AD233" s="1077"/>
      <c r="AE233" s="1077"/>
      <c r="AF233" s="1077"/>
      <c r="AG233" s="1077"/>
      <c r="AH233" s="1077"/>
      <c r="AI233" s="1077"/>
      <c r="AJ233" s="1077"/>
    </row>
    <row r="234" spans="1:36" x14ac:dyDescent="0.2">
      <c r="A234" s="1077"/>
      <c r="B234" s="1077" t="str">
        <v>Other raw material cost ($/kg)</v>
      </c>
      <c r="C234" s="1077"/>
      <c r="D234" s="1077"/>
      <c r="E234" s="1077"/>
      <c r="F234" s="1077"/>
      <c r="G234" s="1077"/>
      <c r="H234" s="1077"/>
      <c r="I234" s="1077"/>
      <c r="J234" s="1077"/>
      <c r="K234" s="1077"/>
      <c r="L234" s="1077"/>
      <c r="M234" s="1077"/>
      <c r="N234" s="1077"/>
      <c r="O234" s="1077"/>
      <c r="P234" s="1077"/>
      <c r="Q234" s="1077"/>
      <c r="R234" s="1077"/>
      <c r="S234" s="1077"/>
      <c r="T234" s="1077"/>
      <c r="U234" s="1077"/>
      <c r="V234" s="1077"/>
      <c r="W234" s="1077"/>
      <c r="X234" s="1077"/>
      <c r="Y234" s="1077"/>
      <c r="Z234" s="1077"/>
      <c r="AA234" s="1077"/>
      <c r="AB234" s="1077"/>
      <c r="AC234" s="1077"/>
      <c r="AD234" s="1077"/>
      <c r="AE234" s="1077"/>
      <c r="AF234" s="1077"/>
      <c r="AG234" s="1077"/>
      <c r="AH234" s="1077"/>
      <c r="AI234" s="1077"/>
      <c r="AJ234" s="1077"/>
    </row>
    <row r="235" spans="1:36" x14ac:dyDescent="0.2">
      <c r="A235" s="1077"/>
      <c r="B235" s="1077" t="str">
        <v>Other variable operating costs ($/kg)</v>
      </c>
      <c r="C235" s="1077"/>
      <c r="D235" s="1077"/>
      <c r="E235" s="1077"/>
      <c r="F235" s="1077"/>
      <c r="G235" s="1077"/>
      <c r="H235" s="1077"/>
      <c r="I235" s="1077"/>
      <c r="J235" s="1077"/>
      <c r="K235" s="1077"/>
      <c r="L235" s="1077"/>
      <c r="M235" s="1077"/>
      <c r="N235" s="1077"/>
      <c r="O235" s="1077"/>
      <c r="P235" s="1077"/>
      <c r="Q235" s="1077"/>
      <c r="R235" s="1077"/>
      <c r="S235" s="1077"/>
      <c r="T235" s="1077"/>
      <c r="U235" s="1077"/>
      <c r="V235" s="1077"/>
      <c r="W235" s="1077"/>
      <c r="X235" s="1077"/>
      <c r="Y235" s="1077"/>
      <c r="Z235" s="1077"/>
      <c r="AA235" s="1077"/>
      <c r="AB235" s="1077"/>
      <c r="AC235" s="1077"/>
      <c r="AD235" s="1077"/>
      <c r="AE235" s="1077"/>
      <c r="AF235" s="1077"/>
      <c r="AG235" s="1077"/>
      <c r="AH235" s="1077"/>
      <c r="AI235" s="1077"/>
      <c r="AJ235" s="1077"/>
    </row>
    <row r="236" spans="1:36" x14ac:dyDescent="0.2">
      <c r="A236" s="1077"/>
      <c r="B236" s="1077" t="str">
        <v>Debt interest ($/kg)</v>
      </c>
      <c r="C236" s="1077"/>
      <c r="D236" s="1077"/>
      <c r="E236" s="1077"/>
      <c r="F236" s="1077"/>
      <c r="G236" s="1077"/>
      <c r="H236" s="1077"/>
      <c r="I236" s="1077"/>
      <c r="J236" s="1077"/>
      <c r="K236" s="1077"/>
      <c r="L236" s="1077"/>
      <c r="M236" s="1077"/>
      <c r="N236" s="1077"/>
      <c r="O236" s="1077"/>
      <c r="P236" s="1077"/>
      <c r="Q236" s="1077"/>
      <c r="R236" s="1077"/>
      <c r="S236" s="1077"/>
      <c r="T236" s="1077"/>
      <c r="U236" s="1077"/>
      <c r="V236" s="1077"/>
      <c r="W236" s="1077"/>
      <c r="X236" s="1077"/>
      <c r="Y236" s="1077"/>
      <c r="Z236" s="1077"/>
      <c r="AA236" s="1077"/>
      <c r="AB236" s="1077"/>
      <c r="AC236" s="1077"/>
      <c r="AD236" s="1077"/>
      <c r="AE236" s="1077"/>
      <c r="AF236" s="1077"/>
      <c r="AG236" s="1077"/>
      <c r="AH236" s="1077"/>
      <c r="AI236" s="1077"/>
      <c r="AJ236" s="1077"/>
    </row>
    <row r="237" spans="1:36" x14ac:dyDescent="0.2">
      <c r="A237" s="1077"/>
      <c r="B237" s="1077" t="str">
        <v>Taxes ($/kg)</v>
      </c>
      <c r="C237" s="1077"/>
      <c r="D237" s="1077"/>
      <c r="E237" s="1077"/>
      <c r="F237" s="1077"/>
      <c r="G237" s="1077"/>
      <c r="H237" s="1077"/>
      <c r="I237" s="1077"/>
      <c r="J237" s="1077"/>
      <c r="K237" s="1077"/>
      <c r="L237" s="1077"/>
      <c r="M237" s="1077"/>
      <c r="N237" s="1077"/>
      <c r="O237" s="1077"/>
      <c r="P237" s="1077"/>
      <c r="Q237" s="1077"/>
      <c r="R237" s="1077"/>
      <c r="S237" s="1077"/>
      <c r="T237" s="1077"/>
      <c r="U237" s="1077"/>
      <c r="V237" s="1077"/>
      <c r="W237" s="1077"/>
      <c r="X237" s="1077"/>
      <c r="Y237" s="1077"/>
      <c r="Z237" s="1077"/>
      <c r="AA237" s="1077"/>
      <c r="AB237" s="1077"/>
      <c r="AC237" s="1077"/>
      <c r="AD237" s="1077"/>
      <c r="AE237" s="1077"/>
      <c r="AF237" s="1077"/>
      <c r="AG237" s="1077"/>
      <c r="AH237" s="1077"/>
      <c r="AI237" s="1077"/>
      <c r="AJ237" s="1077"/>
    </row>
    <row r="238" spans="1:36" x14ac:dyDescent="0.2">
      <c r="A238" s="1077"/>
      <c r="B238" s="1077" t="str">
        <v>Principal payment ($/kg)</v>
      </c>
      <c r="C238" s="1077"/>
      <c r="D238" s="1077"/>
      <c r="E238" s="1077"/>
      <c r="F238" s="1077"/>
      <c r="G238" s="1077"/>
      <c r="H238" s="1077"/>
      <c r="I238" s="1077"/>
      <c r="J238" s="1077"/>
      <c r="K238" s="1077"/>
      <c r="L238" s="1077"/>
      <c r="M238" s="1077"/>
      <c r="N238" s="1077"/>
      <c r="O238" s="1077"/>
      <c r="P238" s="1077"/>
      <c r="Q238" s="1077"/>
      <c r="R238" s="1077"/>
      <c r="S238" s="1077"/>
      <c r="T238" s="1077"/>
      <c r="U238" s="1077"/>
      <c r="V238" s="1077"/>
      <c r="W238" s="1077"/>
      <c r="X238" s="1077"/>
      <c r="Y238" s="1077"/>
      <c r="Z238" s="1077"/>
      <c r="AA238" s="1077"/>
      <c r="AB238" s="1077"/>
      <c r="AC238" s="1077"/>
      <c r="AD238" s="1077"/>
      <c r="AE238" s="1077"/>
      <c r="AF238" s="1077"/>
      <c r="AG238" s="1077"/>
      <c r="AH238" s="1077"/>
      <c r="AI238" s="1077"/>
      <c r="AJ238" s="1077"/>
    </row>
    <row r="239" spans="1:36" x14ac:dyDescent="0.2">
      <c r="A239" s="1077"/>
      <c r="B239" s="1077" t="str">
        <f t="array" ref="B239:B245">+TRANSPOSE(C50:I50)</f>
        <v>Operating capacity factor</v>
      </c>
      <c r="C239" s="1077"/>
      <c r="D239" s="1077"/>
      <c r="E239" s="1077"/>
      <c r="F239" s="1077"/>
      <c r="G239" s="1077"/>
      <c r="H239" s="1077"/>
      <c r="I239" s="1077"/>
      <c r="J239" s="1077"/>
      <c r="K239" s="1077"/>
      <c r="L239" s="1077"/>
      <c r="M239" s="1077"/>
      <c r="N239" s="1077"/>
      <c r="O239" s="1077"/>
      <c r="P239" s="1077"/>
      <c r="Q239" s="1077"/>
      <c r="R239" s="1077"/>
      <c r="S239" s="1077"/>
      <c r="T239" s="1077"/>
      <c r="U239" s="1077"/>
      <c r="V239" s="1077"/>
      <c r="W239" s="1077"/>
      <c r="X239" s="1077"/>
      <c r="Y239" s="1077"/>
      <c r="Z239" s="1077"/>
      <c r="AA239" s="1077"/>
      <c r="AB239" s="1077"/>
      <c r="AC239" s="1077"/>
      <c r="AD239" s="1077"/>
      <c r="AE239" s="1077"/>
      <c r="AF239" s="1077"/>
      <c r="AG239" s="1077"/>
      <c r="AH239" s="1077"/>
      <c r="AI239" s="1077"/>
      <c r="AJ239" s="1077"/>
    </row>
    <row r="240" spans="1:36" x14ac:dyDescent="0.2">
      <c r="A240" s="1077"/>
      <c r="B240" s="1077" t="str">
        <v>Plant design capacity (kg of H2/day)</v>
      </c>
      <c r="C240" s="1077"/>
      <c r="D240" s="1077"/>
      <c r="E240" s="1077"/>
      <c r="F240" s="1077"/>
      <c r="G240" s="1077"/>
      <c r="H240" s="1077"/>
      <c r="I240" s="1077"/>
      <c r="J240" s="1077"/>
      <c r="K240" s="1077"/>
      <c r="L240" s="1077"/>
      <c r="M240" s="1077"/>
      <c r="N240" s="1077"/>
      <c r="O240" s="1077"/>
      <c r="P240" s="1077"/>
      <c r="Q240" s="1077"/>
      <c r="R240" s="1077"/>
      <c r="S240" s="1077"/>
      <c r="T240" s="1077"/>
      <c r="U240" s="1077"/>
      <c r="V240" s="1077"/>
      <c r="W240" s="1077"/>
      <c r="X240" s="1077"/>
      <c r="Y240" s="1077"/>
      <c r="Z240" s="1077"/>
      <c r="AA240" s="1077"/>
      <c r="AB240" s="1077"/>
      <c r="AC240" s="1077"/>
      <c r="AD240" s="1077"/>
      <c r="AE240" s="1077"/>
      <c r="AF240" s="1077"/>
      <c r="AG240" s="1077"/>
      <c r="AH240" s="1077"/>
      <c r="AI240" s="1077"/>
      <c r="AJ240" s="1077"/>
    </row>
    <row r="241" spans="1:36" x14ac:dyDescent="0.2">
      <c r="A241" s="1077"/>
      <c r="B241" s="1077" t="str">
        <v>After-tax real IRR (%)</v>
      </c>
      <c r="C241" s="1077"/>
      <c r="D241" s="1077"/>
      <c r="E241" s="1077"/>
      <c r="F241" s="1077"/>
      <c r="G241" s="1077"/>
      <c r="H241" s="1077"/>
      <c r="I241" s="1077"/>
      <c r="J241" s="1077"/>
      <c r="K241" s="1077"/>
      <c r="L241" s="1077"/>
      <c r="M241" s="1077"/>
      <c r="N241" s="1077"/>
      <c r="O241" s="1077"/>
      <c r="P241" s="1077"/>
      <c r="Q241" s="1077"/>
      <c r="R241" s="1077"/>
      <c r="S241" s="1077"/>
      <c r="T241" s="1077"/>
      <c r="U241" s="1077"/>
      <c r="V241" s="1077"/>
      <c r="W241" s="1077"/>
      <c r="X241" s="1077"/>
      <c r="Y241" s="1077"/>
      <c r="Z241" s="1077"/>
      <c r="AA241" s="1077"/>
      <c r="AB241" s="1077"/>
      <c r="AC241" s="1077"/>
      <c r="AD241" s="1077"/>
      <c r="AE241" s="1077"/>
      <c r="AF241" s="1077"/>
      <c r="AG241" s="1077"/>
      <c r="AH241" s="1077"/>
      <c r="AI241" s="1077"/>
      <c r="AJ241" s="1077"/>
    </row>
    <row r="242" spans="1:36" x14ac:dyDescent="0.2">
      <c r="A242" s="1077"/>
      <c r="B242" s="1077" t="str">
        <v>Feedstock consumption (% of most likely value)</v>
      </c>
      <c r="C242" s="1077"/>
      <c r="D242" s="1077"/>
      <c r="E242" s="1077"/>
      <c r="F242" s="1077"/>
      <c r="G242" s="1077"/>
      <c r="H242" s="1077"/>
      <c r="I242" s="1077"/>
      <c r="J242" s="1077"/>
      <c r="K242" s="1077"/>
      <c r="L242" s="1077"/>
      <c r="M242" s="1077"/>
      <c r="N242" s="1077"/>
      <c r="O242" s="1077"/>
      <c r="P242" s="1077"/>
      <c r="Q242" s="1077"/>
      <c r="R242" s="1077"/>
      <c r="S242" s="1077"/>
      <c r="T242" s="1077"/>
      <c r="U242" s="1077"/>
      <c r="V242" s="1077"/>
      <c r="W242" s="1077"/>
      <c r="X242" s="1077"/>
      <c r="Y242" s="1077"/>
      <c r="Z242" s="1077"/>
      <c r="AA242" s="1077"/>
      <c r="AB242" s="1077"/>
      <c r="AC242" s="1077"/>
      <c r="AD242" s="1077"/>
      <c r="AE242" s="1077"/>
      <c r="AF242" s="1077"/>
      <c r="AG242" s="1077"/>
      <c r="AH242" s="1077"/>
      <c r="AI242" s="1077"/>
      <c r="AJ242" s="1077"/>
    </row>
    <row r="243" spans="1:36" x14ac:dyDescent="0.2">
      <c r="A243" s="1077"/>
      <c r="B243" s="1077" t="str">
        <v>Utilities consumption (% of most likely value)</v>
      </c>
      <c r="C243" s="1077"/>
      <c r="D243" s="1077"/>
      <c r="E243" s="1077"/>
      <c r="F243" s="1077"/>
      <c r="G243" s="1077"/>
      <c r="H243" s="1077"/>
      <c r="I243" s="1077"/>
      <c r="J243" s="1077"/>
      <c r="K243" s="1077"/>
      <c r="L243" s="1077"/>
      <c r="M243" s="1077"/>
      <c r="N243" s="1077"/>
      <c r="O243" s="1077"/>
      <c r="P243" s="1077"/>
      <c r="Q243" s="1077"/>
      <c r="R243" s="1077"/>
      <c r="S243" s="1077"/>
      <c r="T243" s="1077"/>
      <c r="U243" s="1077"/>
      <c r="V243" s="1077"/>
      <c r="W243" s="1077"/>
      <c r="X243" s="1077"/>
      <c r="Y243" s="1077"/>
      <c r="Z243" s="1077"/>
      <c r="AA243" s="1077"/>
      <c r="AB243" s="1077"/>
      <c r="AC243" s="1077"/>
      <c r="AD243" s="1077"/>
      <c r="AE243" s="1077"/>
      <c r="AF243" s="1077"/>
      <c r="AG243" s="1077"/>
      <c r="AH243" s="1077"/>
      <c r="AI243" s="1077"/>
      <c r="AJ243" s="1077"/>
    </row>
    <row r="244" spans="1:36" x14ac:dyDescent="0.2">
      <c r="A244" s="1077"/>
      <c r="B244" s="1077" t="str">
        <v>Total capital investment ($)</v>
      </c>
      <c r="C244" s="1077"/>
      <c r="D244" s="1077"/>
      <c r="E244" s="1077"/>
      <c r="F244" s="1077"/>
      <c r="G244" s="1077"/>
      <c r="H244" s="1077"/>
      <c r="I244" s="1077"/>
      <c r="J244" s="1077"/>
      <c r="K244" s="1077"/>
      <c r="L244" s="1077"/>
      <c r="M244" s="1077"/>
      <c r="N244" s="1077"/>
      <c r="O244" s="1077"/>
      <c r="P244" s="1077"/>
      <c r="Q244" s="1077"/>
      <c r="R244" s="1077"/>
      <c r="S244" s="1077"/>
      <c r="T244" s="1077"/>
      <c r="U244" s="1077"/>
      <c r="V244" s="1077"/>
      <c r="W244" s="1077"/>
      <c r="X244" s="1077"/>
      <c r="Y244" s="1077"/>
      <c r="Z244" s="1077"/>
      <c r="AA244" s="1077"/>
      <c r="AB244" s="1077"/>
      <c r="AC244" s="1077"/>
      <c r="AD244" s="1077"/>
      <c r="AE244" s="1077"/>
      <c r="AF244" s="1077"/>
      <c r="AG244" s="1077"/>
      <c r="AH244" s="1077"/>
      <c r="AI244" s="1077"/>
      <c r="AJ244" s="1077"/>
    </row>
    <row r="245" spans="1:36" x14ac:dyDescent="0.2">
      <c r="A245" s="1077"/>
      <c r="B245" s="1077" t="str">
        <v>Total fixed operating cost ($/year)</v>
      </c>
      <c r="C245" s="1077"/>
      <c r="D245" s="1077"/>
      <c r="E245" s="1077"/>
      <c r="F245" s="1077"/>
      <c r="G245" s="1077"/>
      <c r="H245" s="1077"/>
      <c r="I245" s="1077"/>
      <c r="J245" s="1077"/>
      <c r="K245" s="1077"/>
      <c r="L245" s="1077"/>
      <c r="M245" s="1077"/>
      <c r="N245" s="1077"/>
      <c r="O245" s="1077"/>
      <c r="P245" s="1077"/>
      <c r="Q245" s="1077"/>
      <c r="R245" s="1077"/>
      <c r="S245" s="1077"/>
      <c r="T245" s="1077"/>
      <c r="U245" s="1077"/>
      <c r="V245" s="1077"/>
      <c r="W245" s="1077"/>
      <c r="X245" s="1077"/>
      <c r="Y245" s="1077"/>
      <c r="Z245" s="1077"/>
      <c r="AA245" s="1077"/>
      <c r="AB245" s="1077"/>
      <c r="AC245" s="1077"/>
      <c r="AD245" s="1077"/>
      <c r="AE245" s="1077"/>
      <c r="AF245" s="1077"/>
      <c r="AG245" s="1077"/>
      <c r="AH245" s="1077"/>
      <c r="AI245" s="1077"/>
      <c r="AJ245" s="1077"/>
    </row>
    <row r="246" spans="1:36" x14ac:dyDescent="0.2">
      <c r="A246" s="1077"/>
      <c r="B246" s="1077"/>
      <c r="C246" s="1077"/>
      <c r="D246" s="1077"/>
      <c r="E246" s="1077"/>
      <c r="F246" s="1077"/>
      <c r="G246" s="1077"/>
      <c r="H246" s="1077"/>
      <c r="I246" s="1077"/>
      <c r="J246" s="1077"/>
      <c r="K246" s="1077"/>
      <c r="L246" s="1077"/>
      <c r="M246" s="1077"/>
      <c r="N246" s="1077"/>
      <c r="O246" s="1077"/>
      <c r="P246" s="1077"/>
      <c r="Q246" s="1077"/>
      <c r="R246" s="1077"/>
      <c r="S246" s="1077"/>
      <c r="T246" s="1077"/>
      <c r="U246" s="1077"/>
      <c r="V246" s="1077"/>
      <c r="W246" s="1077"/>
      <c r="X246" s="1077"/>
      <c r="Y246" s="1077"/>
      <c r="Z246" s="1077"/>
      <c r="AA246" s="1077"/>
      <c r="AB246" s="1077"/>
      <c r="AC246" s="1077"/>
      <c r="AD246" s="1077"/>
      <c r="AE246" s="1077"/>
      <c r="AF246" s="1077"/>
      <c r="AG246" s="1077"/>
      <c r="AH246" s="1077"/>
      <c r="AI246" s="1077"/>
      <c r="AJ246" s="1077"/>
    </row>
    <row r="247" spans="1:36" x14ac:dyDescent="0.2">
      <c r="A247" s="1077"/>
      <c r="B247" s="1077"/>
      <c r="C247" s="1077"/>
      <c r="D247" s="1077"/>
      <c r="E247" s="1077"/>
      <c r="F247" s="1077"/>
      <c r="G247" s="1077"/>
      <c r="H247" s="1077"/>
      <c r="I247" s="1077"/>
      <c r="J247" s="1077"/>
      <c r="K247" s="1077"/>
      <c r="L247" s="1077"/>
      <c r="M247" s="1077"/>
      <c r="N247" s="1077"/>
      <c r="O247" s="1077"/>
      <c r="P247" s="1077"/>
      <c r="Q247" s="1077"/>
      <c r="R247" s="1077"/>
      <c r="S247" s="1077"/>
      <c r="T247" s="1077"/>
      <c r="U247" s="1077"/>
      <c r="V247" s="1077"/>
      <c r="W247" s="1077"/>
      <c r="X247" s="1077"/>
      <c r="Y247" s="1077"/>
      <c r="Z247" s="1077"/>
      <c r="AA247" s="1077"/>
      <c r="AB247" s="1077"/>
      <c r="AC247" s="1077"/>
      <c r="AD247" s="1077"/>
      <c r="AE247" s="1077"/>
      <c r="AF247" s="1077"/>
      <c r="AG247" s="1077"/>
      <c r="AH247" s="1077"/>
      <c r="AI247" s="1077"/>
      <c r="AJ247" s="1077"/>
    </row>
    <row r="248" spans="1:36" x14ac:dyDescent="0.2">
      <c r="A248" s="1077"/>
      <c r="B248" s="1078"/>
      <c r="C248">
        <f ca="1">+RAND()</f>
        <v>0.5499259460277115</v>
      </c>
      <c r="D248">
        <f t="shared" ref="D248:I248" ca="1" si="96">+RAND()</f>
        <v>0.80081253685233356</v>
      </c>
      <c r="E248">
        <f t="shared" ca="1" si="96"/>
        <v>0.65673039787875453</v>
      </c>
      <c r="F248">
        <f t="shared" ca="1" si="96"/>
        <v>0.3817038171948981</v>
      </c>
      <c r="G248">
        <f t="shared" ca="1" si="96"/>
        <v>0.79793520412884567</v>
      </c>
      <c r="H248">
        <f t="shared" ca="1" si="96"/>
        <v>0.34244438135335964</v>
      </c>
      <c r="I248">
        <f t="shared" ca="1" si="96"/>
        <v>0.47611353064463047</v>
      </c>
      <c r="J248" s="1077"/>
      <c r="K248" s="1077"/>
      <c r="L248" s="1077"/>
      <c r="M248" s="1077"/>
      <c r="N248" s="1077"/>
      <c r="O248" s="1077"/>
      <c r="P248" s="1077"/>
      <c r="Q248" s="1077"/>
      <c r="R248" s="1077"/>
      <c r="S248" s="1077"/>
      <c r="T248" s="1077"/>
      <c r="U248" s="1077"/>
      <c r="V248" s="1077"/>
      <c r="W248" s="1077"/>
      <c r="X248" s="1077"/>
      <c r="Y248" s="1077"/>
      <c r="Z248" s="1077"/>
      <c r="AA248" s="1077"/>
      <c r="AB248" s="1077"/>
      <c r="AC248" s="1077"/>
      <c r="AD248" s="1077"/>
      <c r="AE248" s="1077"/>
      <c r="AF248" s="1077"/>
      <c r="AG248" s="1077"/>
      <c r="AH248" s="1077"/>
      <c r="AI248" s="1077"/>
      <c r="AJ248" s="1077"/>
    </row>
    <row r="249" spans="1:36" x14ac:dyDescent="0.2">
      <c r="A249" s="1077"/>
      <c r="B249" s="305"/>
      <c r="C249" s="1082">
        <f ca="1">IFERROR(IF(C$248&lt;=(C$190-C$189)/(C$191-C$189),C$189+SQRT(C$248*(C$191-C$189)*(C$190-C$189)),C$191-SQRT((1-C$248)*(C$191-C$189)*(C$191-C$190))),1)</f>
        <v>1.0025619322709973</v>
      </c>
      <c r="D249" s="1082">
        <f t="shared" ref="D249:I249" ca="1" si="97">IFERROR(IF(D$248&lt;=(D$190-D$189)/(D$191-D$189),D$189+SQRT(D$248*(D$191-D$189)*(D$190-D$189)),D$191-SQRT((1-D$248)*(D$191-D$189)*(D$191-D$190))),1)</f>
        <v>1.0184415254529258</v>
      </c>
      <c r="E249" s="1082">
        <f t="shared" ca="1" si="97"/>
        <v>1.0085711693309329</v>
      </c>
      <c r="F249" s="1082">
        <f t="shared" ca="1" si="97"/>
        <v>0.99368660076012427</v>
      </c>
      <c r="G249" s="1082">
        <f t="shared" ca="1" si="97"/>
        <v>1.0182144061034599</v>
      </c>
      <c r="H249" s="1082">
        <f t="shared" ca="1" si="97"/>
        <v>0.99137900321137273</v>
      </c>
      <c r="I249" s="1082">
        <f t="shared" ca="1" si="97"/>
        <v>0.99879106120205985</v>
      </c>
    </row>
    <row r="250" spans="1:36" x14ac:dyDescent="0.2">
      <c r="A250" s="1077"/>
      <c r="B250" s="305"/>
    </row>
    <row r="251" spans="1:36" x14ac:dyDescent="0.2">
      <c r="A251" s="1077"/>
      <c r="B251" s="1444">
        <v>1</v>
      </c>
      <c r="C251" s="1082">
        <v>1.0240567582461266</v>
      </c>
      <c r="D251" s="1082">
        <v>1.0276186094818949</v>
      </c>
      <c r="E251" s="1082">
        <v>0.99892394753125879</v>
      </c>
      <c r="F251" s="1082">
        <v>1.0179251268402516</v>
      </c>
      <c r="G251" s="1082">
        <v>1.0299510174538826</v>
      </c>
      <c r="H251" s="1082">
        <v>0.99541422000118218</v>
      </c>
      <c r="I251" s="1082">
        <v>1.0416424093466521</v>
      </c>
      <c r="K251">
        <v>2.425549507681485</v>
      </c>
      <c r="L251">
        <v>0</v>
      </c>
      <c r="M251">
        <v>1.5899138715288327E-3</v>
      </c>
      <c r="N251">
        <v>0.14421732080331059</v>
      </c>
      <c r="O251">
        <v>2.0369457445640515E-2</v>
      </c>
      <c r="P251">
        <v>2.8789867687563388E-2</v>
      </c>
      <c r="Q251">
        <v>5.3245112991247767E-3</v>
      </c>
      <c r="R251">
        <v>1.5688306983413424E-3</v>
      </c>
      <c r="S251">
        <v>0.259105770786418</v>
      </c>
      <c r="T251">
        <v>1.396201707647686</v>
      </c>
      <c r="U251">
        <v>0.20699019399739288</v>
      </c>
      <c r="V251">
        <v>0.24918419176102255</v>
      </c>
      <c r="W251">
        <v>9.4801612418000641E-2</v>
      </c>
      <c r="X251">
        <v>1.6316117012526211E-2</v>
      </c>
      <c r="Y251">
        <v>4.2698399959844166E-3</v>
      </c>
    </row>
    <row r="252" spans="1:36" x14ac:dyDescent="0.2">
      <c r="A252" s="1077"/>
      <c r="B252" s="1444">
        <v>2</v>
      </c>
      <c r="C252" s="1082">
        <v>0.99338069076174129</v>
      </c>
      <c r="D252" s="1082">
        <v>1.0162354806417804</v>
      </c>
      <c r="E252" s="1082">
        <v>1.0234371769798756</v>
      </c>
      <c r="F252" s="1082">
        <v>1.0036128557290021</v>
      </c>
      <c r="G252" s="1082">
        <v>0.96041659910098609</v>
      </c>
      <c r="H252" s="1082">
        <v>1.0159326451588362</v>
      </c>
      <c r="I252" s="1082">
        <v>0.98277794140649177</v>
      </c>
      <c r="K252">
        <v>2.4188894254854749</v>
      </c>
      <c r="L252">
        <v>0</v>
      </c>
      <c r="M252">
        <v>1.5936257613189493E-3</v>
      </c>
      <c r="N252">
        <v>0.15569884187065752</v>
      </c>
      <c r="O252">
        <v>2.1066344944838909E-2</v>
      </c>
      <c r="P252">
        <v>2.8947978138340442E-2</v>
      </c>
      <c r="Q252">
        <v>5.6431914940881052E-3</v>
      </c>
      <c r="R252">
        <v>1.5729201696944493E-3</v>
      </c>
      <c r="S252">
        <v>0.25533437690307709</v>
      </c>
      <c r="T252">
        <v>1.3771040481948906</v>
      </c>
      <c r="U252">
        <v>0.21346664461018361</v>
      </c>
      <c r="V252">
        <v>0.23910877476482748</v>
      </c>
      <c r="W252">
        <v>0.10088154565861496</v>
      </c>
      <c r="X252">
        <v>1.737741430866532E-2</v>
      </c>
      <c r="Y252">
        <v>4.2809701889137035E-3</v>
      </c>
    </row>
    <row r="253" spans="1:36" x14ac:dyDescent="0.2">
      <c r="A253" s="1077"/>
      <c r="B253" s="1444">
        <v>3</v>
      </c>
      <c r="C253" s="1082">
        <v>1.0252168034116338</v>
      </c>
      <c r="D253" s="1082">
        <v>0.98277736164419149</v>
      </c>
      <c r="E253" s="1082">
        <v>0.95683363626323414</v>
      </c>
      <c r="F253" s="1082">
        <v>0.99862825870141403</v>
      </c>
      <c r="G253" s="1082">
        <v>0.97878913451452354</v>
      </c>
      <c r="H253" s="1082">
        <v>1.0285401437197326</v>
      </c>
      <c r="I253" s="1082">
        <v>1.0023474935137699</v>
      </c>
      <c r="K253">
        <v>2.3874156467130705</v>
      </c>
      <c r="L253">
        <v>0</v>
      </c>
      <c r="M253">
        <v>1.8077863488072661E-3</v>
      </c>
      <c r="N253">
        <v>0.14443164455712373</v>
      </c>
      <c r="O253">
        <v>2.0519853179510966E-2</v>
      </c>
      <c r="P253">
        <v>2.7375780032502912E-2</v>
      </c>
      <c r="Q253">
        <v>5.1389291358984283E-3</v>
      </c>
      <c r="R253">
        <v>1.7845861303566032E-3</v>
      </c>
      <c r="S253">
        <v>0.25709825602653624</v>
      </c>
      <c r="T253">
        <v>1.368828924531434</v>
      </c>
      <c r="U253">
        <v>0.20661615088611576</v>
      </c>
      <c r="V253">
        <v>0.24052899756433344</v>
      </c>
      <c r="W253">
        <v>9.739070697353186E-2</v>
      </c>
      <c r="X253">
        <v>1.4652548886363803E-2</v>
      </c>
      <c r="Y253">
        <v>4.8570551581709085E-3</v>
      </c>
    </row>
    <row r="254" spans="1:36" x14ac:dyDescent="0.2">
      <c r="A254" s="1077"/>
      <c r="B254" s="1444">
        <v>4</v>
      </c>
      <c r="C254" s="1082">
        <v>0.99691878305226811</v>
      </c>
      <c r="D254" s="1082">
        <v>1.0367690666881249</v>
      </c>
      <c r="E254" s="1082">
        <v>1.0275976499499451</v>
      </c>
      <c r="F254" s="1082">
        <v>0.99190015087136396</v>
      </c>
      <c r="G254" s="1082">
        <v>1.0164806931176427</v>
      </c>
      <c r="H254" s="1082">
        <v>1.0222040718493151</v>
      </c>
      <c r="I254" s="1082">
        <v>0.97443646496988967</v>
      </c>
      <c r="K254">
        <v>2.406541510641055</v>
      </c>
      <c r="L254">
        <v>0</v>
      </c>
      <c r="M254">
        <v>1.5770340642035519E-3</v>
      </c>
      <c r="N254">
        <v>0.15603568103362153</v>
      </c>
      <c r="O254">
        <v>2.0902159397432091E-2</v>
      </c>
      <c r="P254">
        <v>2.8863108398098684E-2</v>
      </c>
      <c r="Q254">
        <v>5.6223463934497193E-3</v>
      </c>
      <c r="R254">
        <v>1.5566697548357264E-3</v>
      </c>
      <c r="S254">
        <v>0.25032887852006919</v>
      </c>
      <c r="T254">
        <v>1.3611221992958531</v>
      </c>
      <c r="U254">
        <v>0.21272336620890117</v>
      </c>
      <c r="V254">
        <v>0.24843884445982684</v>
      </c>
      <c r="W254">
        <v>0.10085506743404724</v>
      </c>
      <c r="X254">
        <v>1.7433481892506392E-2</v>
      </c>
      <c r="Y254">
        <v>4.2367419166160786E-3</v>
      </c>
    </row>
    <row r="255" spans="1:36" x14ac:dyDescent="0.2">
      <c r="A255" s="1077"/>
      <c r="B255" s="1444">
        <v>5</v>
      </c>
      <c r="C255" s="1082">
        <v>0.99486463171397921</v>
      </c>
      <c r="D255" s="1082">
        <v>0.96772650275786898</v>
      </c>
      <c r="E255" s="1082">
        <v>0.98907747364433551</v>
      </c>
      <c r="F255" s="1082">
        <v>0.98903642304043493</v>
      </c>
      <c r="G255" s="1082">
        <v>0.99487680144660451</v>
      </c>
      <c r="H255" s="1082">
        <v>1.0445994405046046</v>
      </c>
      <c r="I255" s="1082">
        <v>1.0075298866331124</v>
      </c>
      <c r="K255">
        <v>2.4202411992314032</v>
      </c>
      <c r="L255">
        <v>0</v>
      </c>
      <c r="M255">
        <v>1.7761475045949015E-3</v>
      </c>
      <c r="N255">
        <v>0.15648486842839571</v>
      </c>
      <c r="O255">
        <v>2.1239378925727609E-2</v>
      </c>
      <c r="P255">
        <v>2.8212564786080068E-2</v>
      </c>
      <c r="Q255">
        <v>5.4970460097485303E-3</v>
      </c>
      <c r="R255">
        <v>1.7537037526803082E-3</v>
      </c>
      <c r="S255">
        <v>0.27004642163673048</v>
      </c>
      <c r="T255">
        <v>1.3563671479491213</v>
      </c>
      <c r="U255">
        <v>0.21303006929827401</v>
      </c>
      <c r="V255">
        <v>0.24501732587696257</v>
      </c>
      <c r="W255">
        <v>0.10347234983019783</v>
      </c>
      <c r="X255">
        <v>1.61234667355722E-2</v>
      </c>
      <c r="Y255">
        <v>4.7730035065090973E-3</v>
      </c>
    </row>
    <row r="256" spans="1:36" x14ac:dyDescent="0.2">
      <c r="A256" s="1077"/>
      <c r="B256" s="1444">
        <v>6</v>
      </c>
      <c r="C256" s="1082">
        <v>0.98648176060886539</v>
      </c>
      <c r="D256" s="1082">
        <v>0.9885485977027908</v>
      </c>
      <c r="E256" s="1082">
        <v>1.0137460792605675</v>
      </c>
      <c r="F256" s="1082">
        <v>0.99904570202504761</v>
      </c>
      <c r="G256" s="1082">
        <v>1.0092322874444066</v>
      </c>
      <c r="H256" s="1082">
        <v>1.0081505276339306</v>
      </c>
      <c r="I256" s="1082">
        <v>0.99280511288238038</v>
      </c>
      <c r="K256">
        <v>2.4296331464137104</v>
      </c>
      <c r="L256">
        <v>0</v>
      </c>
      <c r="M256">
        <v>1.6348121617568584E-3</v>
      </c>
      <c r="N256">
        <v>0.15510451692650076</v>
      </c>
      <c r="O256">
        <v>2.1336423989795836E-2</v>
      </c>
      <c r="P256">
        <v>2.8895382868051357E-2</v>
      </c>
      <c r="Q256">
        <v>5.6606960096988717E-3</v>
      </c>
      <c r="R256">
        <v>1.6134074838759782E-3</v>
      </c>
      <c r="S256">
        <v>0.26259971948647826</v>
      </c>
      <c r="T256">
        <v>1.3706270747701561</v>
      </c>
      <c r="U256">
        <v>0.21492584124074629</v>
      </c>
      <c r="V256">
        <v>0.24791341892271082</v>
      </c>
      <c r="W256">
        <v>0.10106851688840686</v>
      </c>
      <c r="X256">
        <v>1.713179667756708E-2</v>
      </c>
      <c r="Y256">
        <v>4.3911633114762936E-3</v>
      </c>
    </row>
    <row r="257" spans="1:25" x14ac:dyDescent="0.2">
      <c r="A257" s="1077"/>
      <c r="B257" s="1444">
        <v>7</v>
      </c>
      <c r="C257" s="1082">
        <v>1.0220036739051799</v>
      </c>
      <c r="D257" s="1082">
        <v>1.0025640535030222</v>
      </c>
      <c r="E257" s="1082">
        <v>0.99485980833109855</v>
      </c>
      <c r="F257" s="1082">
        <v>0.99437374622792218</v>
      </c>
      <c r="G257" s="1082">
        <v>1.029903847232144</v>
      </c>
      <c r="H257" s="1082">
        <v>1.0149204249259167</v>
      </c>
      <c r="I257" s="1082">
        <v>1.0266525845179393</v>
      </c>
      <c r="K257">
        <v>2.400729848907754</v>
      </c>
      <c r="L257">
        <v>0</v>
      </c>
      <c r="M257">
        <v>1.6469906517714832E-3</v>
      </c>
      <c r="N257">
        <v>0.14760917512519772</v>
      </c>
      <c r="O257">
        <v>2.0518877427669096E-2</v>
      </c>
      <c r="P257">
        <v>2.8291087707171945E-2</v>
      </c>
      <c r="Q257">
        <v>5.341665117997039E-3</v>
      </c>
      <c r="R257">
        <v>1.6255703610976409E-3</v>
      </c>
      <c r="S257">
        <v>0.26069576857358584</v>
      </c>
      <c r="T257">
        <v>1.3638109221413304</v>
      </c>
      <c r="U257">
        <v>0.20739242635095487</v>
      </c>
      <c r="V257">
        <v>0.24931381231760028</v>
      </c>
      <c r="W257">
        <v>9.7266496244202319E-2</v>
      </c>
      <c r="X257">
        <v>1.6086771538933026E-2</v>
      </c>
      <c r="Y257">
        <v>4.4242666537822615E-3</v>
      </c>
    </row>
    <row r="258" spans="1:25" x14ac:dyDescent="0.2">
      <c r="A258" s="1077"/>
      <c r="B258" s="1444">
        <v>8</v>
      </c>
      <c r="C258" s="1082">
        <v>1.0192441531650867</v>
      </c>
      <c r="D258" s="1082">
        <v>0.98170394357905177</v>
      </c>
      <c r="E258" s="1082">
        <v>0.98171802687062881</v>
      </c>
      <c r="F258" s="1082">
        <v>0.99957911864024696</v>
      </c>
      <c r="G258" s="1082">
        <v>1.0309303187421959</v>
      </c>
      <c r="H258" s="1082">
        <v>0.9858849447133714</v>
      </c>
      <c r="I258" s="1082">
        <v>1.019657909030607</v>
      </c>
      <c r="K258">
        <v>2.399502671234548</v>
      </c>
      <c r="L258">
        <v>0</v>
      </c>
      <c r="M258">
        <v>1.656096968753672E-3</v>
      </c>
      <c r="N258">
        <v>0.1425874382737731</v>
      </c>
      <c r="O258">
        <v>2.0661247809710574E-2</v>
      </c>
      <c r="P258">
        <v>2.8104574633309495E-2</v>
      </c>
      <c r="Q258">
        <v>5.3076864611248846E-3</v>
      </c>
      <c r="R258">
        <v>1.6339239029416845E-3</v>
      </c>
      <c r="S258">
        <v>0.25977858575778873</v>
      </c>
      <c r="T258">
        <v>1.3706667994191069</v>
      </c>
      <c r="U258">
        <v>0.20790993318323012</v>
      </c>
      <c r="V258">
        <v>0.24970428013665322</v>
      </c>
      <c r="W258">
        <v>9.4701076997876318E-2</v>
      </c>
      <c r="X258">
        <v>1.5656219386846661E-2</v>
      </c>
      <c r="Y258">
        <v>4.4470022409374204E-3</v>
      </c>
    </row>
    <row r="259" spans="1:25" x14ac:dyDescent="0.2">
      <c r="A259" s="1077"/>
      <c r="B259" s="1444">
        <v>9</v>
      </c>
      <c r="C259" s="1082">
        <v>1.0152083612510359</v>
      </c>
      <c r="D259" s="1082">
        <v>1.0043216962954093</v>
      </c>
      <c r="E259" s="1082">
        <v>0.99289185092013543</v>
      </c>
      <c r="F259" s="1082">
        <v>0.97738508123507939</v>
      </c>
      <c r="G259" s="1082">
        <v>1.0165327476672281</v>
      </c>
      <c r="H259" s="1082">
        <v>0.98036912453982739</v>
      </c>
      <c r="I259" s="1082">
        <v>1.0167795436500824</v>
      </c>
      <c r="K259">
        <v>2.3650799124853372</v>
      </c>
      <c r="L259">
        <v>0</v>
      </c>
      <c r="M259">
        <v>1.607495783775386E-3</v>
      </c>
      <c r="N259">
        <v>0.14314857004558701</v>
      </c>
      <c r="O259">
        <v>2.0646978343069333E-2</v>
      </c>
      <c r="P259">
        <v>2.7872181568532561E-2</v>
      </c>
      <c r="Q259">
        <v>5.3643554079151013E-3</v>
      </c>
      <c r="R259">
        <v>1.5858523364426225E-3</v>
      </c>
      <c r="S259">
        <v>0.25673347452502332</v>
      </c>
      <c r="T259">
        <v>1.34046895191877</v>
      </c>
      <c r="U259">
        <v>0.20877399096318996</v>
      </c>
      <c r="V259">
        <v>0.2474459759894046</v>
      </c>
      <c r="W259">
        <v>9.4438127431442406E-2</v>
      </c>
      <c r="X259">
        <v>1.5892782456019057E-2</v>
      </c>
      <c r="Y259">
        <v>4.3161672837146092E-3</v>
      </c>
    </row>
    <row r="260" spans="1:25" x14ac:dyDescent="0.2">
      <c r="A260" s="1077"/>
      <c r="B260" s="1444">
        <v>10</v>
      </c>
      <c r="C260" s="1082">
        <v>0.98148466695461267</v>
      </c>
      <c r="D260" s="1082">
        <v>0.9898057067345063</v>
      </c>
      <c r="E260" s="1082">
        <v>0.97049205796652449</v>
      </c>
      <c r="F260" s="1082">
        <v>0.97364296837510678</v>
      </c>
      <c r="G260" s="1082">
        <v>0.98359723404953214</v>
      </c>
      <c r="H260" s="1082">
        <v>1.0052098605085253</v>
      </c>
      <c r="I260" s="1082">
        <v>0.99038277130041341</v>
      </c>
      <c r="K260">
        <v>2.3805113679135879</v>
      </c>
      <c r="L260">
        <v>0</v>
      </c>
      <c r="M260">
        <v>1.7914332916744275E-3</v>
      </c>
      <c r="N260">
        <v>0.14912620729647588</v>
      </c>
      <c r="O260">
        <v>2.1409783596315426E-2</v>
      </c>
      <c r="P260">
        <v>2.7454355360393437E-2</v>
      </c>
      <c r="Q260">
        <v>5.4374452878447228E-3</v>
      </c>
      <c r="R260">
        <v>1.7679093486373256E-3</v>
      </c>
      <c r="S260">
        <v>0.26251292348180993</v>
      </c>
      <c r="T260">
        <v>1.3348667824547238</v>
      </c>
      <c r="U260">
        <v>0.21586965756693152</v>
      </c>
      <c r="V260">
        <v>0.24401148645701951</v>
      </c>
      <c r="W260">
        <v>9.9719618561096859E-2</v>
      </c>
      <c r="X260">
        <v>1.5314965338184813E-2</v>
      </c>
      <c r="Y260">
        <v>4.811666455830651E-3</v>
      </c>
    </row>
    <row r="261" spans="1:25" x14ac:dyDescent="0.2">
      <c r="A261" s="1077"/>
      <c r="B261" s="1444">
        <v>11</v>
      </c>
      <c r="C261" s="1082">
        <v>1.0049331900195331</v>
      </c>
      <c r="D261" s="1082">
        <v>1.0081076069475989</v>
      </c>
      <c r="E261" s="1082">
        <v>0.98322551368369382</v>
      </c>
      <c r="F261" s="1082">
        <v>0.99571089379375821</v>
      </c>
      <c r="G261" s="1082">
        <v>0.99588739818251593</v>
      </c>
      <c r="H261" s="1082">
        <v>0.98829283494731868</v>
      </c>
      <c r="I261" s="1082">
        <v>1.0489897670812196</v>
      </c>
      <c r="K261">
        <v>2.4032235425673343</v>
      </c>
      <c r="L261">
        <v>0</v>
      </c>
      <c r="M261">
        <v>1.6687685886503092E-3</v>
      </c>
      <c r="N261">
        <v>0.14433993275473481</v>
      </c>
      <c r="O261">
        <v>2.0834469440150608E-2</v>
      </c>
      <c r="P261">
        <v>2.814325343830261E-2</v>
      </c>
      <c r="Q261">
        <v>5.3603811754705279E-3</v>
      </c>
      <c r="R261">
        <v>1.6464803018233774E-3</v>
      </c>
      <c r="S261">
        <v>0.26769033608554094</v>
      </c>
      <c r="T261">
        <v>1.3653948670820393</v>
      </c>
      <c r="U261">
        <v>0.21087583170562366</v>
      </c>
      <c r="V261">
        <v>0.24458289487546628</v>
      </c>
      <c r="W261">
        <v>9.5777964854284622E-2</v>
      </c>
      <c r="X261">
        <v>1.5764722823066287E-2</v>
      </c>
      <c r="Y261">
        <v>4.4811766194776071E-3</v>
      </c>
    </row>
    <row r="262" spans="1:25" x14ac:dyDescent="0.2">
      <c r="A262" s="1077"/>
      <c r="B262" s="1444">
        <v>12</v>
      </c>
      <c r="C262" s="1082">
        <v>1.0049871800700638</v>
      </c>
      <c r="D262" s="1082">
        <v>0.99725358694236221</v>
      </c>
      <c r="E262" s="1082">
        <v>1.0130575646989777</v>
      </c>
      <c r="F262" s="1082">
        <v>1.0063936187250491</v>
      </c>
      <c r="G262" s="1082">
        <v>0.98183766004839701</v>
      </c>
      <c r="H262" s="1082">
        <v>0.99453424029898652</v>
      </c>
      <c r="I262" s="1082">
        <v>0.97152514564033077</v>
      </c>
      <c r="K262">
        <v>2.4074237806493723</v>
      </c>
      <c r="L262">
        <v>0</v>
      </c>
      <c r="M262">
        <v>1.5822482425448617E-3</v>
      </c>
      <c r="N262">
        <v>0.14977861382014207</v>
      </c>
      <c r="O262">
        <v>2.0902730955893567E-2</v>
      </c>
      <c r="P262">
        <v>2.8710908726652374E-2</v>
      </c>
      <c r="Q262">
        <v>5.5418259409116735E-3</v>
      </c>
      <c r="R262">
        <v>1.5612481552258973E-3</v>
      </c>
      <c r="S262">
        <v>0.25000756785253192</v>
      </c>
      <c r="T262">
        <v>1.3806929220778072</v>
      </c>
      <c r="U262">
        <v>0.21096593878054543</v>
      </c>
      <c r="V262">
        <v>0.24207448362407605</v>
      </c>
      <c r="W262">
        <v>9.7637602397858403E-2</v>
      </c>
      <c r="X262">
        <v>1.6882983747060973E-2</v>
      </c>
      <c r="Y262">
        <v>4.2492028132088419E-3</v>
      </c>
    </row>
    <row r="263" spans="1:25" x14ac:dyDescent="0.2">
      <c r="A263" s="1077"/>
      <c r="B263" s="1444">
        <v>13</v>
      </c>
      <c r="C263" s="1082">
        <v>1.0221873089809059</v>
      </c>
      <c r="D263" s="1082">
        <v>1.0375439068995129</v>
      </c>
      <c r="E263" s="1082">
        <v>1.0366769859943148</v>
      </c>
      <c r="F263" s="1082">
        <v>0.97637876374461396</v>
      </c>
      <c r="G263" s="1082">
        <v>0.96064324142651714</v>
      </c>
      <c r="H263" s="1082">
        <v>1.0215517997086092</v>
      </c>
      <c r="I263" s="1082">
        <v>0.989150630104073</v>
      </c>
      <c r="K263">
        <v>2.360387718467909</v>
      </c>
      <c r="L263">
        <v>0</v>
      </c>
      <c r="M263">
        <v>1.5080044039769323E-3</v>
      </c>
      <c r="N263">
        <v>0.15334398547572708</v>
      </c>
      <c r="O263">
        <v>2.0387982254557895E-2</v>
      </c>
      <c r="P263">
        <v>2.8492678064499202E-2</v>
      </c>
      <c r="Q263">
        <v>5.5334329784006995E-3</v>
      </c>
      <c r="R263">
        <v>1.4885190439306378E-3</v>
      </c>
      <c r="S263">
        <v>0.24775394082410923</v>
      </c>
      <c r="T263">
        <v>1.3400161024730306</v>
      </c>
      <c r="U263">
        <v>0.2074953413106306</v>
      </c>
      <c r="V263">
        <v>0.23733291322093683</v>
      </c>
      <c r="W263">
        <v>9.8595138521078943E-2</v>
      </c>
      <c r="X263">
        <v>1.7404430557575214E-2</v>
      </c>
      <c r="Y263">
        <v>4.0512581474082404E-3</v>
      </c>
    </row>
    <row r="264" spans="1:25" x14ac:dyDescent="0.2">
      <c r="A264" s="1077"/>
      <c r="B264" s="1444">
        <v>14</v>
      </c>
      <c r="C264" s="1082">
        <v>1.0076170883820523</v>
      </c>
      <c r="D264" s="1082">
        <v>0.98175795010662881</v>
      </c>
      <c r="E264" s="1082">
        <v>0.98924540849920595</v>
      </c>
      <c r="F264" s="1082">
        <v>1.0236015056541732</v>
      </c>
      <c r="G264" s="1082">
        <v>0.98409296580846906</v>
      </c>
      <c r="H264" s="1082">
        <v>1.0103671257147255</v>
      </c>
      <c r="I264" s="1082">
        <v>0.96545367933479564</v>
      </c>
      <c r="K264">
        <v>2.430216255140238</v>
      </c>
      <c r="L264">
        <v>0</v>
      </c>
      <c r="M264">
        <v>1.690248238439165E-3</v>
      </c>
      <c r="N264">
        <v>0.14892787045029821</v>
      </c>
      <c r="O264">
        <v>2.0904375105735524E-2</v>
      </c>
      <c r="P264">
        <v>2.8525956067148053E-2</v>
      </c>
      <c r="Q264">
        <v>5.4112612441839904E-3</v>
      </c>
      <c r="R264">
        <v>1.668166284317352E-3</v>
      </c>
      <c r="S264">
        <v>0.25086230911496726</v>
      </c>
      <c r="T264">
        <v>1.4037735026653315</v>
      </c>
      <c r="U264">
        <v>0.21033451787623111</v>
      </c>
      <c r="V264">
        <v>0.24238099961432302</v>
      </c>
      <c r="W264">
        <v>9.8465529784876105E-2</v>
      </c>
      <c r="X264">
        <v>1.6111816456218175E-2</v>
      </c>
      <c r="Y264">
        <v>4.5401987150439985E-3</v>
      </c>
    </row>
    <row r="265" spans="1:25" x14ac:dyDescent="0.2">
      <c r="A265" s="1077"/>
      <c r="B265" s="1444">
        <v>15</v>
      </c>
      <c r="C265" s="1082">
        <v>0.96994294150292393</v>
      </c>
      <c r="D265" s="1082">
        <v>1.013510951382578</v>
      </c>
      <c r="E265" s="1082">
        <v>1.0262479573623486</v>
      </c>
      <c r="F265" s="1082">
        <v>1.0017285698546312</v>
      </c>
      <c r="G265" s="1082">
        <v>1.0007935713737404</v>
      </c>
      <c r="H265" s="1082">
        <v>1.0086602079022109</v>
      </c>
      <c r="I265" s="1082">
        <v>1.024189466682309</v>
      </c>
      <c r="K265">
        <v>2.4534175084887315</v>
      </c>
      <c r="L265">
        <v>0</v>
      </c>
      <c r="M265">
        <v>1.6119464621277163E-3</v>
      </c>
      <c r="N265">
        <v>0.15881434677520043</v>
      </c>
      <c r="O265">
        <v>2.1590064431069585E-2</v>
      </c>
      <c r="P265">
        <v>2.9396470509267091E-2</v>
      </c>
      <c r="Q265">
        <v>5.7996243529794805E-3</v>
      </c>
      <c r="R265">
        <v>1.5908518305978261E-3</v>
      </c>
      <c r="S265">
        <v>0.27226002410883482</v>
      </c>
      <c r="T265">
        <v>1.3745797249635421</v>
      </c>
      <c r="U265">
        <v>0.21863480616191186</v>
      </c>
      <c r="V265">
        <v>0.2475080751994008</v>
      </c>
      <c r="W265">
        <v>0.10273173260434197</v>
      </c>
      <c r="X265">
        <v>1.7793959754992306E-2</v>
      </c>
      <c r="Y265">
        <v>4.3297742587222691E-3</v>
      </c>
    </row>
    <row r="266" spans="1:25" x14ac:dyDescent="0.2">
      <c r="A266" s="1077"/>
      <c r="B266" s="1444">
        <v>16</v>
      </c>
      <c r="C266" s="1082">
        <v>0.9993622194265388</v>
      </c>
      <c r="D266" s="1082">
        <v>1.0219391572899399</v>
      </c>
      <c r="E266" s="1082">
        <v>0.99444405422143389</v>
      </c>
      <c r="F266" s="1082">
        <v>0.98378692205951579</v>
      </c>
      <c r="G266" s="1082">
        <v>1.0002932587435314</v>
      </c>
      <c r="H266" s="1082">
        <v>1.006477006374636</v>
      </c>
      <c r="I266" s="1082">
        <v>1.0305331704046918</v>
      </c>
      <c r="K266">
        <v>2.3936024761330348</v>
      </c>
      <c r="L266">
        <v>0</v>
      </c>
      <c r="M266">
        <v>1.6647074107919314E-3</v>
      </c>
      <c r="N266">
        <v>0.14899318246930762</v>
      </c>
      <c r="O266">
        <v>2.0895298529394788E-2</v>
      </c>
      <c r="P266">
        <v>2.814820434827605E-2</v>
      </c>
      <c r="Q266">
        <v>5.437379022724659E-3</v>
      </c>
      <c r="R266">
        <v>1.6428750714146453E-3</v>
      </c>
      <c r="S266">
        <v>0.26433108721370346</v>
      </c>
      <c r="T266">
        <v>1.3492819651601251</v>
      </c>
      <c r="U266">
        <v>0.21208966839525886</v>
      </c>
      <c r="V266">
        <v>0.24564098599357381</v>
      </c>
      <c r="W266">
        <v>9.8202848316075786E-2</v>
      </c>
      <c r="X266">
        <v>1.613232465319955E-2</v>
      </c>
      <c r="Y266">
        <v>4.4713643707689227E-3</v>
      </c>
    </row>
    <row r="267" spans="1:25" x14ac:dyDescent="0.2">
      <c r="A267" s="1077"/>
      <c r="B267" s="1444">
        <v>17</v>
      </c>
      <c r="C267" s="1082">
        <v>0.99111734869269608</v>
      </c>
      <c r="D267" s="1082">
        <v>0.96586247916098722</v>
      </c>
      <c r="E267" s="1082">
        <v>1.0042831904550211</v>
      </c>
      <c r="F267" s="1082">
        <v>1.011428511173629</v>
      </c>
      <c r="G267" s="1082">
        <v>0.99917950149668899</v>
      </c>
      <c r="H267" s="1082">
        <v>0.99246036446437347</v>
      </c>
      <c r="I267" s="1082">
        <v>1.0124973746130761</v>
      </c>
      <c r="K267">
        <v>2.4431485874819199</v>
      </c>
      <c r="L267">
        <v>0</v>
      </c>
      <c r="M267">
        <v>1.6420047901048698E-3</v>
      </c>
      <c r="N267">
        <v>0.15136724020729467</v>
      </c>
      <c r="O267">
        <v>2.1338982155712592E-2</v>
      </c>
      <c r="P267">
        <v>2.8959482732001374E-2</v>
      </c>
      <c r="Q267">
        <v>5.6080446436778935E-3</v>
      </c>
      <c r="R267">
        <v>1.620166055699365E-3</v>
      </c>
      <c r="S267">
        <v>0.26823199038741685</v>
      </c>
      <c r="T267">
        <v>1.3874081236487243</v>
      </c>
      <c r="U267">
        <v>0.21388792262008569</v>
      </c>
      <c r="V267">
        <v>0.24593493100067329</v>
      </c>
      <c r="W267">
        <v>9.9185596579199925E-2</v>
      </c>
      <c r="X267">
        <v>1.6838554325522479E-2</v>
      </c>
      <c r="Y267">
        <v>4.4095579160169486E-3</v>
      </c>
    </row>
    <row r="268" spans="1:25" x14ac:dyDescent="0.2">
      <c r="A268" s="1077"/>
      <c r="B268" s="1444">
        <v>18</v>
      </c>
      <c r="C268" s="1082">
        <v>0.96715611520850164</v>
      </c>
      <c r="D268" s="1082">
        <v>0.97224388006820117</v>
      </c>
      <c r="E268" s="1082">
        <v>1.0049303103101466</v>
      </c>
      <c r="F268" s="1082">
        <v>0.98351105760647073</v>
      </c>
      <c r="G268" s="1082">
        <v>1.0236045501749551</v>
      </c>
      <c r="H268" s="1082">
        <v>1.0196346608513658</v>
      </c>
      <c r="I268" s="1082">
        <v>1.0415570932705376</v>
      </c>
      <c r="K268">
        <v>2.4459523999445181</v>
      </c>
      <c r="L268">
        <v>0</v>
      </c>
      <c r="M268">
        <v>1.7239385114307367E-3</v>
      </c>
      <c r="N268">
        <v>0.15928835541274569</v>
      </c>
      <c r="O268">
        <v>2.1836443505457173E-2</v>
      </c>
      <c r="P268">
        <v>2.882075113433246E-2</v>
      </c>
      <c r="Q268">
        <v>5.7425058411752425E-3</v>
      </c>
      <c r="R268">
        <v>1.7016211215893874E-3</v>
      </c>
      <c r="S268">
        <v>0.28433797319388726</v>
      </c>
      <c r="T268">
        <v>1.3491266574188683</v>
      </c>
      <c r="U268">
        <v>0.21918927156161153</v>
      </c>
      <c r="V268">
        <v>0.2516629286116201</v>
      </c>
      <c r="W268">
        <v>0.10433603209572291</v>
      </c>
      <c r="X268">
        <v>1.7002546805223048E-2</v>
      </c>
      <c r="Y268">
        <v>4.6312517537143352E-3</v>
      </c>
    </row>
    <row r="269" spans="1:25" x14ac:dyDescent="0.2">
      <c r="A269" s="1077"/>
      <c r="B269" s="1444">
        <v>19</v>
      </c>
      <c r="C269" s="1082">
        <v>0.98221230444899799</v>
      </c>
      <c r="D269" s="1082">
        <v>1.0115409668982855</v>
      </c>
      <c r="E269" s="1082">
        <v>0.98594211493145445</v>
      </c>
      <c r="F269" s="1082">
        <v>1.0067670369682198</v>
      </c>
      <c r="G269" s="1082">
        <v>1.015647204363924</v>
      </c>
      <c r="H269" s="1082">
        <v>1.0207067407316444</v>
      </c>
      <c r="I269" s="1082">
        <v>1.0019436791054634</v>
      </c>
      <c r="K269">
        <v>2.4399789362881124</v>
      </c>
      <c r="L269">
        <v>0</v>
      </c>
      <c r="M269">
        <v>1.7521733063454786E-3</v>
      </c>
      <c r="N269">
        <v>0.15287011182957605</v>
      </c>
      <c r="O269">
        <v>2.1302307749967435E-2</v>
      </c>
      <c r="P269">
        <v>2.8487333430747726E-2</v>
      </c>
      <c r="Q269">
        <v>5.4958640503407095E-3</v>
      </c>
      <c r="R269">
        <v>1.7295142251686319E-3</v>
      </c>
      <c r="S269">
        <v>0.26398113435169729</v>
      </c>
      <c r="T269">
        <v>1.3806148614564751</v>
      </c>
      <c r="U269">
        <v>0.21576331756191389</v>
      </c>
      <c r="V269">
        <v>0.24938469129889981</v>
      </c>
      <c r="W269">
        <v>0.10127258086823025</v>
      </c>
      <c r="X269">
        <v>1.6122225184744699E-2</v>
      </c>
      <c r="Y269">
        <v>4.7071675866979168E-3</v>
      </c>
    </row>
    <row r="270" spans="1:25" x14ac:dyDescent="0.2">
      <c r="A270" s="1077"/>
      <c r="B270" s="1444">
        <v>20</v>
      </c>
      <c r="C270" s="1082">
        <v>0.96701154619292196</v>
      </c>
      <c r="D270" s="1082">
        <v>0.95493576097433874</v>
      </c>
      <c r="E270" s="1082">
        <v>0.97000963912326921</v>
      </c>
      <c r="F270" s="1082">
        <v>1.0096338573441004</v>
      </c>
      <c r="G270" s="1082">
        <v>1.0033592933006388</v>
      </c>
      <c r="H270" s="1082">
        <v>0.9797664580791603</v>
      </c>
      <c r="I270" s="1082">
        <v>0.98427425761794918</v>
      </c>
      <c r="K270">
        <v>2.4432126564307133</v>
      </c>
      <c r="L270">
        <v>0</v>
      </c>
      <c r="M270">
        <v>1.7880413166205891E-3</v>
      </c>
      <c r="N270">
        <v>0.1485752335575736</v>
      </c>
      <c r="O270">
        <v>2.190202207671765E-2</v>
      </c>
      <c r="P270">
        <v>2.8268372139325475E-2</v>
      </c>
      <c r="Q270">
        <v>5.5597175364627922E-3</v>
      </c>
      <c r="R270">
        <v>1.7639521818795917E-3</v>
      </c>
      <c r="S270">
        <v>0.2674002796629269</v>
      </c>
      <c r="T270">
        <v>1.3841999061917289</v>
      </c>
      <c r="U270">
        <v>0.21909885022352732</v>
      </c>
      <c r="V270">
        <v>0.2483418750065626</v>
      </c>
      <c r="W270">
        <v>9.938035598155226E-2</v>
      </c>
      <c r="X270">
        <v>1.5709236836679727E-2</v>
      </c>
      <c r="Y270">
        <v>4.8008963523957721E-3</v>
      </c>
    </row>
    <row r="271" spans="1:25" x14ac:dyDescent="0.2">
      <c r="A271" s="1077"/>
      <c r="B271" s="1444">
        <v>21</v>
      </c>
      <c r="C271" s="1082">
        <v>1.0357325642583846</v>
      </c>
      <c r="D271" s="1082">
        <v>0.96351292799390875</v>
      </c>
      <c r="E271" s="1082">
        <v>1.0156389724929074</v>
      </c>
      <c r="F271" s="1082">
        <v>0.9747235916952447</v>
      </c>
      <c r="G271" s="1082">
        <v>1.0376408198298943</v>
      </c>
      <c r="H271" s="1082">
        <v>0.97972027518856664</v>
      </c>
      <c r="I271" s="1082">
        <v>0.98948890698438852</v>
      </c>
      <c r="K271">
        <v>2.355351539082672</v>
      </c>
      <c r="L271">
        <v>0</v>
      </c>
      <c r="M271">
        <v>1.5157508645264573E-3</v>
      </c>
      <c r="N271">
        <v>0.14457665212931653</v>
      </c>
      <c r="O271">
        <v>2.0438076104930234E-2</v>
      </c>
      <c r="P271">
        <v>2.818863634249413E-2</v>
      </c>
      <c r="Q271">
        <v>5.4326016849970257E-3</v>
      </c>
      <c r="R271">
        <v>1.4953291619310657E-3</v>
      </c>
      <c r="S271">
        <v>0.25020010442074953</v>
      </c>
      <c r="T271">
        <v>1.3372987097416831</v>
      </c>
      <c r="U271">
        <v>0.20471202176405562</v>
      </c>
      <c r="V271">
        <v>0.2497475796833431</v>
      </c>
      <c r="W271">
        <v>9.4103687613668913E-2</v>
      </c>
      <c r="X271">
        <v>1.6604098256375911E-2</v>
      </c>
      <c r="Y271">
        <v>4.0697930436506095E-3</v>
      </c>
    </row>
    <row r="272" spans="1:25" x14ac:dyDescent="0.2">
      <c r="A272" s="1077"/>
      <c r="B272" s="1444">
        <v>22</v>
      </c>
      <c r="C272" s="1082">
        <v>1.0203948073237696</v>
      </c>
      <c r="D272" s="1082">
        <v>1.0318063954961589</v>
      </c>
      <c r="E272" s="1082">
        <v>1.0189023263574626</v>
      </c>
      <c r="F272" s="1082">
        <v>1.0331711637610241</v>
      </c>
      <c r="G272" s="1082">
        <v>1.0170255409110232</v>
      </c>
      <c r="H272" s="1082">
        <v>0.95961959721674139</v>
      </c>
      <c r="I272" s="1082">
        <v>1.0047874863256148</v>
      </c>
      <c r="K272">
        <v>2.4304405605219244</v>
      </c>
      <c r="L272">
        <v>0</v>
      </c>
      <c r="M272">
        <v>1.4743943705221539E-3</v>
      </c>
      <c r="N272">
        <v>0.14198293882139781</v>
      </c>
      <c r="O272">
        <v>2.0437198888794923E-2</v>
      </c>
      <c r="P272">
        <v>2.9336049974838199E-2</v>
      </c>
      <c r="Q272">
        <v>5.4500476562872992E-3</v>
      </c>
      <c r="R272">
        <v>1.4541137717129667E-3</v>
      </c>
      <c r="S272">
        <v>0.24750710401622755</v>
      </c>
      <c r="T272">
        <v>1.417560626497292</v>
      </c>
      <c r="U272">
        <v>0.20780004968969579</v>
      </c>
      <c r="V272">
        <v>0.24712253481506011</v>
      </c>
      <c r="W272">
        <v>9.2238809114634779E-2</v>
      </c>
      <c r="X272">
        <v>1.7067863308379564E-2</v>
      </c>
      <c r="Y272">
        <v>3.957618338126679E-3</v>
      </c>
    </row>
    <row r="273" spans="1:25" x14ac:dyDescent="0.2">
      <c r="A273" s="1077"/>
      <c r="B273" s="1444">
        <v>23</v>
      </c>
      <c r="C273" s="1082">
        <v>1.0213899714144419</v>
      </c>
      <c r="D273" s="1082">
        <v>0.99581761293497117</v>
      </c>
      <c r="E273" s="1082">
        <v>1.0340252041648843</v>
      </c>
      <c r="F273" s="1082">
        <v>0.99979296667761441</v>
      </c>
      <c r="G273" s="1082">
        <v>1.0216374503863654</v>
      </c>
      <c r="H273" s="1082">
        <v>0.98012641399717193</v>
      </c>
      <c r="I273" s="1082">
        <v>1.0125993060308356</v>
      </c>
      <c r="K273">
        <v>2.4033545008350932</v>
      </c>
      <c r="L273">
        <v>0</v>
      </c>
      <c r="M273">
        <v>1.4692197942015536E-3</v>
      </c>
      <c r="N273">
        <v>0.14812902815337342</v>
      </c>
      <c r="O273">
        <v>2.058725475195642E-2</v>
      </c>
      <c r="P273">
        <v>2.9144240144567925E-2</v>
      </c>
      <c r="Q273">
        <v>5.5729294908848023E-3</v>
      </c>
      <c r="R273">
        <v>1.4494332068907413E-3</v>
      </c>
      <c r="S273">
        <v>0.25553133995144328</v>
      </c>
      <c r="T273">
        <v>1.3720928339756693</v>
      </c>
      <c r="U273">
        <v>0.20764839886376446</v>
      </c>
      <c r="V273">
        <v>0.24779554917031152</v>
      </c>
      <c r="W273">
        <v>9.5388196211494886E-2</v>
      </c>
      <c r="X273">
        <v>1.7539637325305734E-2</v>
      </c>
      <c r="Y273">
        <v>3.9448793836283592E-3</v>
      </c>
    </row>
    <row r="274" spans="1:25" x14ac:dyDescent="0.2">
      <c r="A274" s="1077"/>
      <c r="B274" s="1444">
        <v>24</v>
      </c>
      <c r="C274" s="1082">
        <v>0.99420595141678247</v>
      </c>
      <c r="D274" s="1082">
        <v>1.0154547318572322</v>
      </c>
      <c r="E274" s="1082">
        <v>1.0037488046959793</v>
      </c>
      <c r="F274" s="1082">
        <v>1.0216076910403622</v>
      </c>
      <c r="G274" s="1082">
        <v>0.9955732901182468</v>
      </c>
      <c r="H274" s="1082">
        <v>0.96927201994877576</v>
      </c>
      <c r="I274" s="1082">
        <v>1.0382623800034754</v>
      </c>
      <c r="K274">
        <v>2.4427468237588599</v>
      </c>
      <c r="L274">
        <v>0</v>
      </c>
      <c r="M274">
        <v>1.5828996751764775E-3</v>
      </c>
      <c r="N274">
        <v>0.14563636589796738</v>
      </c>
      <c r="O274">
        <v>2.1039291781960245E-2</v>
      </c>
      <c r="P274">
        <v>2.9078982565332357E-2</v>
      </c>
      <c r="Q274">
        <v>5.5263210753489196E-3</v>
      </c>
      <c r="R274">
        <v>1.5613433894115074E-3</v>
      </c>
      <c r="S274">
        <v>0.26532913023321292</v>
      </c>
      <c r="T274">
        <v>1.4013594059597403</v>
      </c>
      <c r="U274">
        <v>0.21322161940738391</v>
      </c>
      <c r="V274">
        <v>0.24512547718464386</v>
      </c>
      <c r="W274">
        <v>9.5460575899208144E-2</v>
      </c>
      <c r="X274">
        <v>1.6741748030560687E-2</v>
      </c>
      <c r="Y274">
        <v>4.2494620092681321E-3</v>
      </c>
    </row>
    <row r="275" spans="1:25" x14ac:dyDescent="0.2">
      <c r="A275" s="1077"/>
      <c r="B275" s="1444">
        <v>25</v>
      </c>
      <c r="C275" s="1082">
        <v>1.0041225231397448</v>
      </c>
      <c r="D275" s="1082">
        <v>0.96633742479874707</v>
      </c>
      <c r="E275" s="1082">
        <v>0.99156107400538962</v>
      </c>
      <c r="F275" s="1082">
        <v>1.0312733272384897</v>
      </c>
      <c r="G275" s="1082">
        <v>1.001462774840598</v>
      </c>
      <c r="H275" s="1082">
        <v>0.99382311392367795</v>
      </c>
      <c r="I275" s="1082">
        <v>0.97434402035158663</v>
      </c>
      <c r="K275">
        <v>2.4472046723257082</v>
      </c>
      <c r="L275">
        <v>0</v>
      </c>
      <c r="M275">
        <v>1.666168300562435E-3</v>
      </c>
      <c r="N275">
        <v>0.14780501349626574</v>
      </c>
      <c r="O275">
        <v>2.1051856915590604E-2</v>
      </c>
      <c r="P275">
        <v>2.8824522254066915E-2</v>
      </c>
      <c r="Q275">
        <v>5.4622050718010013E-3</v>
      </c>
      <c r="R275">
        <v>1.644038576798734E-3</v>
      </c>
      <c r="S275">
        <v>0.25472869957506661</v>
      </c>
      <c r="T275">
        <v>1.4143462359097247</v>
      </c>
      <c r="U275">
        <v>0.21107439883292756</v>
      </c>
      <c r="V275">
        <v>0.24555521815065454</v>
      </c>
      <c r="W275">
        <v>9.7587712028127285E-2</v>
      </c>
      <c r="X275">
        <v>1.6316408766371901E-2</v>
      </c>
      <c r="Y275">
        <v>4.474531048874966E-3</v>
      </c>
    </row>
    <row r="276" spans="1:25" x14ac:dyDescent="0.2">
      <c r="A276" s="1077"/>
      <c r="B276" s="1444">
        <v>26</v>
      </c>
      <c r="C276" s="1082">
        <v>0.96991767031154319</v>
      </c>
      <c r="D276" s="1082">
        <v>1.0159175904991105</v>
      </c>
      <c r="E276" s="1082">
        <v>0.98981847301445902</v>
      </c>
      <c r="F276" s="1082">
        <v>1.0014274334016149</v>
      </c>
      <c r="G276" s="1082">
        <v>0.95239899072818135</v>
      </c>
      <c r="H276" s="1082">
        <v>0.972098502313405</v>
      </c>
      <c r="I276" s="1082">
        <v>0.95640602205030745</v>
      </c>
      <c r="K276">
        <v>2.4032348481963113</v>
      </c>
      <c r="L276">
        <v>0</v>
      </c>
      <c r="M276">
        <v>1.6747844244499211E-3</v>
      </c>
      <c r="N276">
        <v>0.14774422722908251</v>
      </c>
      <c r="O276">
        <v>2.1554492956098098E-2</v>
      </c>
      <c r="P276">
        <v>2.819307658229743E-2</v>
      </c>
      <c r="Q276">
        <v>5.5827829823812359E-3</v>
      </c>
      <c r="R276">
        <v>1.6520431469517979E-3</v>
      </c>
      <c r="S276">
        <v>0.25059971750813748</v>
      </c>
      <c r="T276">
        <v>1.3733762269806775</v>
      </c>
      <c r="U276">
        <v>0.2185119588895626</v>
      </c>
      <c r="V276">
        <v>0.23937143323515844</v>
      </c>
      <c r="W276">
        <v>9.7649407954858172E-2</v>
      </c>
      <c r="X276">
        <v>1.6177948305428218E-2</v>
      </c>
      <c r="Y276">
        <v>4.4963168501257651E-3</v>
      </c>
    </row>
    <row r="277" spans="1:25" x14ac:dyDescent="0.2">
      <c r="A277" s="1077"/>
      <c r="B277" s="1444">
        <v>27</v>
      </c>
      <c r="C277" s="1082">
        <v>0.97454712872122939</v>
      </c>
      <c r="D277" s="1082">
        <v>0.99800900336740672</v>
      </c>
      <c r="E277" s="1082">
        <v>1.0150368692979981</v>
      </c>
      <c r="F277" s="1082">
        <v>0.99473801951676433</v>
      </c>
      <c r="G277" s="1082">
        <v>1.0047177978142074</v>
      </c>
      <c r="H277" s="1082">
        <v>1.0341114369577713</v>
      </c>
      <c r="I277" s="1082">
        <v>0.99505058012442771</v>
      </c>
      <c r="K277">
        <v>2.4414410582806041</v>
      </c>
      <c r="L277">
        <v>0</v>
      </c>
      <c r="M277">
        <v>1.6893538392127583E-3</v>
      </c>
      <c r="N277">
        <v>0.16095841343647332</v>
      </c>
      <c r="O277">
        <v>2.1553390163725126E-2</v>
      </c>
      <c r="P277">
        <v>2.8944532401646798E-2</v>
      </c>
      <c r="Q277">
        <v>5.7256238794197428E-3</v>
      </c>
      <c r="R277">
        <v>1.6677903269459373E-3</v>
      </c>
      <c r="S277">
        <v>0.26741647880405972</v>
      </c>
      <c r="T277">
        <v>1.3647450585443939</v>
      </c>
      <c r="U277">
        <v>0.21756243285547544</v>
      </c>
      <c r="V277">
        <v>0.24791295715994435</v>
      </c>
      <c r="W277">
        <v>0.10480348123050975</v>
      </c>
      <c r="X277">
        <v>1.730107783420589E-2</v>
      </c>
      <c r="Y277">
        <v>4.5391754830133224E-3</v>
      </c>
    </row>
    <row r="278" spans="1:25" x14ac:dyDescent="0.2">
      <c r="A278" s="1077"/>
      <c r="B278" s="1444">
        <v>28</v>
      </c>
      <c r="C278" s="1082">
        <v>0.9647339704138751</v>
      </c>
      <c r="D278" s="1082">
        <v>0.99651857588365755</v>
      </c>
      <c r="E278" s="1082">
        <v>1.0263169222064612</v>
      </c>
      <c r="F278" s="1082">
        <v>1.0102368855555437</v>
      </c>
      <c r="G278" s="1082">
        <v>0.97885659669162428</v>
      </c>
      <c r="H278" s="1082">
        <v>0.97162286067975268</v>
      </c>
      <c r="I278" s="1082">
        <v>0.98550993779343987</v>
      </c>
      <c r="K278">
        <v>2.4457316251255818</v>
      </c>
      <c r="L278">
        <v>0</v>
      </c>
      <c r="M278">
        <v>1.5667336060029556E-3</v>
      </c>
      <c r="N278">
        <v>0.15431389016544503</v>
      </c>
      <c r="O278">
        <v>2.1787578988874495E-2</v>
      </c>
      <c r="P278">
        <v>2.9392439020685175E-2</v>
      </c>
      <c r="Q278">
        <v>5.853081535014763E-3</v>
      </c>
      <c r="R278">
        <v>1.5454490961797434E-3</v>
      </c>
      <c r="S278">
        <v>0.26240272310166263</v>
      </c>
      <c r="T278">
        <v>1.3862564164554261</v>
      </c>
      <c r="U278">
        <v>0.21981554520062352</v>
      </c>
      <c r="V278">
        <v>0.24411184858499524</v>
      </c>
      <c r="W278">
        <v>9.9816528861934331E-2</v>
      </c>
      <c r="X278">
        <v>1.7796654738099417E-2</v>
      </c>
      <c r="Y278">
        <v>4.2062029826436271E-3</v>
      </c>
    </row>
    <row r="279" spans="1:25" x14ac:dyDescent="0.2">
      <c r="A279" s="1077"/>
      <c r="B279" s="1444">
        <v>29</v>
      </c>
      <c r="C279" s="1082">
        <v>1.0269153839518921</v>
      </c>
      <c r="D279" s="1082">
        <v>1.0014035670749091</v>
      </c>
      <c r="E279" s="1082">
        <v>1.0011644492026743</v>
      </c>
      <c r="F279" s="1082">
        <v>0.99601993260431998</v>
      </c>
      <c r="G279" s="1082">
        <v>0.9975237568988411</v>
      </c>
      <c r="H279" s="1082">
        <v>0.99988632912034014</v>
      </c>
      <c r="I279" s="1082">
        <v>0.97424515118722976</v>
      </c>
      <c r="K279">
        <v>2.3768461517320696</v>
      </c>
      <c r="L279">
        <v>0</v>
      </c>
      <c r="M279">
        <v>1.594264540212869E-3</v>
      </c>
      <c r="N279">
        <v>0.1456029120239781</v>
      </c>
      <c r="O279">
        <v>2.0430012118572444E-2</v>
      </c>
      <c r="P279">
        <v>2.8152310269003833E-2</v>
      </c>
      <c r="Q279">
        <v>5.3523803675664741E-3</v>
      </c>
      <c r="R279">
        <v>1.5732182296599219E-3</v>
      </c>
      <c r="S279">
        <v>0.24518334764670369</v>
      </c>
      <c r="T279">
        <v>1.366204473208334</v>
      </c>
      <c r="U279">
        <v>0.20642145300167178</v>
      </c>
      <c r="V279">
        <v>0.24346872266325367</v>
      </c>
      <c r="W279">
        <v>9.5585069786695717E-2</v>
      </c>
      <c r="X279">
        <v>1.6184735546957901E-2</v>
      </c>
      <c r="Y279">
        <v>4.2817814098842812E-3</v>
      </c>
    </row>
    <row r="280" spans="1:25" x14ac:dyDescent="0.2">
      <c r="A280" s="1077"/>
      <c r="B280" s="1444">
        <v>30</v>
      </c>
      <c r="C280" s="1082">
        <v>1.0093641577720476</v>
      </c>
      <c r="D280" s="1082">
        <v>0.99426611279209764</v>
      </c>
      <c r="E280" s="1082">
        <v>1.0256192215510938</v>
      </c>
      <c r="F280" s="1082">
        <v>1.00310916278939</v>
      </c>
      <c r="G280" s="1082">
        <v>0.97288253857387863</v>
      </c>
      <c r="H280" s="1082">
        <v>0.98312920681953564</v>
      </c>
      <c r="I280" s="1082">
        <v>1.0347348828567873</v>
      </c>
      <c r="K280">
        <v>2.4141487384392413</v>
      </c>
      <c r="L280">
        <v>0</v>
      </c>
      <c r="M280">
        <v>1.5181509450189331E-3</v>
      </c>
      <c r="N280">
        <v>0.14923857878212651</v>
      </c>
      <c r="O280">
        <v>2.0834124818922228E-2</v>
      </c>
      <c r="P280">
        <v>2.9083104561418376E-2</v>
      </c>
      <c r="Q280">
        <v>5.5930746404187475E-3</v>
      </c>
      <c r="R280">
        <v>1.4977678290994361E-3</v>
      </c>
      <c r="S280">
        <v>0.2646276076479499</v>
      </c>
      <c r="T280">
        <v>1.376460475444272</v>
      </c>
      <c r="U280">
        <v>0.21009377810599905</v>
      </c>
      <c r="V280">
        <v>0.24023387088358264</v>
      </c>
      <c r="W280">
        <v>9.6572837946553386E-2</v>
      </c>
      <c r="X280">
        <v>1.7355238432139732E-2</v>
      </c>
      <c r="Y280">
        <v>4.0764302917764995E-3</v>
      </c>
    </row>
    <row r="281" spans="1:25" x14ac:dyDescent="0.2">
      <c r="A281" s="1077"/>
      <c r="B281" s="1444">
        <v>31</v>
      </c>
      <c r="C281" s="1082">
        <v>0.95319609404477246</v>
      </c>
      <c r="D281" s="1082">
        <v>0.97737919651639504</v>
      </c>
      <c r="E281" s="1082">
        <v>1.0088081768367421</v>
      </c>
      <c r="F281" s="1082">
        <v>1.0289438872596401</v>
      </c>
      <c r="G281" s="1082">
        <v>1.0176946519673082</v>
      </c>
      <c r="H281" s="1082">
        <v>0.97047329010191619</v>
      </c>
      <c r="I281" s="1082">
        <v>1.0044825424822403</v>
      </c>
      <c r="K281">
        <v>2.4929386692313793</v>
      </c>
      <c r="L281">
        <v>0</v>
      </c>
      <c r="M281">
        <v>1.6495847869996557E-3</v>
      </c>
      <c r="N281">
        <v>0.15411107009384814</v>
      </c>
      <c r="O281">
        <v>2.2133301972897566E-2</v>
      </c>
      <c r="P281">
        <v>2.9649730388955218E-2</v>
      </c>
      <c r="Q281">
        <v>5.8432193497360311E-3</v>
      </c>
      <c r="R281">
        <v>1.627148175181792E-3</v>
      </c>
      <c r="S281">
        <v>0.27310136777507527</v>
      </c>
      <c r="T281">
        <v>1.4115353449302512</v>
      </c>
      <c r="U281">
        <v>0.22241332638379305</v>
      </c>
      <c r="V281">
        <v>0.25158479082387358</v>
      </c>
      <c r="W281">
        <v>0.10071370558761668</v>
      </c>
      <c r="X281">
        <v>1.7446687593555329E-2</v>
      </c>
      <c r="Y281">
        <v>4.4285609435930464E-3</v>
      </c>
    </row>
    <row r="282" spans="1:25" x14ac:dyDescent="0.2">
      <c r="A282" s="1077"/>
      <c r="B282" s="1444">
        <v>32</v>
      </c>
      <c r="C282" s="1081">
        <v>1.0101358120501884</v>
      </c>
      <c r="D282" s="1081">
        <v>1.0011102748788721</v>
      </c>
      <c r="E282" s="1081">
        <v>1.0270446335779611</v>
      </c>
      <c r="F282" s="1081">
        <v>0.96818511283179221</v>
      </c>
      <c r="G282" s="1081">
        <v>1.0261001038268052</v>
      </c>
      <c r="H282" s="1081">
        <v>0.96552281547964269</v>
      </c>
      <c r="I282" s="1081">
        <v>1.01159188880049</v>
      </c>
      <c r="K282">
        <v>2.3608664349774662</v>
      </c>
      <c r="L282">
        <v>0</v>
      </c>
      <c r="M282">
        <v>1.4831678721056482E-3</v>
      </c>
      <c r="N282">
        <v>0.14639132447729961</v>
      </c>
      <c r="O282">
        <v>2.0787754058357092E-2</v>
      </c>
      <c r="P282">
        <v>2.8451814164068768E-2</v>
      </c>
      <c r="Q282">
        <v>5.5885122533068793E-3</v>
      </c>
      <c r="R282">
        <v>1.4628913256471761E-3</v>
      </c>
      <c r="S282">
        <v>0.25613225152270275</v>
      </c>
      <c r="T282">
        <v>1.3285679019905381</v>
      </c>
      <c r="U282">
        <v>0.20993812781012572</v>
      </c>
      <c r="V282">
        <v>0.24926302811121601</v>
      </c>
      <c r="W282">
        <v>9.4651794201466341E-2</v>
      </c>
      <c r="X282">
        <v>1.7132694988424544E-2</v>
      </c>
      <c r="Y282">
        <v>3.9815079464157188E-3</v>
      </c>
    </row>
    <row r="283" spans="1:25" x14ac:dyDescent="0.2">
      <c r="A283" s="1077"/>
      <c r="B283" s="1444">
        <v>33</v>
      </c>
      <c r="C283" s="1081">
        <v>1.0075636193127977</v>
      </c>
      <c r="D283" s="1081">
        <v>1.0142207531112992</v>
      </c>
      <c r="E283" s="1081">
        <v>1.0000824040640413</v>
      </c>
      <c r="F283" s="1081">
        <v>1.024483148072983</v>
      </c>
      <c r="G283" s="1081">
        <v>0.99106188350552871</v>
      </c>
      <c r="H283" s="1081">
        <v>1.0150546325730772</v>
      </c>
      <c r="I283" s="1081">
        <v>0.99982752769232897</v>
      </c>
      <c r="K283">
        <v>2.4399390218905666</v>
      </c>
      <c r="L283">
        <v>0</v>
      </c>
      <c r="M283">
        <v>1.648621966433431E-3</v>
      </c>
      <c r="N283">
        <v>0.15010594196493657</v>
      </c>
      <c r="O283">
        <v>2.0763511592442344E-2</v>
      </c>
      <c r="P283">
        <v>2.8866040471461317E-2</v>
      </c>
      <c r="Q283">
        <v>5.4338413252032784E-3</v>
      </c>
      <c r="R283">
        <v>1.6271832942816758E-3</v>
      </c>
      <c r="S283">
        <v>0.25609694694773255</v>
      </c>
      <c r="T283">
        <v>1.4052224563854299</v>
      </c>
      <c r="U283">
        <v>0.21038241413011272</v>
      </c>
      <c r="V283">
        <v>0.24353607260311072</v>
      </c>
      <c r="W283">
        <v>9.8604570537827757E-2</v>
      </c>
      <c r="X283">
        <v>1.6520008078256411E-2</v>
      </c>
      <c r="Y283">
        <v>4.428656526205923E-3</v>
      </c>
    </row>
    <row r="284" spans="1:25" x14ac:dyDescent="0.2">
      <c r="A284" s="1077"/>
      <c r="B284" s="1444">
        <v>34</v>
      </c>
      <c r="C284" s="1081">
        <v>0.98499186465798971</v>
      </c>
      <c r="D284" s="1081">
        <v>1.0189278005074622</v>
      </c>
      <c r="E284" s="1081">
        <v>1.035351751818441</v>
      </c>
      <c r="F284" s="1081">
        <v>1.0051501170376007</v>
      </c>
      <c r="G284" s="1081">
        <v>0.99650868558409633</v>
      </c>
      <c r="H284" s="1081">
        <v>0.98974091791286833</v>
      </c>
      <c r="I284" s="1081">
        <v>1.0092616890652555</v>
      </c>
      <c r="K284">
        <v>2.4349292691141349</v>
      </c>
      <c r="L284">
        <v>0</v>
      </c>
      <c r="M284">
        <v>1.5264824985142514E-3</v>
      </c>
      <c r="N284">
        <v>0.15453930556188936</v>
      </c>
      <c r="O284">
        <v>2.1241426790235753E-2</v>
      </c>
      <c r="P284">
        <v>2.944419271552004E-2</v>
      </c>
      <c r="Q284">
        <v>5.7575395628344317E-3</v>
      </c>
      <c r="R284">
        <v>1.5061244323023634E-3</v>
      </c>
      <c r="S284">
        <v>0.26192452238150216</v>
      </c>
      <c r="T284">
        <v>1.3794738958421244</v>
      </c>
      <c r="U284">
        <v>0.21532619487301474</v>
      </c>
      <c r="V284">
        <v>0.24576236103928878</v>
      </c>
      <c r="W284">
        <v>9.9439796630038269E-2</v>
      </c>
      <c r="X284">
        <v>1.7941217572955255E-2</v>
      </c>
      <c r="Y284">
        <v>4.0991742109413587E-3</v>
      </c>
    </row>
    <row r="285" spans="1:25" x14ac:dyDescent="0.2">
      <c r="A285" s="1077"/>
      <c r="B285" s="1444">
        <v>35</v>
      </c>
      <c r="C285" s="1081">
        <v>0.960613217877203</v>
      </c>
      <c r="D285" s="1081">
        <v>0.97983088056255996</v>
      </c>
      <c r="E285" s="1081">
        <v>1.0087460371997041</v>
      </c>
      <c r="F285" s="1081">
        <v>0.99912960389713323</v>
      </c>
      <c r="G285" s="1081">
        <v>0.97841601170005366</v>
      </c>
      <c r="H285" s="1081">
        <v>1.0234321713330885</v>
      </c>
      <c r="I285" s="1081">
        <v>0.99940739088663766</v>
      </c>
      <c r="K285">
        <v>2.4549376155368865</v>
      </c>
      <c r="L285">
        <v>0</v>
      </c>
      <c r="M285">
        <v>1.7254425527012324E-3</v>
      </c>
      <c r="N285">
        <v>0.1612827748892956</v>
      </c>
      <c r="O285">
        <v>2.1950260757277695E-2</v>
      </c>
      <c r="P285">
        <v>2.8976204432263581E-2</v>
      </c>
      <c r="Q285">
        <v>5.7945360457500499E-3</v>
      </c>
      <c r="R285">
        <v>1.7031885745167319E-3</v>
      </c>
      <c r="S285">
        <v>0.27399040919999734</v>
      </c>
      <c r="T285">
        <v>1.3706338931032567</v>
      </c>
      <c r="U285">
        <v>0.22069579861119193</v>
      </c>
      <c r="V285">
        <v>0.24437351279064148</v>
      </c>
      <c r="W285">
        <v>0.10540437929458878</v>
      </c>
      <c r="X285">
        <v>1.722258254693463E-2</v>
      </c>
      <c r="Y285">
        <v>4.6355178438718487E-3</v>
      </c>
    </row>
    <row r="286" spans="1:25" x14ac:dyDescent="0.2">
      <c r="A286" s="1077"/>
      <c r="B286" s="1444">
        <v>36</v>
      </c>
      <c r="C286" s="1081">
        <v>1.0215937061674614</v>
      </c>
      <c r="D286" s="1081">
        <v>1.0451712040085608</v>
      </c>
      <c r="E286" s="1081">
        <v>1.0258011740410133</v>
      </c>
      <c r="F286" s="1081">
        <v>0.99420572147077002</v>
      </c>
      <c r="G286" s="1081">
        <v>1.0130555646857322</v>
      </c>
      <c r="H286" s="1081">
        <v>0.99380789560628213</v>
      </c>
      <c r="I286" s="1081">
        <v>1.0119675417070428</v>
      </c>
      <c r="K286">
        <v>2.3870674305728086</v>
      </c>
      <c r="L286">
        <v>0</v>
      </c>
      <c r="M286">
        <v>1.4991367701917406E-3</v>
      </c>
      <c r="N286">
        <v>0.14747187401349948</v>
      </c>
      <c r="O286">
        <v>2.0359953569972226E-2</v>
      </c>
      <c r="P286">
        <v>2.8767787991095067E-2</v>
      </c>
      <c r="Q286">
        <v>5.4667655445575719E-3</v>
      </c>
      <c r="R286">
        <v>1.4792252218698255E-3</v>
      </c>
      <c r="S286">
        <v>0.25029665152907443</v>
      </c>
      <c r="T286">
        <v>1.364247157967164</v>
      </c>
      <c r="U286">
        <v>0.20757934635955377</v>
      </c>
      <c r="V286">
        <v>0.24634843528066624</v>
      </c>
      <c r="W286">
        <v>9.5419484096158039E-2</v>
      </c>
      <c r="X286">
        <v>1.7103922341921138E-2</v>
      </c>
      <c r="Y286">
        <v>4.0259634274663276E-3</v>
      </c>
    </row>
    <row r="287" spans="1:25" x14ac:dyDescent="0.2">
      <c r="A287" s="1077"/>
      <c r="B287" s="1444">
        <v>37</v>
      </c>
      <c r="C287" s="1081">
        <v>1.0150862958034124</v>
      </c>
      <c r="D287" s="1081">
        <v>1.0009477661796247</v>
      </c>
      <c r="E287" s="1081">
        <v>0.98559730041476179</v>
      </c>
      <c r="F287" s="1081">
        <v>0.99398243548102871</v>
      </c>
      <c r="G287" s="1081">
        <v>0.99726136115658359</v>
      </c>
      <c r="H287" s="1081">
        <v>0.98818087939030153</v>
      </c>
      <c r="I287" s="1081">
        <v>0.99297927353598514</v>
      </c>
      <c r="K287">
        <v>2.3802796234761852</v>
      </c>
      <c r="L287">
        <v>0</v>
      </c>
      <c r="M287">
        <v>1.6463824189099114E-3</v>
      </c>
      <c r="N287">
        <v>0.14342868540337084</v>
      </c>
      <c r="O287">
        <v>2.0659993783556301E-2</v>
      </c>
      <c r="P287">
        <v>2.7913800787088196E-2</v>
      </c>
      <c r="Q287">
        <v>5.3282892644204204E-3</v>
      </c>
      <c r="R287">
        <v>1.6243906333625621E-3</v>
      </c>
      <c r="S287">
        <v>0.25177008298311643</v>
      </c>
      <c r="T287">
        <v>1.3630754988812237</v>
      </c>
      <c r="U287">
        <v>0.20877457439177938</v>
      </c>
      <c r="V287">
        <v>0.24418815454340143</v>
      </c>
      <c r="W287">
        <v>9.5037569982301978E-2</v>
      </c>
      <c r="X287">
        <v>1.5703909417690093E-2</v>
      </c>
      <c r="Y287">
        <v>4.421055823784519E-3</v>
      </c>
    </row>
    <row r="288" spans="1:25" x14ac:dyDescent="0.2">
      <c r="A288" s="1077"/>
      <c r="B288" s="1444">
        <v>38</v>
      </c>
      <c r="C288" s="1081">
        <v>1.0083174625138938</v>
      </c>
      <c r="D288" s="1081">
        <v>1.0167393542274208</v>
      </c>
      <c r="E288" s="1081">
        <v>0.98187353344194384</v>
      </c>
      <c r="F288" s="1081">
        <v>0.99680776694787543</v>
      </c>
      <c r="G288" s="1081">
        <v>0.97488921855815103</v>
      </c>
      <c r="H288" s="1081">
        <v>0.99222434878678623</v>
      </c>
      <c r="I288" s="1081">
        <v>1.009095470517295</v>
      </c>
      <c r="K288">
        <v>2.3873419766002901</v>
      </c>
      <c r="L288">
        <v>0</v>
      </c>
      <c r="M288">
        <v>1.6713224901477991E-3</v>
      </c>
      <c r="N288">
        <v>0.14397852741596825</v>
      </c>
      <c r="O288">
        <v>2.072474597743142E-2</v>
      </c>
      <c r="P288">
        <v>2.7914644773403881E-2</v>
      </c>
      <c r="Q288">
        <v>5.3248392813377305E-3</v>
      </c>
      <c r="R288">
        <v>1.6490885416437552E-3</v>
      </c>
      <c r="S288">
        <v>0.25587544114190303</v>
      </c>
      <c r="T288">
        <v>1.3668699402768951</v>
      </c>
      <c r="U288">
        <v>0.21016348686440245</v>
      </c>
      <c r="V288">
        <v>0.24079176275868724</v>
      </c>
      <c r="W288">
        <v>9.5616018899839783E-2</v>
      </c>
      <c r="X288">
        <v>1.5616527770463951E-2</v>
      </c>
      <c r="Y288">
        <v>4.48827538846265E-3</v>
      </c>
    </row>
    <row r="289" spans="1:25" x14ac:dyDescent="0.2">
      <c r="A289" s="1077"/>
      <c r="B289" s="1444">
        <v>39</v>
      </c>
      <c r="C289" s="1081">
        <v>1.0142106977867851</v>
      </c>
      <c r="D289" s="1081">
        <v>1.0127938847847655</v>
      </c>
      <c r="E289" s="1081">
        <v>0.98587094763236405</v>
      </c>
      <c r="F289" s="1081">
        <v>0.96694656950277269</v>
      </c>
      <c r="G289" s="1081">
        <v>0.96138294007349323</v>
      </c>
      <c r="H289" s="1081">
        <v>0.97816974934163359</v>
      </c>
      <c r="I289" s="1081">
        <v>0.96910309338791001</v>
      </c>
      <c r="K289">
        <v>2.3253807360778356</v>
      </c>
      <c r="L289">
        <v>0</v>
      </c>
      <c r="M289">
        <v>1.6259724675607419E-3</v>
      </c>
      <c r="N289">
        <v>0.14174825911074079</v>
      </c>
      <c r="O289">
        <v>2.0624555211705097E-2</v>
      </c>
      <c r="P289">
        <v>2.7230147371810027E-2</v>
      </c>
      <c r="Q289">
        <v>5.3206244588447889E-3</v>
      </c>
      <c r="R289">
        <v>1.6040310249607044E-3</v>
      </c>
      <c r="S289">
        <v>0.24367398918842206</v>
      </c>
      <c r="T289">
        <v>1.326006177172141</v>
      </c>
      <c r="U289">
        <v>0.20895573582582075</v>
      </c>
      <c r="V289">
        <v>0.23811077500237152</v>
      </c>
      <c r="W289">
        <v>9.3908651432423218E-2</v>
      </c>
      <c r="X289">
        <v>1.5458119064900791E-2</v>
      </c>
      <c r="Y289">
        <v>4.3656436812577696E-3</v>
      </c>
    </row>
    <row r="290" spans="1:25" x14ac:dyDescent="0.2">
      <c r="A290" s="1077"/>
      <c r="B290" s="1444">
        <v>40</v>
      </c>
      <c r="C290" s="1081">
        <v>1.0189090350459034</v>
      </c>
      <c r="D290" s="1081">
        <v>0.97328440257151561</v>
      </c>
      <c r="E290" s="1081">
        <v>1.019776935039848</v>
      </c>
      <c r="F290" s="1081">
        <v>0.97912199107852527</v>
      </c>
      <c r="G290" s="1081">
        <v>1.0047748863318191</v>
      </c>
      <c r="H290" s="1081">
        <v>1.0138065835587953</v>
      </c>
      <c r="I290" s="1081">
        <v>0.9681864493212865</v>
      </c>
      <c r="K290">
        <v>2.374152554157702</v>
      </c>
      <c r="L290">
        <v>0</v>
      </c>
      <c r="M290">
        <v>1.5772157784718494E-3</v>
      </c>
      <c r="N290">
        <v>0.15239937328126746</v>
      </c>
      <c r="O290">
        <v>2.0732186073380291E-2</v>
      </c>
      <c r="P290">
        <v>2.8344701441565298E-2</v>
      </c>
      <c r="Q290">
        <v>5.5335237358219236E-3</v>
      </c>
      <c r="R290">
        <v>1.5566804230307217E-3</v>
      </c>
      <c r="S290">
        <v>0.25039233528310728</v>
      </c>
      <c r="T290">
        <v>1.3434211487573302</v>
      </c>
      <c r="U290">
        <v>0.20810600635162638</v>
      </c>
      <c r="V290">
        <v>0.2451176623946954</v>
      </c>
      <c r="W290">
        <v>9.8955142021076331E-2</v>
      </c>
      <c r="X290">
        <v>1.6934239221346455E-2</v>
      </c>
      <c r="Y290">
        <v>4.2367709519260882E-3</v>
      </c>
    </row>
    <row r="291" spans="1:25" x14ac:dyDescent="0.2">
      <c r="A291" s="1077"/>
      <c r="B291" s="1444">
        <v>41</v>
      </c>
      <c r="C291" s="1081">
        <v>1.0035466697716833</v>
      </c>
      <c r="D291" s="1081">
        <v>1.0187594177153729</v>
      </c>
      <c r="E291" s="1081">
        <v>0.97265279442961938</v>
      </c>
      <c r="F291" s="1081">
        <v>0.9993771665558151</v>
      </c>
      <c r="G291" s="1081">
        <v>1.0109299778175311</v>
      </c>
      <c r="H291" s="1081">
        <v>0.99513242010057223</v>
      </c>
      <c r="I291" s="1081">
        <v>0.99120277138046109</v>
      </c>
      <c r="K291">
        <v>2.3946548040430446</v>
      </c>
      <c r="L291">
        <v>0</v>
      </c>
      <c r="M291">
        <v>1.7158454792254251E-3</v>
      </c>
      <c r="N291">
        <v>0.14375203820586815</v>
      </c>
      <c r="O291">
        <v>2.080812840746667E-2</v>
      </c>
      <c r="P291">
        <v>2.7817798542718229E-2</v>
      </c>
      <c r="Q291">
        <v>5.2963162995051808E-3</v>
      </c>
      <c r="R291">
        <v>1.6930859372423016E-3</v>
      </c>
      <c r="S291">
        <v>0.25245291142642651</v>
      </c>
      <c r="T291">
        <v>1.3701948556853341</v>
      </c>
      <c r="U291">
        <v>0.2111312977691128</v>
      </c>
      <c r="V291">
        <v>0.24727805977061179</v>
      </c>
      <c r="W291">
        <v>9.5999776224378372E-2</v>
      </c>
      <c r="X291">
        <v>1.5338359458058609E-2</v>
      </c>
      <c r="Y291">
        <v>4.6080217955443339E-3</v>
      </c>
    </row>
    <row r="292" spans="1:25" x14ac:dyDescent="0.2">
      <c r="A292" s="1077"/>
      <c r="B292" s="1444">
        <v>42</v>
      </c>
      <c r="C292" s="1081">
        <v>1.0000266065316228</v>
      </c>
      <c r="D292" s="1081">
        <v>0.96482295933233864</v>
      </c>
      <c r="E292" s="1081">
        <v>0.97295210543607014</v>
      </c>
      <c r="F292" s="1081">
        <v>0.99653556637950702</v>
      </c>
      <c r="G292" s="1081">
        <v>0.99985017101488172</v>
      </c>
      <c r="H292" s="1081">
        <v>0.97806532552810843</v>
      </c>
      <c r="I292" s="1081">
        <v>0.99052622493520448</v>
      </c>
      <c r="K292">
        <v>2.3962007238733323</v>
      </c>
      <c r="L292">
        <v>0</v>
      </c>
      <c r="M292">
        <v>1.7116697816337634E-3</v>
      </c>
      <c r="N292">
        <v>0.14349852789138043</v>
      </c>
      <c r="O292">
        <v>2.1132964149260674E-2</v>
      </c>
      <c r="P292">
        <v>2.7843735726079899E-2</v>
      </c>
      <c r="Q292">
        <v>5.3806403233070121E-3</v>
      </c>
      <c r="R292">
        <v>1.6885694433690251E-3</v>
      </c>
      <c r="S292">
        <v>0.25873652276085168</v>
      </c>
      <c r="T292">
        <v>1.3663052978734647</v>
      </c>
      <c r="U292">
        <v>0.21187549209104656</v>
      </c>
      <c r="V292">
        <v>0.24560213242153445</v>
      </c>
      <c r="W292">
        <v>9.5813061103502198E-2</v>
      </c>
      <c r="X292">
        <v>1.5439720483086289E-2</v>
      </c>
      <c r="Y292">
        <v>4.5957293880830793E-3</v>
      </c>
    </row>
    <row r="293" spans="1:25" x14ac:dyDescent="0.2">
      <c r="A293" s="1077"/>
      <c r="B293" s="1444">
        <v>43</v>
      </c>
      <c r="C293" s="1081">
        <v>1.018291391308084</v>
      </c>
      <c r="D293" s="1081">
        <v>0.99750746905918564</v>
      </c>
      <c r="E293" s="1081">
        <v>1.0363724414706896</v>
      </c>
      <c r="F293" s="1081">
        <v>0.99763793740807316</v>
      </c>
      <c r="G293" s="1081">
        <v>1.0117972957169974</v>
      </c>
      <c r="H293" s="1081">
        <v>1.0403008421208304</v>
      </c>
      <c r="I293" s="1081">
        <v>1.0072509143747665</v>
      </c>
      <c r="K293">
        <v>2.4207671900233838</v>
      </c>
      <c r="L293">
        <v>0</v>
      </c>
      <c r="M293">
        <v>1.555948872596155E-3</v>
      </c>
      <c r="N293">
        <v>0.15811147311635876</v>
      </c>
      <c r="O293">
        <v>2.0643737624167432E-2</v>
      </c>
      <c r="P293">
        <v>2.9201140688267006E-2</v>
      </c>
      <c r="Q293">
        <v>5.601165926194163E-3</v>
      </c>
      <c r="R293">
        <v>1.5362063524152305E-3</v>
      </c>
      <c r="S293">
        <v>0.25982860012785769</v>
      </c>
      <c r="T293">
        <v>1.3691863127273087</v>
      </c>
      <c r="U293">
        <v>0.2082881773163533</v>
      </c>
      <c r="V293">
        <v>0.24629442838015972</v>
      </c>
      <c r="W293">
        <v>0.10167835772038893</v>
      </c>
      <c r="X293">
        <v>1.7772491635521383E-2</v>
      </c>
      <c r="Y293">
        <v>4.1810472809862831E-3</v>
      </c>
    </row>
    <row r="294" spans="1:25" x14ac:dyDescent="0.2">
      <c r="A294" s="1077"/>
      <c r="B294" s="1444">
        <v>44</v>
      </c>
      <c r="C294" s="1081">
        <v>0.99824428203641158</v>
      </c>
      <c r="D294" s="1081">
        <v>1.0086008868099228</v>
      </c>
      <c r="E294" s="1081">
        <v>0.97653831127866919</v>
      </c>
      <c r="F294" s="1081">
        <v>1.0168835329567929</v>
      </c>
      <c r="G294" s="1081">
        <v>1.0211145777163189</v>
      </c>
      <c r="H294" s="1081">
        <v>0.98704181219473819</v>
      </c>
      <c r="I294" s="1081">
        <v>0.96096087010066633</v>
      </c>
      <c r="K294">
        <v>2.4174533818913426</v>
      </c>
      <c r="L294">
        <v>0</v>
      </c>
      <c r="M294">
        <v>1.7010019705138843E-3</v>
      </c>
      <c r="N294">
        <v>0.14417850012878256</v>
      </c>
      <c r="O294">
        <v>2.0967393993993375E-2</v>
      </c>
      <c r="P294">
        <v>2.8188311083237775E-2</v>
      </c>
      <c r="Q294">
        <v>5.358036272263271E-3</v>
      </c>
      <c r="R294">
        <v>1.6782543756488075E-3</v>
      </c>
      <c r="S294">
        <v>0.24665483097708538</v>
      </c>
      <c r="T294">
        <v>1.3942819435755129</v>
      </c>
      <c r="U294">
        <v>0.21226601702504894</v>
      </c>
      <c r="V294">
        <v>0.24933405989704951</v>
      </c>
      <c r="W294">
        <v>9.6057971005799381E-2</v>
      </c>
      <c r="X294">
        <v>1.56214103533222E-2</v>
      </c>
      <c r="Y294">
        <v>4.5676551741098068E-3</v>
      </c>
    </row>
    <row r="295" spans="1:25" x14ac:dyDescent="0.2">
      <c r="A295" s="1077"/>
      <c r="B295" s="1444">
        <v>45</v>
      </c>
      <c r="C295" s="1081">
        <v>0.99814429610061739</v>
      </c>
      <c r="D295" s="1081">
        <v>0.99205638794075235</v>
      </c>
      <c r="E295" s="1081">
        <v>1.0008460317851122</v>
      </c>
      <c r="F295" s="1081">
        <v>1.0130969833523755</v>
      </c>
      <c r="G295" s="1081">
        <v>1.0174499853366501</v>
      </c>
      <c r="H295" s="1081">
        <v>0.9910024267777614</v>
      </c>
      <c r="I295" s="1081">
        <v>0.98132282476923227</v>
      </c>
      <c r="K295">
        <v>2.4277557606973494</v>
      </c>
      <c r="L295">
        <v>0</v>
      </c>
      <c r="M295">
        <v>1.6300792141599569E-3</v>
      </c>
      <c r="N295">
        <v>0.14871286257727959</v>
      </c>
      <c r="O295">
        <v>2.1062096182041981E-2</v>
      </c>
      <c r="P295">
        <v>2.8744685720703766E-2</v>
      </c>
      <c r="Q295">
        <v>5.5162127867507691E-3</v>
      </c>
      <c r="R295">
        <v>1.608367195178699E-3</v>
      </c>
      <c r="S295">
        <v>0.25453349305719486</v>
      </c>
      <c r="T295">
        <v>1.3896214668881899</v>
      </c>
      <c r="U295">
        <v>0.21237037359906716</v>
      </c>
      <c r="V295">
        <v>0.24862397075089049</v>
      </c>
      <c r="W295">
        <v>9.7645146006932651E-2</v>
      </c>
      <c r="X295">
        <v>1.6569719840106821E-2</v>
      </c>
      <c r="Y295">
        <v>4.377445307173022E-3</v>
      </c>
    </row>
    <row r="296" spans="1:25" x14ac:dyDescent="0.2">
      <c r="A296" s="1077"/>
      <c r="B296" s="1444">
        <v>46</v>
      </c>
      <c r="C296" s="1081">
        <v>1.0186586930627108</v>
      </c>
      <c r="D296" s="1081">
        <v>0.97233047048062848</v>
      </c>
      <c r="E296" s="1081">
        <v>1.0168487411368425</v>
      </c>
      <c r="F296" s="1081">
        <v>1.0039280308467187</v>
      </c>
      <c r="G296" s="1081">
        <v>1.0036477666426566</v>
      </c>
      <c r="H296" s="1081">
        <v>1.0160269566188163</v>
      </c>
      <c r="I296" s="1081">
        <v>1.0211093365747623</v>
      </c>
      <c r="K296">
        <v>2.4229552673643684</v>
      </c>
      <c r="L296">
        <v>0</v>
      </c>
      <c r="M296">
        <v>1.5910614260475435E-3</v>
      </c>
      <c r="N296">
        <v>0.15238935137778004</v>
      </c>
      <c r="O296">
        <v>2.0739830329167156E-2</v>
      </c>
      <c r="P296">
        <v>2.8945696713195756E-2</v>
      </c>
      <c r="Q296">
        <v>5.5194582401478613E-3</v>
      </c>
      <c r="R296">
        <v>1.5703910710856035E-3</v>
      </c>
      <c r="S296">
        <v>0.26444055991107901</v>
      </c>
      <c r="T296">
        <v>1.3773928916775273</v>
      </c>
      <c r="U296">
        <v>0.20814729630257853</v>
      </c>
      <c r="V296">
        <v>0.24495074028914524</v>
      </c>
      <c r="W296">
        <v>9.911851916918539E-2</v>
      </c>
      <c r="X296">
        <v>1.7057506893305294E-2</v>
      </c>
      <c r="Y296">
        <v>4.2740868162175587E-3</v>
      </c>
    </row>
    <row r="297" spans="1:25" x14ac:dyDescent="0.2">
      <c r="A297" s="1077"/>
      <c r="B297" s="1444">
        <v>47</v>
      </c>
      <c r="C297" s="1081">
        <v>0.99784949335988193</v>
      </c>
      <c r="D297" s="1081">
        <v>0.98321835664379187</v>
      </c>
      <c r="E297" s="1081">
        <v>0.98890855033777181</v>
      </c>
      <c r="F297" s="1081">
        <v>0.99099986251348282</v>
      </c>
      <c r="G297" s="1081">
        <v>1.0092092131960164</v>
      </c>
      <c r="H297" s="1081">
        <v>1.0102636567667393</v>
      </c>
      <c r="I297" s="1081">
        <v>1.0358203319284081</v>
      </c>
      <c r="K297">
        <v>2.4154321718315335</v>
      </c>
      <c r="L297">
        <v>0</v>
      </c>
      <c r="M297">
        <v>1.707251175694957E-3</v>
      </c>
      <c r="N297">
        <v>0.15027265987880062</v>
      </c>
      <c r="O297">
        <v>2.1101874275762454E-2</v>
      </c>
      <c r="P297">
        <v>2.8287893882406719E-2</v>
      </c>
      <c r="Q297">
        <v>5.4605249570908558E-3</v>
      </c>
      <c r="R297">
        <v>1.6849448053220396E-3</v>
      </c>
      <c r="S297">
        <v>0.27156604450280047</v>
      </c>
      <c r="T297">
        <v>1.3590562014920737</v>
      </c>
      <c r="U297">
        <v>0.21239225598369821</v>
      </c>
      <c r="V297">
        <v>0.2472786911220165</v>
      </c>
      <c r="W297">
        <v>9.937472048111877E-2</v>
      </c>
      <c r="X297">
        <v>1.6077747307954894E-2</v>
      </c>
      <c r="Y297">
        <v>4.5858643181807945E-3</v>
      </c>
    </row>
    <row r="298" spans="1:25" x14ac:dyDescent="0.2">
      <c r="A298" s="1077"/>
      <c r="B298" s="1444">
        <v>48</v>
      </c>
      <c r="C298" s="1081">
        <v>1.0210766322806066</v>
      </c>
      <c r="D298" s="1081">
        <v>0.99447630426096112</v>
      </c>
      <c r="E298" s="1081">
        <v>1.0172753466629016</v>
      </c>
      <c r="F298" s="1081">
        <v>1.0199290644724655</v>
      </c>
      <c r="G298" s="1081">
        <v>0.98737211849827855</v>
      </c>
      <c r="H298" s="1081">
        <v>0.98113445837472768</v>
      </c>
      <c r="I298" s="1081">
        <v>1.0441664554572287</v>
      </c>
      <c r="K298">
        <v>2.4301989672447659</v>
      </c>
      <c r="L298">
        <v>0</v>
      </c>
      <c r="M298">
        <v>1.5238547231029415E-3</v>
      </c>
      <c r="N298">
        <v>0.14607198915281075</v>
      </c>
      <c r="O298">
        <v>2.0588737162429767E-2</v>
      </c>
      <c r="P298">
        <v>2.9200950321216366E-2</v>
      </c>
      <c r="Q298">
        <v>5.481576100761526E-3</v>
      </c>
      <c r="R298">
        <v>1.5033534299841737E-3</v>
      </c>
      <c r="S298">
        <v>0.263704823753109</v>
      </c>
      <c r="T298">
        <v>1.3993558100475152</v>
      </c>
      <c r="U298">
        <v>0.20765582931220414</v>
      </c>
      <c r="V298">
        <v>0.24202606655730893</v>
      </c>
      <c r="W298">
        <v>9.4985755834143704E-2</v>
      </c>
      <c r="X298">
        <v>1.7056297840293867E-2</v>
      </c>
      <c r="Y298">
        <v>4.0916324560919164E-3</v>
      </c>
    </row>
    <row r="299" spans="1:25" x14ac:dyDescent="0.2">
      <c r="A299" s="1077"/>
      <c r="B299" s="1444">
        <v>49</v>
      </c>
      <c r="C299" s="1081">
        <v>0.9918972492906355</v>
      </c>
      <c r="D299" s="1081">
        <v>0.99795742033377</v>
      </c>
      <c r="E299" s="1081">
        <v>1.0008320334510441</v>
      </c>
      <c r="F299" s="1081">
        <v>1.0251388318942001</v>
      </c>
      <c r="G299" s="1081">
        <v>1.0148150767390005</v>
      </c>
      <c r="H299" s="1081">
        <v>1.0242738177625528</v>
      </c>
      <c r="I299" s="1081">
        <v>0.96495424943385688</v>
      </c>
      <c r="K299">
        <v>2.455227065236822</v>
      </c>
      <c r="L299">
        <v>0</v>
      </c>
      <c r="M299">
        <v>1.6932562016325921E-3</v>
      </c>
      <c r="N299">
        <v>0.15453773022505782</v>
      </c>
      <c r="O299">
        <v>2.1167101825746985E-2</v>
      </c>
      <c r="P299">
        <v>2.897834828340061E-2</v>
      </c>
      <c r="Q299">
        <v>5.543636045177729E-3</v>
      </c>
      <c r="R299">
        <v>1.671435293455846E-3</v>
      </c>
      <c r="S299">
        <v>0.25386957293837659</v>
      </c>
      <c r="T299">
        <v>1.4061384410977282</v>
      </c>
      <c r="U299">
        <v>0.21370785065126205</v>
      </c>
      <c r="V299">
        <v>0.24856776304887299</v>
      </c>
      <c r="W299">
        <v>0.10147060874588697</v>
      </c>
      <c r="X299">
        <v>1.6718737403196886E-2</v>
      </c>
      <c r="Y299">
        <v>4.5490958802904069E-3</v>
      </c>
    </row>
    <row r="300" spans="1:25" x14ac:dyDescent="0.2">
      <c r="A300" s="1077"/>
      <c r="B300" s="1444">
        <v>50</v>
      </c>
      <c r="C300" s="1081">
        <v>0.98932808557709295</v>
      </c>
      <c r="D300" s="1081">
        <v>0.99615477999296176</v>
      </c>
      <c r="E300" s="1081">
        <v>0.95748830203462054</v>
      </c>
      <c r="F300" s="1081">
        <v>1.0274466602873982</v>
      </c>
      <c r="G300" s="1081">
        <v>1.0064182026118083</v>
      </c>
      <c r="H300" s="1081">
        <v>0.96841087977512619</v>
      </c>
      <c r="I300" s="1081">
        <v>0.9919950418449851</v>
      </c>
      <c r="K300">
        <v>2.4362610193932923</v>
      </c>
      <c r="L300">
        <v>0</v>
      </c>
      <c r="M300">
        <v>1.7562380849759072E-3</v>
      </c>
      <c r="N300">
        <v>0.14047842755059425</v>
      </c>
      <c r="O300">
        <v>2.1201510197527692E-2</v>
      </c>
      <c r="P300">
        <v>2.8098097811529214E-2</v>
      </c>
      <c r="Q300">
        <v>5.3132207975140709E-3</v>
      </c>
      <c r="R300">
        <v>1.7322999699617265E-3</v>
      </c>
      <c r="S300">
        <v>0.25677739588642173</v>
      </c>
      <c r="T300">
        <v>1.4083449881986643</v>
      </c>
      <c r="U300">
        <v>0.21411357342252846</v>
      </c>
      <c r="V300">
        <v>0.2474567666975829</v>
      </c>
      <c r="W300">
        <v>9.4686917500815967E-2</v>
      </c>
      <c r="X300">
        <v>1.5099309979421646E-2</v>
      </c>
      <c r="Y300">
        <v>4.7147494657041938E-3</v>
      </c>
    </row>
    <row r="301" spans="1:25" x14ac:dyDescent="0.2">
      <c r="A301" s="1077"/>
      <c r="B301" s="1444">
        <v>51</v>
      </c>
      <c r="C301" s="1081">
        <v>0.97705662364523971</v>
      </c>
      <c r="D301" s="1081">
        <v>0.98129427395346092</v>
      </c>
      <c r="E301" s="1081">
        <v>0.99590513465592889</v>
      </c>
      <c r="F301" s="1081">
        <v>0.96424095873300952</v>
      </c>
      <c r="G301" s="1081">
        <v>1.0086772388886958</v>
      </c>
      <c r="H301" s="1081">
        <v>0.99084357280634672</v>
      </c>
      <c r="I301" s="1081">
        <v>0.96115562553205247</v>
      </c>
      <c r="K301">
        <v>2.3710658734102839</v>
      </c>
      <c r="L301">
        <v>0</v>
      </c>
      <c r="M301">
        <v>1.6861832717080982E-3</v>
      </c>
      <c r="N301">
        <v>0.1515513989266393</v>
      </c>
      <c r="O301">
        <v>2.1565001866467436E-2</v>
      </c>
      <c r="P301">
        <v>2.7806537734687633E-2</v>
      </c>
      <c r="Q301">
        <v>5.619919045300438E-3</v>
      </c>
      <c r="R301">
        <v>1.6637203678561323E-3</v>
      </c>
      <c r="S301">
        <v>0.25603206294643427</v>
      </c>
      <c r="T301">
        <v>1.3225047556891871</v>
      </c>
      <c r="U301">
        <v>0.21693665148041422</v>
      </c>
      <c r="V301">
        <v>0.24849285567893353</v>
      </c>
      <c r="W301">
        <v>9.980195800581966E-2</v>
      </c>
      <c r="X301">
        <v>1.6249096544217773E-2</v>
      </c>
      <c r="Y301">
        <v>4.5280983960325266E-3</v>
      </c>
    </row>
    <row r="302" spans="1:25" x14ac:dyDescent="0.2">
      <c r="A302" s="1077"/>
      <c r="B302" s="1444">
        <v>52</v>
      </c>
      <c r="C302" s="1081">
        <v>0.97258083368298209</v>
      </c>
      <c r="D302" s="1081">
        <v>0.97893148059901414</v>
      </c>
      <c r="E302" s="1081">
        <v>0.99317439768830029</v>
      </c>
      <c r="F302" s="1081">
        <v>1.0186396241497446</v>
      </c>
      <c r="G302" s="1081">
        <v>1.0094388321042362</v>
      </c>
      <c r="H302" s="1081">
        <v>0.99961060616418196</v>
      </c>
      <c r="I302" s="1081">
        <v>1.0294720799509403</v>
      </c>
      <c r="K302">
        <v>2.4725202670965261</v>
      </c>
      <c r="L302">
        <v>0</v>
      </c>
      <c r="M302">
        <v>1.719542104043265E-3</v>
      </c>
      <c r="N302">
        <v>0.15329746795553495</v>
      </c>
      <c r="O302">
        <v>2.1673865784044441E-2</v>
      </c>
      <c r="P302">
        <v>2.9060404053634255E-2</v>
      </c>
      <c r="Q302">
        <v>5.6327599335623865E-3</v>
      </c>
      <c r="R302">
        <v>1.6968357096381784E-3</v>
      </c>
      <c r="S302">
        <v>0.27659636773719209</v>
      </c>
      <c r="T302">
        <v>1.3970551537014737</v>
      </c>
      <c r="U302">
        <v>0.21792539873758709</v>
      </c>
      <c r="V302">
        <v>0.24892667316700659</v>
      </c>
      <c r="W302">
        <v>0.10111649350624445</v>
      </c>
      <c r="X302">
        <v>1.6640161474753203E-2</v>
      </c>
      <c r="Y302">
        <v>4.6182274398937724E-3</v>
      </c>
    </row>
    <row r="303" spans="1:25" x14ac:dyDescent="0.2">
      <c r="A303" s="1077"/>
      <c r="B303" s="1444">
        <v>53</v>
      </c>
      <c r="C303" s="1081">
        <v>1.0018776546383041</v>
      </c>
      <c r="D303" s="1081">
        <v>0.99142491756315188</v>
      </c>
      <c r="E303" s="1081">
        <v>1.0049035116114018</v>
      </c>
      <c r="F303" s="1081">
        <v>0.9815557280506586</v>
      </c>
      <c r="G303" s="1081">
        <v>1.0031582939519006</v>
      </c>
      <c r="H303" s="1081">
        <v>0.99072319136829678</v>
      </c>
      <c r="I303" s="1081">
        <v>1.0015910375994868</v>
      </c>
      <c r="K303">
        <v>2.3845631944857488</v>
      </c>
      <c r="L303">
        <v>0</v>
      </c>
      <c r="M303">
        <v>1.6101596828361868E-3</v>
      </c>
      <c r="N303">
        <v>0.14870644911655168</v>
      </c>
      <c r="O303">
        <v>2.0989244916722834E-2</v>
      </c>
      <c r="P303">
        <v>2.8252731045544936E-2</v>
      </c>
      <c r="Q303">
        <v>5.5195629072024126E-3</v>
      </c>
      <c r="R303">
        <v>1.588706939484719E-3</v>
      </c>
      <c r="S303">
        <v>0.2589148480765624</v>
      </c>
      <c r="T303">
        <v>1.3464438738377302</v>
      </c>
      <c r="U303">
        <v>0.21159285440006192</v>
      </c>
      <c r="V303">
        <v>0.24593591923186128</v>
      </c>
      <c r="W303">
        <v>9.7406285460121506E-2</v>
      </c>
      <c r="X303">
        <v>1.6498941664563366E-2</v>
      </c>
      <c r="Y303">
        <v>4.3239365721755565E-3</v>
      </c>
    </row>
    <row r="304" spans="1:25" x14ac:dyDescent="0.2">
      <c r="A304" s="1077"/>
      <c r="B304" s="1444">
        <v>54</v>
      </c>
      <c r="C304" s="1081">
        <v>1.0208102330082884</v>
      </c>
      <c r="D304" s="1081">
        <v>1.0059231320645039</v>
      </c>
      <c r="E304" s="1081">
        <v>1.0139001760297768</v>
      </c>
      <c r="F304" s="1081">
        <v>0.99765645170222983</v>
      </c>
      <c r="G304" s="1081">
        <v>0.98684818894058346</v>
      </c>
      <c r="H304" s="1081">
        <v>0.97840692120769868</v>
      </c>
      <c r="I304" s="1081">
        <v>0.96746211061221798</v>
      </c>
      <c r="K304">
        <v>2.3755523168695833</v>
      </c>
      <c r="L304">
        <v>0</v>
      </c>
      <c r="M304">
        <v>1.5268706072873179E-3</v>
      </c>
      <c r="N304">
        <v>0.14487238663835597</v>
      </c>
      <c r="O304">
        <v>2.0540126232322518E-2</v>
      </c>
      <c r="P304">
        <v>2.8417063329538608E-2</v>
      </c>
      <c r="Q304">
        <v>5.4502706204588259E-3</v>
      </c>
      <c r="R304">
        <v>1.5062714745058053E-3</v>
      </c>
      <c r="S304">
        <v>0.24274957164924443</v>
      </c>
      <c r="T304">
        <v>1.368724445954302</v>
      </c>
      <c r="U304">
        <v>0.20769869195207591</v>
      </c>
      <c r="V304">
        <v>0.24196434627030786</v>
      </c>
      <c r="W304">
        <v>9.4392549780155571E-2</v>
      </c>
      <c r="X304">
        <v>1.6663889164255714E-2</v>
      </c>
      <c r="Y304">
        <v>4.0995744113466789E-3</v>
      </c>
    </row>
    <row r="305" spans="1:25" x14ac:dyDescent="0.2">
      <c r="A305" s="1077"/>
      <c r="B305" s="1444">
        <v>55</v>
      </c>
      <c r="C305" s="1081">
        <v>1.01179488581459</v>
      </c>
      <c r="D305" s="1081">
        <v>1.0063594741852198</v>
      </c>
      <c r="E305" s="1081">
        <v>0.99299537254298209</v>
      </c>
      <c r="F305" s="1081">
        <v>1.0415461522667719</v>
      </c>
      <c r="G305" s="1081">
        <v>0.98171389037194767</v>
      </c>
      <c r="H305" s="1081">
        <v>1.035354689375996</v>
      </c>
      <c r="I305" s="1081">
        <v>0.98886452791791934</v>
      </c>
      <c r="K305">
        <v>2.4622937217194787</v>
      </c>
      <c r="L305">
        <v>0</v>
      </c>
      <c r="M305">
        <v>1.7022575044179458E-3</v>
      </c>
      <c r="N305">
        <v>0.15174451299246319</v>
      </c>
      <c r="O305">
        <v>2.0707466337036358E-2</v>
      </c>
      <c r="P305">
        <v>2.8974830943563942E-2</v>
      </c>
      <c r="Q305">
        <v>5.3806330414312214E-3</v>
      </c>
      <c r="R305">
        <v>1.6805553764008812E-3</v>
      </c>
      <c r="S305">
        <v>0.25483741085544587</v>
      </c>
      <c r="T305">
        <v>1.4284672253755766</v>
      </c>
      <c r="U305">
        <v>0.2094786776208209</v>
      </c>
      <c r="V305">
        <v>0.24170568698664224</v>
      </c>
      <c r="W305">
        <v>0.10010285837734877</v>
      </c>
      <c r="X305">
        <v>1.6342203577534093E-2</v>
      </c>
      <c r="Y305">
        <v>4.5739177396322585E-3</v>
      </c>
    </row>
    <row r="306" spans="1:25" x14ac:dyDescent="0.2">
      <c r="A306" s="1077"/>
      <c r="B306" s="1444">
        <v>56</v>
      </c>
      <c r="C306" s="1081">
        <v>1.013846886652044</v>
      </c>
      <c r="D306" s="1081">
        <v>1.000235393188242</v>
      </c>
      <c r="E306" s="1081">
        <v>0.97235214841729767</v>
      </c>
      <c r="F306" s="1081">
        <v>0.97962469038378763</v>
      </c>
      <c r="G306" s="1081">
        <v>0.9832842172948828</v>
      </c>
      <c r="H306" s="1081">
        <v>0.99993043031246087</v>
      </c>
      <c r="I306" s="1081">
        <v>1.0296020087956297</v>
      </c>
      <c r="K306">
        <v>2.3689624222444663</v>
      </c>
      <c r="L306">
        <v>0</v>
      </c>
      <c r="M306">
        <v>1.7145700089112252E-3</v>
      </c>
      <c r="N306">
        <v>0.14352375760189831</v>
      </c>
      <c r="O306">
        <v>2.0679849752236371E-2</v>
      </c>
      <c r="P306">
        <v>2.7481775849912553E-2</v>
      </c>
      <c r="Q306">
        <v>5.2620504564893063E-3</v>
      </c>
      <c r="R306">
        <v>1.691936512121029E-3</v>
      </c>
      <c r="S306">
        <v>0.26237318971561258</v>
      </c>
      <c r="T306">
        <v>1.343106913581483</v>
      </c>
      <c r="U306">
        <v>0.20898529201650318</v>
      </c>
      <c r="V306">
        <v>0.24192301956535572</v>
      </c>
      <c r="W306">
        <v>9.5864832230353539E-2</v>
      </c>
      <c r="X306">
        <v>1.5179481532136579E-2</v>
      </c>
      <c r="Y306">
        <v>4.6048934392721166E-3</v>
      </c>
    </row>
    <row r="307" spans="1:25" x14ac:dyDescent="0.2">
      <c r="A307" s="1077"/>
      <c r="B307" s="1444">
        <v>57</v>
      </c>
      <c r="C307" s="1081">
        <v>0.96958402967048263</v>
      </c>
      <c r="D307" s="1081">
        <v>1.0044398832256569</v>
      </c>
      <c r="E307" s="1081">
        <v>1.0209173844656156</v>
      </c>
      <c r="F307" s="1081">
        <v>0.97436215726803455</v>
      </c>
      <c r="G307" s="1081">
        <v>1.006891983779824</v>
      </c>
      <c r="H307" s="1081">
        <v>0.97599150524035083</v>
      </c>
      <c r="I307" s="1081">
        <v>0.97635794993215574</v>
      </c>
      <c r="K307">
        <v>2.3922952244252906</v>
      </c>
      <c r="L307">
        <v>0</v>
      </c>
      <c r="M307">
        <v>1.5808508438813573E-3</v>
      </c>
      <c r="N307">
        <v>0.15319869931324223</v>
      </c>
      <c r="O307">
        <v>2.163715914645839E-2</v>
      </c>
      <c r="P307">
        <v>2.8578100548061709E-2</v>
      </c>
      <c r="Q307">
        <v>5.781615619238221E-3</v>
      </c>
      <c r="R307">
        <v>1.5594706777209337E-3</v>
      </c>
      <c r="S307">
        <v>0.25796657883597973</v>
      </c>
      <c r="T307">
        <v>1.3369144667582109</v>
      </c>
      <c r="U307">
        <v>0.21869687831126958</v>
      </c>
      <c r="V307">
        <v>0.24859120808253152</v>
      </c>
      <c r="W307">
        <v>9.9407824852925764E-2</v>
      </c>
      <c r="X307">
        <v>1.7299708018145375E-2</v>
      </c>
      <c r="Y307">
        <v>4.2443651053856325E-3</v>
      </c>
    </row>
    <row r="308" spans="1:25" x14ac:dyDescent="0.2">
      <c r="A308" s="1077"/>
      <c r="B308" s="1444">
        <v>58</v>
      </c>
      <c r="C308" s="1081">
        <v>1.0289301605769163</v>
      </c>
      <c r="D308" s="1081">
        <v>0.97683844417328636</v>
      </c>
      <c r="E308" s="1081">
        <v>0.97765061169889111</v>
      </c>
      <c r="F308" s="1081">
        <v>1.0213322443172053</v>
      </c>
      <c r="G308" s="1081">
        <v>0.98938624020514565</v>
      </c>
      <c r="H308" s="1081">
        <v>0.98984953503929984</v>
      </c>
      <c r="I308" s="1081">
        <v>1.0255188866292344</v>
      </c>
      <c r="K308">
        <v>2.4177529128949784</v>
      </c>
      <c r="L308">
        <v>0</v>
      </c>
      <c r="M308">
        <v>1.6628314256724246E-3</v>
      </c>
      <c r="N308">
        <v>0.14142380344464531</v>
      </c>
      <c r="O308">
        <v>2.048650499053167E-2</v>
      </c>
      <c r="P308">
        <v>2.828763833825728E-2</v>
      </c>
      <c r="Q308">
        <v>5.2410807273374979E-3</v>
      </c>
      <c r="R308">
        <v>1.6406573636177015E-3</v>
      </c>
      <c r="S308">
        <v>0.25976655251635433</v>
      </c>
      <c r="T308">
        <v>1.4004061696918695</v>
      </c>
      <c r="U308">
        <v>0.20593926968027512</v>
      </c>
      <c r="V308">
        <v>0.24204478244121908</v>
      </c>
      <c r="W308">
        <v>9.4159264915599797E-2</v>
      </c>
      <c r="X308">
        <v>1.5554691709726804E-2</v>
      </c>
      <c r="Y308">
        <v>4.4653285012128223E-3</v>
      </c>
    </row>
    <row r="309" spans="1:25" x14ac:dyDescent="0.2">
      <c r="A309" s="1077"/>
      <c r="B309" s="1444">
        <v>59</v>
      </c>
      <c r="C309" s="1081">
        <v>1.0153340576513714</v>
      </c>
      <c r="D309" s="1081">
        <v>1.0096502726653713</v>
      </c>
      <c r="E309" s="1081">
        <v>0.99850937083298819</v>
      </c>
      <c r="F309" s="1081">
        <v>0.95897839412499331</v>
      </c>
      <c r="G309" s="1081">
        <v>0.99218770327783978</v>
      </c>
      <c r="H309" s="1081">
        <v>0.99935664954916559</v>
      </c>
      <c r="I309" s="1081">
        <v>1.0024507691739888</v>
      </c>
      <c r="K309">
        <v>2.3381739801796306</v>
      </c>
      <c r="L309">
        <v>0</v>
      </c>
      <c r="M309">
        <v>1.6175740010929186E-3</v>
      </c>
      <c r="N309">
        <v>0.14655039397152408</v>
      </c>
      <c r="O309">
        <v>2.0624064619487046E-2</v>
      </c>
      <c r="P309">
        <v>2.7553336337736874E-2</v>
      </c>
      <c r="Q309">
        <v>5.3888170901576753E-3</v>
      </c>
      <c r="R309">
        <v>1.5962086580701706E-3</v>
      </c>
      <c r="S309">
        <v>0.25404918184099073</v>
      </c>
      <c r="T309">
        <v>1.3153408689354069</v>
      </c>
      <c r="U309">
        <v>0.20876704432555751</v>
      </c>
      <c r="V309">
        <v>0.24326001427261001</v>
      </c>
      <c r="W309">
        <v>9.6359028000953015E-2</v>
      </c>
      <c r="X309">
        <v>1.5958242351001354E-2</v>
      </c>
      <c r="Y309">
        <v>4.3443537772242889E-3</v>
      </c>
    </row>
    <row r="310" spans="1:25" x14ac:dyDescent="0.2">
      <c r="A310" s="1077"/>
      <c r="B310" s="1444">
        <v>60</v>
      </c>
      <c r="C310" s="1081">
        <v>0.9949789642983442</v>
      </c>
      <c r="D310" s="1081">
        <v>1.016506583741577</v>
      </c>
      <c r="E310" s="1081">
        <v>1.0139231829123647</v>
      </c>
      <c r="F310" s="1081">
        <v>0.97653379644509553</v>
      </c>
      <c r="G310" s="1081">
        <v>1.0028078269887264</v>
      </c>
      <c r="H310" s="1081">
        <v>0.96069290119140305</v>
      </c>
      <c r="I310" s="1081">
        <v>1.013971806026785</v>
      </c>
      <c r="K310">
        <v>2.3735095202505785</v>
      </c>
      <c r="L310">
        <v>0</v>
      </c>
      <c r="M310">
        <v>1.534538036350159E-3</v>
      </c>
      <c r="N310">
        <v>0.14557328018475274</v>
      </c>
      <c r="O310">
        <v>2.1024929711297713E-2</v>
      </c>
      <c r="P310">
        <v>2.8363843227466538E-2</v>
      </c>
      <c r="Q310">
        <v>5.5790400311065812E-3</v>
      </c>
      <c r="R310">
        <v>1.5134537311310772E-3</v>
      </c>
      <c r="S310">
        <v>0.25812790362106525</v>
      </c>
      <c r="T310">
        <v>1.3397459248969552</v>
      </c>
      <c r="U310">
        <v>0.21309096628784294</v>
      </c>
      <c r="V310">
        <v>0.2462758306864721</v>
      </c>
      <c r="W310">
        <v>9.4847938732867329E-2</v>
      </c>
      <c r="X310">
        <v>1.678182502972176E-2</v>
      </c>
      <c r="Y310">
        <v>4.1191221462504113E-3</v>
      </c>
    </row>
    <row r="311" spans="1:25" x14ac:dyDescent="0.2">
      <c r="A311" s="1077"/>
      <c r="B311" s="1444">
        <v>61</v>
      </c>
      <c r="C311" s="1081">
        <v>1.0461224024403799</v>
      </c>
      <c r="D311" s="1081">
        <v>1.0201993382570862</v>
      </c>
      <c r="E311" s="1081">
        <v>1.0236633467373204</v>
      </c>
      <c r="F311" s="1081">
        <v>0.99899686278107536</v>
      </c>
      <c r="G311" s="1081">
        <v>0.9765120598455389</v>
      </c>
      <c r="H311" s="1081">
        <v>0.99024548542914947</v>
      </c>
      <c r="I311" s="1081">
        <v>1.0038179974178916</v>
      </c>
      <c r="K311">
        <v>2.3691718413433698</v>
      </c>
      <c r="L311">
        <v>0</v>
      </c>
      <c r="M311">
        <v>1.473062172419251E-3</v>
      </c>
      <c r="N311">
        <v>0.14396868491598833</v>
      </c>
      <c r="O311">
        <v>1.9987274056542718E-2</v>
      </c>
      <c r="P311">
        <v>2.8567223730703167E-2</v>
      </c>
      <c r="Q311">
        <v>5.3553347459897966E-3</v>
      </c>
      <c r="R311">
        <v>1.4534265612056363E-3</v>
      </c>
      <c r="S311">
        <v>0.24508610978454717</v>
      </c>
      <c r="T311">
        <v>1.3707751380996385</v>
      </c>
      <c r="U311">
        <v>0.2027051693487914</v>
      </c>
      <c r="V311">
        <v>0.23868701895796918</v>
      </c>
      <c r="W311">
        <v>9.3268947681036593E-2</v>
      </c>
      <c r="X311">
        <v>1.683482765571288E-2</v>
      </c>
      <c r="Y311">
        <v>3.9557479776646063E-3</v>
      </c>
    </row>
    <row r="312" spans="1:25" x14ac:dyDescent="0.2">
      <c r="A312" s="1077"/>
      <c r="B312" s="1444">
        <v>62</v>
      </c>
      <c r="C312" s="1081">
        <v>0.99472283554729424</v>
      </c>
      <c r="D312" s="1081">
        <v>1.013347050123323</v>
      </c>
      <c r="E312" s="1081">
        <v>1.0361262130033453</v>
      </c>
      <c r="F312" s="1081">
        <v>1.0421745280260348</v>
      </c>
      <c r="G312" s="1081">
        <v>1.0040695504780406</v>
      </c>
      <c r="H312" s="1081">
        <v>1.0089688577665603</v>
      </c>
      <c r="I312" s="1081">
        <v>0.98328974050044882</v>
      </c>
      <c r="K312">
        <v>2.4809502697159456</v>
      </c>
      <c r="L312">
        <v>0</v>
      </c>
      <c r="M312">
        <v>1.5402878988096918E-3</v>
      </c>
      <c r="N312">
        <v>0.15634154313071666</v>
      </c>
      <c r="O312">
        <v>2.1059578140688769E-2</v>
      </c>
      <c r="P312">
        <v>3.0055768671561248E-2</v>
      </c>
      <c r="Q312">
        <v>5.7126078167674755E-3</v>
      </c>
      <c r="R312">
        <v>1.5201371884774595E-3</v>
      </c>
      <c r="S312">
        <v>0.25500252639873439</v>
      </c>
      <c r="T312">
        <v>1.4303039910730071</v>
      </c>
      <c r="U312">
        <v>0.21322242142671355</v>
      </c>
      <c r="V312">
        <v>0.2464295647696482</v>
      </c>
      <c r="W312">
        <v>0.1005544517280669</v>
      </c>
      <c r="X312">
        <v>1.8150654956427321E-2</v>
      </c>
      <c r="Y312">
        <v>4.1373123139461414E-3</v>
      </c>
    </row>
    <row r="313" spans="1:25" x14ac:dyDescent="0.2">
      <c r="A313" s="1077"/>
      <c r="B313" s="1444">
        <v>63</v>
      </c>
      <c r="C313" s="1081">
        <v>1.0261018026303674</v>
      </c>
      <c r="D313" s="1081">
        <v>1.0384847928248686</v>
      </c>
      <c r="E313" s="1081">
        <v>0.99619663175812345</v>
      </c>
      <c r="F313" s="1081">
        <v>0.96880212632017904</v>
      </c>
      <c r="G313" s="1081">
        <v>1.0143690077254159</v>
      </c>
      <c r="H313" s="1081">
        <v>1.0035491412926385</v>
      </c>
      <c r="I313" s="1081">
        <v>1.0125086169105129</v>
      </c>
      <c r="K313">
        <v>2.3452810153685153</v>
      </c>
      <c r="L313">
        <v>0</v>
      </c>
      <c r="M313">
        <v>1.6050663007765127E-3</v>
      </c>
      <c r="N313">
        <v>0.14441255931159619</v>
      </c>
      <c r="O313">
        <v>2.028012332010129E-2</v>
      </c>
      <c r="P313">
        <v>2.7655851044154866E-2</v>
      </c>
      <c r="Q313">
        <v>5.2866271369957935E-3</v>
      </c>
      <c r="R313">
        <v>1.5839547298171731E-3</v>
      </c>
      <c r="S313">
        <v>0.25070172085125036</v>
      </c>
      <c r="T313">
        <v>1.3287667284287927</v>
      </c>
      <c r="U313">
        <v>0.20656857583007723</v>
      </c>
      <c r="V313">
        <v>0.24641178063862226</v>
      </c>
      <c r="W313">
        <v>9.508425331535518E-2</v>
      </c>
      <c r="X313">
        <v>1.582290443850274E-2</v>
      </c>
      <c r="Y313">
        <v>4.3110026240259927E-3</v>
      </c>
    </row>
    <row r="314" spans="1:25" x14ac:dyDescent="0.2">
      <c r="A314" s="1077"/>
      <c r="B314" s="1444">
        <v>64</v>
      </c>
      <c r="C314" s="1081">
        <v>0.99435251209789743</v>
      </c>
      <c r="D314" s="1081">
        <v>1.000666200577212</v>
      </c>
      <c r="E314" s="1081">
        <v>1.0166171022460526</v>
      </c>
      <c r="F314" s="1081">
        <v>0.96882426664883148</v>
      </c>
      <c r="G314" s="1081">
        <v>1.0219702224100302</v>
      </c>
      <c r="H314" s="1081">
        <v>1.0295850673859173</v>
      </c>
      <c r="I314" s="1081">
        <v>1.0004837540196665</v>
      </c>
      <c r="K314">
        <v>2.3907977058708694</v>
      </c>
      <c r="L314">
        <v>0</v>
      </c>
      <c r="M314">
        <v>1.6420898187079916E-3</v>
      </c>
      <c r="N314">
        <v>0.1571941185679766</v>
      </c>
      <c r="O314">
        <v>2.1112796315365993E-2</v>
      </c>
      <c r="P314">
        <v>2.8386835110745134E-2</v>
      </c>
      <c r="Q314">
        <v>5.6174190164239024E-3</v>
      </c>
      <c r="R314">
        <v>1.6210374536807979E-3</v>
      </c>
      <c r="S314">
        <v>0.26279823439771266</v>
      </c>
      <c r="T314">
        <v>1.3292255303491001</v>
      </c>
      <c r="U314">
        <v>0.21323449823749996</v>
      </c>
      <c r="V314">
        <v>0.24957669430039509</v>
      </c>
      <c r="W314">
        <v>0.10225757392692188</v>
      </c>
      <c r="X314">
        <v>1.7003128439689274E-2</v>
      </c>
      <c r="Y314">
        <v>4.4119295740661412E-3</v>
      </c>
    </row>
    <row r="315" spans="1:25" x14ac:dyDescent="0.2">
      <c r="A315" s="1077"/>
      <c r="B315" s="1444">
        <v>65</v>
      </c>
      <c r="C315" s="1081">
        <v>1.0104982335405164</v>
      </c>
      <c r="D315" s="1081">
        <v>1.016366664045997</v>
      </c>
      <c r="E315" s="1081">
        <v>1.0291817159357284</v>
      </c>
      <c r="F315" s="1081">
        <v>0.99014627713956083</v>
      </c>
      <c r="G315" s="1081">
        <v>1.0124886063815661</v>
      </c>
      <c r="H315" s="1081">
        <v>0.99543420322284293</v>
      </c>
      <c r="I315" s="1081">
        <v>1.0443516698735744</v>
      </c>
      <c r="K315">
        <v>2.4053413387635656</v>
      </c>
      <c r="L315">
        <v>0</v>
      </c>
      <c r="M315">
        <v>1.5167220744834533E-3</v>
      </c>
      <c r="N315">
        <v>0.1507336314083953</v>
      </c>
      <c r="O315">
        <v>2.0712673622851403E-2</v>
      </c>
      <c r="P315">
        <v>2.9006339990924231E-2</v>
      </c>
      <c r="Q315">
        <v>5.5801179732281698E-3</v>
      </c>
      <c r="R315">
        <v>1.4966098704166078E-3</v>
      </c>
      <c r="S315">
        <v>0.26496962866780122</v>
      </c>
      <c r="T315">
        <v>1.3587495793081328</v>
      </c>
      <c r="U315">
        <v>0.20987009205781412</v>
      </c>
      <c r="V315">
        <v>0.24691057796907165</v>
      </c>
      <c r="W315">
        <v>9.7338381676626354E-2</v>
      </c>
      <c r="X315">
        <v>1.7417149582825926E-2</v>
      </c>
      <c r="Y315">
        <v>4.0732787099628165E-3</v>
      </c>
    </row>
    <row r="316" spans="1:25" x14ac:dyDescent="0.2">
      <c r="A316" s="1077"/>
      <c r="B316" s="1444">
        <v>66</v>
      </c>
      <c r="C316" s="1081">
        <v>0.98879160627359275</v>
      </c>
      <c r="D316" s="1081">
        <v>1.0352728165934351</v>
      </c>
      <c r="E316" s="1081">
        <v>0.99885039994936753</v>
      </c>
      <c r="F316" s="1081">
        <v>0.98602702583391166</v>
      </c>
      <c r="G316" s="1081">
        <v>0.99676143954112706</v>
      </c>
      <c r="H316" s="1081">
        <v>0.99861955718596973</v>
      </c>
      <c r="I316" s="1081">
        <v>1.0063704289172859</v>
      </c>
      <c r="K316">
        <v>2.3945762790387262</v>
      </c>
      <c r="L316">
        <v>0</v>
      </c>
      <c r="M316">
        <v>1.6494771340048887E-3</v>
      </c>
      <c r="N316">
        <v>0.14959337063975239</v>
      </c>
      <c r="O316">
        <v>2.1061470072018505E-2</v>
      </c>
      <c r="P316">
        <v>2.8237610840517798E-2</v>
      </c>
      <c r="Q316">
        <v>5.5049939538018948E-3</v>
      </c>
      <c r="R316">
        <v>1.6276743249785154E-3</v>
      </c>
      <c r="S316">
        <v>0.25857993612549002</v>
      </c>
      <c r="T316">
        <v>1.3524482152157806</v>
      </c>
      <c r="U316">
        <v>0.21437222398518865</v>
      </c>
      <c r="V316">
        <v>0.24568941668013541</v>
      </c>
      <c r="W316">
        <v>9.8339874452234313E-2</v>
      </c>
      <c r="X316">
        <v>1.634097693293431E-2</v>
      </c>
      <c r="Y316">
        <v>4.4299929498944936E-3</v>
      </c>
    </row>
    <row r="317" spans="1:25" x14ac:dyDescent="0.2">
      <c r="A317" s="1077"/>
      <c r="B317" s="1444">
        <v>67</v>
      </c>
      <c r="C317" s="1081">
        <v>0.9860726226673846</v>
      </c>
      <c r="D317" s="1081">
        <v>0.98701956661301782</v>
      </c>
      <c r="E317" s="1081">
        <v>0.99157462226667314</v>
      </c>
      <c r="F317" s="1081">
        <v>0.99445411501895931</v>
      </c>
      <c r="G317" s="1081">
        <v>1.0093169862960942</v>
      </c>
      <c r="H317" s="1081">
        <v>0.97497405660807301</v>
      </c>
      <c r="I317" s="1081">
        <v>0.95783379471375529</v>
      </c>
      <c r="K317">
        <v>2.3971249837650728</v>
      </c>
      <c r="L317">
        <v>0</v>
      </c>
      <c r="M317">
        <v>1.656704762384283E-3</v>
      </c>
      <c r="N317">
        <v>0.14693328022718408</v>
      </c>
      <c r="O317">
        <v>2.1337575515522279E-2</v>
      </c>
      <c r="P317">
        <v>2.8171792242308216E-2</v>
      </c>
      <c r="Q317">
        <v>5.536414594839641E-3</v>
      </c>
      <c r="R317">
        <v>1.6342753301882098E-3</v>
      </c>
      <c r="S317">
        <v>0.25072535770488996</v>
      </c>
      <c r="T317">
        <v>1.3638505885984347</v>
      </c>
      <c r="U317">
        <v>0.21493812859572617</v>
      </c>
      <c r="V317">
        <v>0.24803402390042467</v>
      </c>
      <c r="W317">
        <v>9.7011366975809962E-2</v>
      </c>
      <c r="X317">
        <v>1.6160926132072834E-2</v>
      </c>
      <c r="Y317">
        <v>4.4479587100544997E-3</v>
      </c>
    </row>
    <row r="318" spans="1:25" x14ac:dyDescent="0.2">
      <c r="A318" s="1077"/>
      <c r="B318" s="1444">
        <v>68</v>
      </c>
      <c r="C318" s="1081">
        <v>1.0244733016058516</v>
      </c>
      <c r="D318" s="1081">
        <v>1.000195266867276</v>
      </c>
      <c r="E318" s="1081">
        <v>0.97743836798519357</v>
      </c>
      <c r="F318" s="1081">
        <v>0.99191992238983318</v>
      </c>
      <c r="G318" s="1081">
        <v>1.0028484362735606</v>
      </c>
      <c r="H318" s="1081">
        <v>1.0253995399317211</v>
      </c>
      <c r="I318" s="1081">
        <v>0.99712382196127236</v>
      </c>
      <c r="K318">
        <v>2.3824131630511673</v>
      </c>
      <c r="L318">
        <v>0</v>
      </c>
      <c r="M318">
        <v>1.7218300607013712E-3</v>
      </c>
      <c r="N318">
        <v>0.14641618274387927</v>
      </c>
      <c r="O318">
        <v>2.046880876890253E-2</v>
      </c>
      <c r="P318">
        <v>2.7705802814180017E-2</v>
      </c>
      <c r="Q318">
        <v>5.235422413807771E-3</v>
      </c>
      <c r="R318">
        <v>1.6996652826987164E-3</v>
      </c>
      <c r="S318">
        <v>0.25361362466835852</v>
      </c>
      <c r="T318">
        <v>1.3600727461307673</v>
      </c>
      <c r="U318">
        <v>0.20683448032931076</v>
      </c>
      <c r="V318">
        <v>0.24460968596622035</v>
      </c>
      <c r="W318">
        <v>9.7495684590628726E-2</v>
      </c>
      <c r="X318">
        <v>1.5356960798115452E-2</v>
      </c>
      <c r="Y318">
        <v>4.6259286049960468E-3</v>
      </c>
    </row>
    <row r="319" spans="1:25" x14ac:dyDescent="0.2">
      <c r="A319" s="1077"/>
      <c r="B319" s="1444">
        <v>69</v>
      </c>
      <c r="C319" s="1081">
        <v>0.96431640174906352</v>
      </c>
      <c r="D319" s="1081">
        <v>1.0277403596268089</v>
      </c>
      <c r="E319" s="1081">
        <v>0.99583205140227171</v>
      </c>
      <c r="F319" s="1081">
        <v>1.0115882075025784</v>
      </c>
      <c r="G319" s="1081">
        <v>1.0136196284903087</v>
      </c>
      <c r="H319" s="1081">
        <v>1.0400741199267636</v>
      </c>
      <c r="I319" s="1081">
        <v>0.98646030854531164</v>
      </c>
      <c r="K319">
        <v>2.4641623427014125</v>
      </c>
      <c r="L319">
        <v>0</v>
      </c>
      <c r="M319">
        <v>1.7754622082809474E-3</v>
      </c>
      <c r="N319">
        <v>0.15964236205551727</v>
      </c>
      <c r="O319">
        <v>2.1628687414373345E-2</v>
      </c>
      <c r="P319">
        <v>2.8864229765634724E-2</v>
      </c>
      <c r="Q319">
        <v>5.6361007324930903E-3</v>
      </c>
      <c r="R319">
        <v>1.7529295017236855E-3</v>
      </c>
      <c r="S319">
        <v>0.26440244109641603</v>
      </c>
      <c r="T319">
        <v>1.3874422804693436</v>
      </c>
      <c r="U319">
        <v>0.21980248619935081</v>
      </c>
      <c r="V319">
        <v>0.2501808618716112</v>
      </c>
      <c r="W319">
        <v>0.10513472501003265</v>
      </c>
      <c r="X319">
        <v>1.6679804542559899E-2</v>
      </c>
      <c r="Y319">
        <v>4.7708962506369289E-3</v>
      </c>
    </row>
    <row r="320" spans="1:25" x14ac:dyDescent="0.2">
      <c r="A320" s="1077"/>
      <c r="B320" s="1444">
        <v>70</v>
      </c>
      <c r="C320" s="1081">
        <v>1.0287562217982789</v>
      </c>
      <c r="D320" s="1081">
        <v>1.0027511580969672</v>
      </c>
      <c r="E320" s="1081">
        <v>0.96664851753565662</v>
      </c>
      <c r="F320" s="1081">
        <v>0.99378426225126504</v>
      </c>
      <c r="G320" s="1081">
        <v>0.97569337279965063</v>
      </c>
      <c r="H320" s="1081">
        <v>1.0380319979544317</v>
      </c>
      <c r="I320" s="1081">
        <v>1.0073557939526454</v>
      </c>
      <c r="K320">
        <v>2.3804224880545228</v>
      </c>
      <c r="L320">
        <v>0</v>
      </c>
      <c r="M320">
        <v>1.773901245071253E-3</v>
      </c>
      <c r="N320">
        <v>0.1460194425822266</v>
      </c>
      <c r="O320">
        <v>2.0365226388703205E-2</v>
      </c>
      <c r="P320">
        <v>2.7461607387539583E-2</v>
      </c>
      <c r="Q320">
        <v>5.1518643951690441E-3</v>
      </c>
      <c r="R320">
        <v>1.7513440593199363E-3</v>
      </c>
      <c r="S320">
        <v>0.25578898938857075</v>
      </c>
      <c r="T320">
        <v>1.3623984734632446</v>
      </c>
      <c r="U320">
        <v>0.20593769804892081</v>
      </c>
      <c r="V320">
        <v>0.23975477339930495</v>
      </c>
      <c r="W320">
        <v>9.7871089961640234E-2</v>
      </c>
      <c r="X320">
        <v>1.4929299025896622E-2</v>
      </c>
      <c r="Y320">
        <v>4.7665811990548713E-3</v>
      </c>
    </row>
    <row r="321" spans="1:25" x14ac:dyDescent="0.2">
      <c r="A321" s="1077"/>
      <c r="B321" s="1444">
        <v>71</v>
      </c>
      <c r="C321" s="1081">
        <v>0.96454784570580943</v>
      </c>
      <c r="D321" s="1081">
        <v>1.0243786701674893</v>
      </c>
      <c r="E321" s="1081">
        <v>1.0181369814432746</v>
      </c>
      <c r="F321" s="1081">
        <v>1.0003039844212709</v>
      </c>
      <c r="G321" s="1081">
        <v>1.0094516630391992</v>
      </c>
      <c r="H321" s="1081">
        <v>0.99665024702999394</v>
      </c>
      <c r="I321" s="1081">
        <v>1.0024770791901987</v>
      </c>
      <c r="K321">
        <v>2.4431897237861531</v>
      </c>
      <c r="L321">
        <v>0</v>
      </c>
      <c r="M321">
        <v>1.625112822483695E-3</v>
      </c>
      <c r="N321">
        <v>0.15621695430106786</v>
      </c>
      <c r="O321">
        <v>2.1654371933165752E-2</v>
      </c>
      <c r="P321">
        <v>2.9141186894886813E-2</v>
      </c>
      <c r="Q321">
        <v>5.7702391405603315E-3</v>
      </c>
      <c r="R321">
        <v>1.6035896167666448E-3</v>
      </c>
      <c r="S321">
        <v>0.26543497828216572</v>
      </c>
      <c r="T321">
        <v>1.3724486539666116</v>
      </c>
      <c r="U321">
        <v>0.21982887533065618</v>
      </c>
      <c r="V321">
        <v>0.24937396384959945</v>
      </c>
      <c r="W321">
        <v>0.10153140166612969</v>
      </c>
      <c r="X321">
        <v>1.7446179313361506E-2</v>
      </c>
      <c r="Y321">
        <v>4.3644423136637101E-3</v>
      </c>
    </row>
    <row r="322" spans="1:25" x14ac:dyDescent="0.2">
      <c r="A322" s="1077"/>
      <c r="B322" s="1444">
        <v>72</v>
      </c>
      <c r="C322" s="1081">
        <v>1.0263560771458293</v>
      </c>
      <c r="D322" s="1081">
        <v>1.0294263865363364</v>
      </c>
      <c r="E322" s="1081">
        <v>1.025980751668232</v>
      </c>
      <c r="F322" s="1081">
        <v>0.9937248692192252</v>
      </c>
      <c r="G322" s="1081">
        <v>0.98782835364531396</v>
      </c>
      <c r="H322" s="1081">
        <v>0.97512534636651294</v>
      </c>
      <c r="I322" s="1081">
        <v>1.0272907343763267</v>
      </c>
      <c r="K322">
        <v>2.3786866850967621</v>
      </c>
      <c r="L322">
        <v>0</v>
      </c>
      <c r="M322">
        <v>1.4684773980413613E-3</v>
      </c>
      <c r="N322">
        <v>0.14449684594683818</v>
      </c>
      <c r="O322">
        <v>2.0333384757063335E-2</v>
      </c>
      <c r="P322">
        <v>2.8726187586503027E-2</v>
      </c>
      <c r="Q322">
        <v>5.4606032842416099E-3</v>
      </c>
      <c r="R322">
        <v>1.4485993818630987E-3</v>
      </c>
      <c r="S322">
        <v>0.25324099018038948</v>
      </c>
      <c r="T322">
        <v>1.3635912125499234</v>
      </c>
      <c r="U322">
        <v>0.20661676268137247</v>
      </c>
      <c r="V322">
        <v>0.24175931276099416</v>
      </c>
      <c r="W322">
        <v>9.3484759518521476E-2</v>
      </c>
      <c r="X322">
        <v>1.7053893860320645E-2</v>
      </c>
      <c r="Y322">
        <v>3.9426099867734613E-3</v>
      </c>
    </row>
    <row r="323" spans="1:25" x14ac:dyDescent="0.2">
      <c r="A323" s="1077"/>
      <c r="B323" s="1444">
        <v>73</v>
      </c>
      <c r="C323" s="1081">
        <v>0.99606946165650811</v>
      </c>
      <c r="D323" s="1081">
        <v>0.99395931552654204</v>
      </c>
      <c r="E323" s="1081">
        <v>1.020823447081239</v>
      </c>
      <c r="F323" s="1081">
        <v>0.98898284866545272</v>
      </c>
      <c r="G323" s="1081">
        <v>0.96755556777464247</v>
      </c>
      <c r="H323" s="1081">
        <v>0.99981556885687539</v>
      </c>
      <c r="I323" s="1081">
        <v>1.0176880838415607</v>
      </c>
      <c r="K323">
        <v>2.4047050491866733</v>
      </c>
      <c r="L323">
        <v>0</v>
      </c>
      <c r="M323">
        <v>1.5803295133442591E-3</v>
      </c>
      <c r="N323">
        <v>0.15315480323547123</v>
      </c>
      <c r="O323">
        <v>2.1110423654468181E-2</v>
      </c>
      <c r="P323">
        <v>2.8756988412084298E-2</v>
      </c>
      <c r="Q323">
        <v>5.6403413292834591E-3</v>
      </c>
      <c r="R323">
        <v>1.5594656862924633E-3</v>
      </c>
      <c r="S323">
        <v>0.26519579107604546</v>
      </c>
      <c r="T323">
        <v>1.356973382080936</v>
      </c>
      <c r="U323">
        <v>0.21288141699933322</v>
      </c>
      <c r="V323">
        <v>0.24016623954545949</v>
      </c>
      <c r="W323">
        <v>9.9384799632174031E-2</v>
      </c>
      <c r="X323">
        <v>1.7217375528104855E-2</v>
      </c>
      <c r="Y323">
        <v>4.2443515203627611E-3</v>
      </c>
    </row>
    <row r="324" spans="1:25" x14ac:dyDescent="0.2">
      <c r="A324" s="1077"/>
      <c r="B324" s="1444">
        <v>74</v>
      </c>
      <c r="C324" s="1081">
        <v>0.96920696814894003</v>
      </c>
      <c r="D324" s="1081">
        <v>0.98223716010455964</v>
      </c>
      <c r="E324" s="1081">
        <v>0.9657655762838131</v>
      </c>
      <c r="F324" s="1081">
        <v>0.97909087747119083</v>
      </c>
      <c r="G324" s="1081">
        <v>1.0224543270380071</v>
      </c>
      <c r="H324" s="1081">
        <v>1.0287526407186507</v>
      </c>
      <c r="I324" s="1081">
        <v>1.0124817511441007</v>
      </c>
      <c r="K324">
        <v>2.4200502962704933</v>
      </c>
      <c r="L324">
        <v>0</v>
      </c>
      <c r="M324">
        <v>1.8779829720149304E-3</v>
      </c>
      <c r="N324">
        <v>0.15415621992416392</v>
      </c>
      <c r="O324">
        <v>2.1714409063349743E-2</v>
      </c>
      <c r="P324">
        <v>2.7752761388161351E-2</v>
      </c>
      <c r="Q324">
        <v>5.4882064938111142E-3</v>
      </c>
      <c r="R324">
        <v>1.8538868637677872E-3</v>
      </c>
      <c r="S324">
        <v>0.27487717584954302</v>
      </c>
      <c r="T324">
        <v>1.3422364572279379</v>
      </c>
      <c r="U324">
        <v>0.21858766363786156</v>
      </c>
      <c r="V324">
        <v>0.25147549146396336</v>
      </c>
      <c r="W324">
        <v>0.1033805598867984</v>
      </c>
      <c r="X324">
        <v>1.5359778533612508E-2</v>
      </c>
      <c r="Y324">
        <v>5.045668909535523E-3</v>
      </c>
    </row>
    <row r="325" spans="1:25" x14ac:dyDescent="0.2">
      <c r="A325" s="1077"/>
      <c r="B325" s="1444">
        <v>75</v>
      </c>
      <c r="C325" s="1081">
        <v>1.0293248286554202</v>
      </c>
      <c r="D325" s="1081">
        <v>0.95773860197681859</v>
      </c>
      <c r="E325" s="1081">
        <v>0.98849339945952175</v>
      </c>
      <c r="F325" s="1081">
        <v>0.97520515301740374</v>
      </c>
      <c r="G325" s="1081">
        <v>1.0418847403795162</v>
      </c>
      <c r="H325" s="1081">
        <v>1.0398117113694392</v>
      </c>
      <c r="I325" s="1081">
        <v>0.98742332946843736</v>
      </c>
      <c r="K325">
        <v>2.3754925548788344</v>
      </c>
      <c r="L325">
        <v>0</v>
      </c>
      <c r="M325">
        <v>1.714794084665499E-3</v>
      </c>
      <c r="N325">
        <v>0.15080394734343275</v>
      </c>
      <c r="O325">
        <v>2.0574845695862959E-2</v>
      </c>
      <c r="P325">
        <v>2.7746928850119833E-2</v>
      </c>
      <c r="Q325">
        <v>5.321910686324728E-3</v>
      </c>
      <c r="R325">
        <v>1.6930258359673627E-3</v>
      </c>
      <c r="S325">
        <v>0.25673246390041382</v>
      </c>
      <c r="T325">
        <v>1.3373866168142514</v>
      </c>
      <c r="U325">
        <v>0.20589621720243204</v>
      </c>
      <c r="V325">
        <v>0.25095038444950679</v>
      </c>
      <c r="W325">
        <v>9.9750889325266226E-2</v>
      </c>
      <c r="X325">
        <v>1.5742260640233121E-2</v>
      </c>
      <c r="Y325">
        <v>4.6078582196863293E-3</v>
      </c>
    </row>
    <row r="326" spans="1:25" x14ac:dyDescent="0.2">
      <c r="A326" s="1077"/>
      <c r="B326" s="1444">
        <v>76</v>
      </c>
      <c r="C326" s="1081">
        <v>1.0112488541621902</v>
      </c>
      <c r="D326" s="1081">
        <v>0.99269846532953254</v>
      </c>
      <c r="E326" s="1081">
        <v>1.0177810062144532</v>
      </c>
      <c r="F326" s="1081">
        <v>0.99957905468954233</v>
      </c>
      <c r="G326" s="1081">
        <v>1.0082186942689375</v>
      </c>
      <c r="H326" s="1081">
        <v>0.98087783411179008</v>
      </c>
      <c r="I326" s="1081">
        <v>0.99982627006367963</v>
      </c>
      <c r="K326">
        <v>2.4022275673978921</v>
      </c>
      <c r="L326">
        <v>0</v>
      </c>
      <c r="M326">
        <v>1.5372498443521423E-3</v>
      </c>
      <c r="N326">
        <v>0.14758047626766099</v>
      </c>
      <c r="O326">
        <v>2.0797346314119232E-2</v>
      </c>
      <c r="P326">
        <v>2.8793207007862111E-2</v>
      </c>
      <c r="Q326">
        <v>5.5399045048305402E-3</v>
      </c>
      <c r="R326">
        <v>1.5165629281279438E-3</v>
      </c>
      <c r="S326">
        <v>0.25517287383887394</v>
      </c>
      <c r="T326">
        <v>1.3714463043330765</v>
      </c>
      <c r="U326">
        <v>0.20967563730616598</v>
      </c>
      <c r="V326">
        <v>0.24617656191588652</v>
      </c>
      <c r="W326">
        <v>9.5938233240508139E-2</v>
      </c>
      <c r="X326">
        <v>1.700012522960161E-2</v>
      </c>
      <c r="Y326">
        <v>4.1275843555293656E-3</v>
      </c>
    </row>
    <row r="327" spans="1:25" x14ac:dyDescent="0.2">
      <c r="A327" s="1077"/>
      <c r="B327" s="1444">
        <v>77</v>
      </c>
      <c r="C327" s="1081">
        <v>1.0031541512422102</v>
      </c>
      <c r="D327" s="1081">
        <v>1.0416909218884096</v>
      </c>
      <c r="E327" s="1081">
        <v>0.98977833369761314</v>
      </c>
      <c r="F327" s="1081">
        <v>1.0159247441645907</v>
      </c>
      <c r="G327" s="1081">
        <v>0.99547028797420545</v>
      </c>
      <c r="H327" s="1081">
        <v>0.95829615815209446</v>
      </c>
      <c r="I327" s="1081">
        <v>0.99862833628728043</v>
      </c>
      <c r="K327">
        <v>2.4051072695060518</v>
      </c>
      <c r="L327">
        <v>0</v>
      </c>
      <c r="M327">
        <v>1.5876618074995427E-3</v>
      </c>
      <c r="N327">
        <v>0.14001378140375892</v>
      </c>
      <c r="O327">
        <v>2.0725774539658886E-2</v>
      </c>
      <c r="P327">
        <v>2.8408239380850419E-2</v>
      </c>
      <c r="Q327">
        <v>5.3679205900500071E-3</v>
      </c>
      <c r="R327">
        <v>1.5657930318626525E-3</v>
      </c>
      <c r="S327">
        <v>0.24868748323682485</v>
      </c>
      <c r="T327">
        <v>1.3932572287401959</v>
      </c>
      <c r="U327">
        <v>0.21127208899602204</v>
      </c>
      <c r="V327">
        <v>0.24459802316117629</v>
      </c>
      <c r="W327">
        <v>9.2542307298076887E-2</v>
      </c>
      <c r="X327">
        <v>1.5994718465876114E-2</v>
      </c>
      <c r="Y327">
        <v>4.2615724691959078E-3</v>
      </c>
    </row>
    <row r="328" spans="1:25" x14ac:dyDescent="0.2">
      <c r="A328" s="1077"/>
      <c r="B328" s="1444">
        <v>78</v>
      </c>
      <c r="C328" s="1081">
        <v>0.98221325023909145</v>
      </c>
      <c r="D328" s="1081">
        <v>1.0172632073441337</v>
      </c>
      <c r="E328" s="1081">
        <v>0.96946020548680911</v>
      </c>
      <c r="F328" s="1081">
        <v>0.99737715755886369</v>
      </c>
      <c r="G328" s="1081">
        <v>0.9999846671906103</v>
      </c>
      <c r="H328" s="1081">
        <v>0.9780950927627351</v>
      </c>
      <c r="I328" s="1081">
        <v>1.0002002708376727</v>
      </c>
      <c r="K328">
        <v>2.4035927045354986</v>
      </c>
      <c r="L328">
        <v>0</v>
      </c>
      <c r="M328">
        <v>1.7350560403997647E-3</v>
      </c>
      <c r="N328">
        <v>0.14392947030294345</v>
      </c>
      <c r="O328">
        <v>2.1264812003138071E-2</v>
      </c>
      <c r="P328">
        <v>2.7853642142110863E-2</v>
      </c>
      <c r="Q328">
        <v>5.3949340857179437E-3</v>
      </c>
      <c r="R328">
        <v>1.7116407987043168E-3</v>
      </c>
      <c r="S328">
        <v>0.25897338536266001</v>
      </c>
      <c r="T328">
        <v>1.3673842919789525</v>
      </c>
      <c r="U328">
        <v>0.2157059569634073</v>
      </c>
      <c r="V328">
        <v>0.24676898834297209</v>
      </c>
      <c r="W328">
        <v>9.6305061677276121E-2</v>
      </c>
      <c r="X328">
        <v>1.5377054906178321E-2</v>
      </c>
      <c r="Y328">
        <v>4.6585220118354996E-3</v>
      </c>
    </row>
    <row r="329" spans="1:25" x14ac:dyDescent="0.2">
      <c r="A329" s="1077"/>
      <c r="B329" s="1444">
        <v>79</v>
      </c>
      <c r="C329" s="1081">
        <v>0.97937249168342089</v>
      </c>
      <c r="D329" s="1081">
        <v>0.99601394312323688</v>
      </c>
      <c r="E329" s="1081">
        <v>1.0144314083829606</v>
      </c>
      <c r="F329" s="1081">
        <v>0.9885900102586338</v>
      </c>
      <c r="G329" s="1081">
        <v>0.96925685515008586</v>
      </c>
      <c r="H329" s="1081">
        <v>0.99499363668842189</v>
      </c>
      <c r="I329" s="1081">
        <v>1.0000058780609471</v>
      </c>
      <c r="K329">
        <v>2.4101854741389697</v>
      </c>
      <c r="L329">
        <v>0</v>
      </c>
      <c r="M329">
        <v>1.6201916508339995E-3</v>
      </c>
      <c r="N329">
        <v>0.15400863454818789</v>
      </c>
      <c r="O329">
        <v>2.1456228898205375E-2</v>
      </c>
      <c r="P329">
        <v>2.8669313816359482E-2</v>
      </c>
      <c r="Q329">
        <v>5.6963734110418857E-3</v>
      </c>
      <c r="R329">
        <v>1.5986978953022475E-3</v>
      </c>
      <c r="S329">
        <v>0.26428340157515723</v>
      </c>
      <c r="T329">
        <v>1.3562972258504187</v>
      </c>
      <c r="U329">
        <v>0.21648838594290976</v>
      </c>
      <c r="V329">
        <v>0.24154630812898534</v>
      </c>
      <c r="W329">
        <v>0.10031400595032675</v>
      </c>
      <c r="X329">
        <v>1.7095961112513949E-2</v>
      </c>
      <c r="Y329">
        <v>4.35112866039317E-3</v>
      </c>
    </row>
    <row r="330" spans="1:25" x14ac:dyDescent="0.2">
      <c r="A330" s="1077"/>
      <c r="B330" s="1444">
        <v>80</v>
      </c>
      <c r="C330" s="1081">
        <v>1.0288930569775214</v>
      </c>
      <c r="D330" s="1081">
        <v>1.0374810694410479</v>
      </c>
      <c r="E330" s="1081">
        <v>0.96888956757763245</v>
      </c>
      <c r="F330" s="1081">
        <v>0.999899609069274</v>
      </c>
      <c r="G330" s="1081">
        <v>0.96748767808019143</v>
      </c>
      <c r="H330" s="1081">
        <v>0.99787505839636947</v>
      </c>
      <c r="I330" s="1081">
        <v>0.96605129800702916</v>
      </c>
      <c r="K330">
        <v>2.3581396003235584</v>
      </c>
      <c r="L330">
        <v>0</v>
      </c>
      <c r="M330">
        <v>1.6845169967978245E-3</v>
      </c>
      <c r="N330">
        <v>0.13953364405343957</v>
      </c>
      <c r="O330">
        <v>2.0211985967990412E-2</v>
      </c>
      <c r="P330">
        <v>2.7365081492817269E-2</v>
      </c>
      <c r="Q330">
        <v>5.1248383440034373E-3</v>
      </c>
      <c r="R330">
        <v>1.6622344181493344E-3</v>
      </c>
      <c r="S330">
        <v>0.23800947876965997</v>
      </c>
      <c r="T330">
        <v>1.3708302616967734</v>
      </c>
      <c r="U330">
        <v>0.20591771600566081</v>
      </c>
      <c r="V330">
        <v>0.23833608446728585</v>
      </c>
      <c r="W330">
        <v>9.339621072633586E-2</v>
      </c>
      <c r="X330">
        <v>1.4912527247467524E-2</v>
      </c>
      <c r="Y330">
        <v>4.5240541307738124E-3</v>
      </c>
    </row>
    <row r="331" spans="1:25" x14ac:dyDescent="0.2">
      <c r="A331" s="1077"/>
      <c r="B331" s="1444">
        <v>81</v>
      </c>
      <c r="C331" s="1081">
        <v>0.98240236302115036</v>
      </c>
      <c r="D331" s="1081">
        <v>0.98798251311217578</v>
      </c>
      <c r="E331" s="1081">
        <v>1.0080486344786408</v>
      </c>
      <c r="F331" s="1081">
        <v>1.0250725295916188</v>
      </c>
      <c r="G331" s="1081">
        <v>0.97168601873680416</v>
      </c>
      <c r="H331" s="1081">
        <v>0.97446022672799915</v>
      </c>
      <c r="I331" s="1081">
        <v>1.0052753550918743</v>
      </c>
      <c r="K331">
        <v>2.4530612539626819</v>
      </c>
      <c r="L331">
        <v>0</v>
      </c>
      <c r="M331">
        <v>1.605839749496984E-3</v>
      </c>
      <c r="N331">
        <v>0.14968901167758281</v>
      </c>
      <c r="O331">
        <v>2.1423857215095515E-2</v>
      </c>
      <c r="P331">
        <v>2.9210924998931388E-2</v>
      </c>
      <c r="Q331">
        <v>5.6516285902907014E-3</v>
      </c>
      <c r="R331">
        <v>1.5840874935628916E-3</v>
      </c>
      <c r="S331">
        <v>0.26408964806195379</v>
      </c>
      <c r="T331">
        <v>1.406207635369533</v>
      </c>
      <c r="U331">
        <v>0.21579845719761384</v>
      </c>
      <c r="V331">
        <v>0.24178607227347587</v>
      </c>
      <c r="W331">
        <v>9.786770740415536E-2</v>
      </c>
      <c r="X331">
        <v>1.7046699466804243E-2</v>
      </c>
      <c r="Y331">
        <v>4.3113639631762804E-3</v>
      </c>
    </row>
    <row r="332" spans="1:25" x14ac:dyDescent="0.2">
      <c r="A332" s="1077"/>
      <c r="B332" s="1444">
        <v>82</v>
      </c>
      <c r="C332" s="1081">
        <v>0.95979904732978616</v>
      </c>
      <c r="D332" s="1081">
        <v>0.99588683279693069</v>
      </c>
      <c r="E332" s="1081">
        <v>0.98297291212637972</v>
      </c>
      <c r="F332" s="1081">
        <v>1.0295204876377311</v>
      </c>
      <c r="G332" s="1081">
        <v>0.98484055827471451</v>
      </c>
      <c r="H332" s="1081">
        <v>1.027188843983087</v>
      </c>
      <c r="I332" s="1081">
        <v>1.0000346173530343</v>
      </c>
      <c r="K332">
        <v>2.490244442564236</v>
      </c>
      <c r="L332">
        <v>0</v>
      </c>
      <c r="M332">
        <v>1.8218386555062392E-3</v>
      </c>
      <c r="N332">
        <v>0.15754005963930268</v>
      </c>
      <c r="O332">
        <v>2.1872638603908555E-2</v>
      </c>
      <c r="P332">
        <v>2.8971839254191532E-2</v>
      </c>
      <c r="Q332">
        <v>5.6260436184117288E-3</v>
      </c>
      <c r="R332">
        <v>1.7984273389652773E-3</v>
      </c>
      <c r="S332">
        <v>0.27228444240974947</v>
      </c>
      <c r="T332">
        <v>1.4117515607106261</v>
      </c>
      <c r="U332">
        <v>0.22079128097529541</v>
      </c>
      <c r="V332">
        <v>0.24561526202522801</v>
      </c>
      <c r="W332">
        <v>0.10455292580677368</v>
      </c>
      <c r="X332">
        <v>1.6367074472037214E-2</v>
      </c>
      <c r="Y332">
        <v>4.8947263652505272E-3</v>
      </c>
    </row>
    <row r="333" spans="1:25" x14ac:dyDescent="0.2">
      <c r="A333" s="1077"/>
      <c r="B333" s="1444">
        <v>83</v>
      </c>
      <c r="C333" s="1081">
        <v>0.99348473682106953</v>
      </c>
      <c r="D333" s="1081">
        <v>0.99570205992680128</v>
      </c>
      <c r="E333" s="1081">
        <v>0.97483424600749591</v>
      </c>
      <c r="F333" s="1081">
        <v>1.0212734089037094</v>
      </c>
      <c r="G333" s="1081">
        <v>1.0427041604200693</v>
      </c>
      <c r="H333" s="1081">
        <v>0.95949552220253587</v>
      </c>
      <c r="I333" s="1081">
        <v>1.0084244241267513</v>
      </c>
      <c r="K333">
        <v>2.4363295424428237</v>
      </c>
      <c r="L333">
        <v>0</v>
      </c>
      <c r="M333">
        <v>1.6720408299830663E-3</v>
      </c>
      <c r="N333">
        <v>0.14093979467992077</v>
      </c>
      <c r="O333">
        <v>2.1126450860442236E-2</v>
      </c>
      <c r="P333">
        <v>2.846911265537581E-2</v>
      </c>
      <c r="Q333">
        <v>5.3893169648001503E-3</v>
      </c>
      <c r="R333">
        <v>1.649038589240815E-3</v>
      </c>
      <c r="S333">
        <v>0.25936971879557813</v>
      </c>
      <c r="T333">
        <v>1.4002635942501935</v>
      </c>
      <c r="U333">
        <v>0.21327709214276536</v>
      </c>
      <c r="V333">
        <v>0.25332931346393922</v>
      </c>
      <c r="W333">
        <v>9.3997205120859226E-2</v>
      </c>
      <c r="X333">
        <v>1.5702806315201549E-2</v>
      </c>
      <c r="Y333">
        <v>4.4881394344886512E-3</v>
      </c>
    </row>
    <row r="334" spans="1:25" x14ac:dyDescent="0.2">
      <c r="A334" s="1077"/>
      <c r="B334" s="1444">
        <v>84</v>
      </c>
      <c r="C334" s="1081">
        <v>0.99718900448573644</v>
      </c>
      <c r="D334" s="1081">
        <v>1.0084307727975688</v>
      </c>
      <c r="E334" s="1081">
        <v>0.9982843531732003</v>
      </c>
      <c r="F334" s="1081">
        <v>1.0017851384289671</v>
      </c>
      <c r="G334" s="1081">
        <v>0.98376685578556577</v>
      </c>
      <c r="H334" s="1081">
        <v>0.98528242980663072</v>
      </c>
      <c r="I334" s="1081">
        <v>1.0245011937395807</v>
      </c>
      <c r="K334">
        <v>2.4124205932960909</v>
      </c>
      <c r="L334">
        <v>0</v>
      </c>
      <c r="M334">
        <v>1.6250023542248601E-3</v>
      </c>
      <c r="N334">
        <v>0.14709520055790432</v>
      </c>
      <c r="O334">
        <v>2.1004779010673519E-2</v>
      </c>
      <c r="P334">
        <v>2.8522234621636805E-2</v>
      </c>
      <c r="Q334">
        <v>5.4870508067416919E-3</v>
      </c>
      <c r="R334">
        <v>1.6032323018106858E-3</v>
      </c>
      <c r="S334">
        <v>0.26329193745273027</v>
      </c>
      <c r="T334">
        <v>1.3740499980167797</v>
      </c>
      <c r="U334">
        <v>0.21256504062521436</v>
      </c>
      <c r="V334">
        <v>0.24294086290386571</v>
      </c>
      <c r="W334">
        <v>9.6730198340707507E-2</v>
      </c>
      <c r="X334">
        <v>1.639159119210782E-2</v>
      </c>
      <c r="Y334">
        <v>4.3634698201424332E-3</v>
      </c>
    </row>
    <row r="335" spans="1:25" x14ac:dyDescent="0.2">
      <c r="A335" s="1077"/>
      <c r="B335" s="1444">
        <v>85</v>
      </c>
      <c r="C335" s="1081">
        <v>0.99482692577542486</v>
      </c>
      <c r="D335" s="1081">
        <v>1.0012194451675418</v>
      </c>
      <c r="E335" s="1081">
        <v>0.99927872154279107</v>
      </c>
      <c r="F335" s="1081">
        <v>1.0170728323424643</v>
      </c>
      <c r="G335" s="1081">
        <v>0.97905525672053251</v>
      </c>
      <c r="H335" s="1081">
        <v>1.0188693443390542</v>
      </c>
      <c r="I335" s="1081">
        <v>1.0074344219735925</v>
      </c>
      <c r="K335">
        <v>2.4437001917266077</v>
      </c>
      <c r="L335">
        <v>0</v>
      </c>
      <c r="M335">
        <v>1.683572346555326E-3</v>
      </c>
      <c r="N335">
        <v>0.15292393839816429</v>
      </c>
      <c r="O335">
        <v>2.1088584056025619E-2</v>
      </c>
      <c r="P335">
        <v>2.8828513896070322E-2</v>
      </c>
      <c r="Q335">
        <v>5.5144558503141322E-3</v>
      </c>
      <c r="R335">
        <v>1.6617611492395947E-3</v>
      </c>
      <c r="S335">
        <v>0.26335707382018092</v>
      </c>
      <c r="T335">
        <v>1.3950404901898852</v>
      </c>
      <c r="U335">
        <v>0.21307316287014219</v>
      </c>
      <c r="V335">
        <v>0.2422813155778672</v>
      </c>
      <c r="W335">
        <v>0.10050371970444279</v>
      </c>
      <c r="X335">
        <v>1.6587982512017235E-2</v>
      </c>
      <c r="Y335">
        <v>4.5227660488145532E-3</v>
      </c>
    </row>
    <row r="336" spans="1:25" x14ac:dyDescent="0.2">
      <c r="A336" s="1077"/>
      <c r="B336" s="1444">
        <v>86</v>
      </c>
      <c r="C336" s="1081">
        <v>0.97507427449709083</v>
      </c>
      <c r="D336" s="1081">
        <v>1.0074253262130495</v>
      </c>
      <c r="E336" s="1081">
        <v>0.98310702137551698</v>
      </c>
      <c r="F336" s="1081">
        <v>1.0227432650661943</v>
      </c>
      <c r="G336" s="1081">
        <v>0.9630061645741409</v>
      </c>
      <c r="H336" s="1081">
        <v>0.98605894798668259</v>
      </c>
      <c r="I336" s="1081">
        <v>0.99699889264641872</v>
      </c>
      <c r="K336">
        <v>2.4459803807033254</v>
      </c>
      <c r="L336">
        <v>0</v>
      </c>
      <c r="M336">
        <v>1.7166588173727691E-3</v>
      </c>
      <c r="N336">
        <v>0.14842442869626293</v>
      </c>
      <c r="O336">
        <v>2.1475584797832931E-2</v>
      </c>
      <c r="P336">
        <v>2.860189390340636E-2</v>
      </c>
      <c r="Q336">
        <v>5.5246658354536063E-3</v>
      </c>
      <c r="R336">
        <v>1.6936789600192181E-3</v>
      </c>
      <c r="S336">
        <v>0.2621079163757134</v>
      </c>
      <c r="T336">
        <v>1.4024611083043164</v>
      </c>
      <c r="U336">
        <v>0.21733289848120182</v>
      </c>
      <c r="V336">
        <v>0.24086622212622696</v>
      </c>
      <c r="W336">
        <v>9.8495295437257185E-2</v>
      </c>
      <c r="X336">
        <v>1.6103710794953863E-2</v>
      </c>
      <c r="Y336">
        <v>4.6096358080531929E-3</v>
      </c>
    </row>
    <row r="337" spans="1:25" x14ac:dyDescent="0.2">
      <c r="A337" s="1077"/>
      <c r="B337" s="1444">
        <v>87</v>
      </c>
      <c r="C337" s="1081">
        <v>0.98318943838750372</v>
      </c>
      <c r="D337" s="1081">
        <v>1.0103760450692973</v>
      </c>
      <c r="E337" s="1081">
        <v>1.0409310959912872</v>
      </c>
      <c r="F337" s="1081">
        <v>1.0428568945960248</v>
      </c>
      <c r="G337" s="1081">
        <v>1.0471394603853574</v>
      </c>
      <c r="H337" s="1081">
        <v>1.0059488557233751</v>
      </c>
      <c r="I337" s="1081">
        <v>0.98694472528032606</v>
      </c>
      <c r="K337">
        <v>2.5010039060382852</v>
      </c>
      <c r="L337">
        <v>0</v>
      </c>
      <c r="M337">
        <v>1.5391880669139966E-3</v>
      </c>
      <c r="N337">
        <v>0.15850157346986385</v>
      </c>
      <c r="O337">
        <v>2.1323641838490066E-2</v>
      </c>
      <c r="P337">
        <v>3.0381291731586178E-2</v>
      </c>
      <c r="Q337">
        <v>5.8116525403105286E-3</v>
      </c>
      <c r="R337">
        <v>1.5189912929445201E-3</v>
      </c>
      <c r="S337">
        <v>0.25911408864119989</v>
      </c>
      <c r="T337">
        <v>1.4313496651872366</v>
      </c>
      <c r="U337">
        <v>0.21574044829336295</v>
      </c>
      <c r="V337">
        <v>0.2544960380610522</v>
      </c>
      <c r="W337">
        <v>0.10166167444987294</v>
      </c>
      <c r="X337">
        <v>1.8509835035231025E-2</v>
      </c>
      <c r="Y337">
        <v>4.1341935640498394E-3</v>
      </c>
    </row>
    <row r="338" spans="1:25" x14ac:dyDescent="0.2">
      <c r="A338" s="1077"/>
      <c r="B338" s="1444">
        <v>88</v>
      </c>
      <c r="C338" s="1081">
        <v>0.9596569239949454</v>
      </c>
      <c r="D338" s="1081">
        <v>1.0174927137455128</v>
      </c>
      <c r="E338" s="1081">
        <v>0.98865859156272251</v>
      </c>
      <c r="F338" s="1081">
        <v>0.99722466137116728</v>
      </c>
      <c r="G338" s="1081">
        <v>0.99920138661923863</v>
      </c>
      <c r="H338" s="1081">
        <v>1.0261144986526247</v>
      </c>
      <c r="I338" s="1081">
        <v>1.035174877584915</v>
      </c>
      <c r="K338">
        <v>2.4542415542050118</v>
      </c>
      <c r="L338">
        <v>0</v>
      </c>
      <c r="M338">
        <v>1.7904345305593589E-3</v>
      </c>
      <c r="N338">
        <v>0.15750761780140285</v>
      </c>
      <c r="O338">
        <v>2.1776734209188877E-2</v>
      </c>
      <c r="P338">
        <v>2.8621525128769223E-2</v>
      </c>
      <c r="Q338">
        <v>5.6337337340417659E-3</v>
      </c>
      <c r="R338">
        <v>1.7674026797109596E-3</v>
      </c>
      <c r="S338">
        <v>0.27885200612837097</v>
      </c>
      <c r="T338">
        <v>1.3675875054687454</v>
      </c>
      <c r="U338">
        <v>0.22084418590988694</v>
      </c>
      <c r="V338">
        <v>0.2480580682347153</v>
      </c>
      <c r="W338">
        <v>0.10417478280875785</v>
      </c>
      <c r="X338">
        <v>1.6398139161943978E-2</v>
      </c>
      <c r="Y338">
        <v>4.8102874700364472E-3</v>
      </c>
    </row>
    <row r="339" spans="1:25" x14ac:dyDescent="0.2">
      <c r="A339" s="1077"/>
      <c r="B339" s="1444">
        <v>89</v>
      </c>
      <c r="C339" s="1081">
        <v>0.98049521066884671</v>
      </c>
      <c r="D339" s="1081">
        <v>0.98596387855240653</v>
      </c>
      <c r="E339" s="1081">
        <v>1.0099877875272103</v>
      </c>
      <c r="F339" s="1081">
        <v>1.0135230436652249</v>
      </c>
      <c r="G339" s="1081">
        <v>0.98135594580861707</v>
      </c>
      <c r="H339" s="1081">
        <v>1.0210313578386592</v>
      </c>
      <c r="I339" s="1081">
        <v>0.99371051831394019</v>
      </c>
      <c r="K339">
        <v>2.4544681586482153</v>
      </c>
      <c r="L339">
        <v>0</v>
      </c>
      <c r="M339">
        <v>1.6798370972894809E-3</v>
      </c>
      <c r="N339">
        <v>0.15760481602284857</v>
      </c>
      <c r="O339">
        <v>2.1476507901069242E-2</v>
      </c>
      <c r="P339">
        <v>2.9090304835166687E-2</v>
      </c>
      <c r="Q339">
        <v>5.6765168334226941E-3</v>
      </c>
      <c r="R339">
        <v>1.6581203735831869E-3</v>
      </c>
      <c r="S339">
        <v>0.26587435187010566</v>
      </c>
      <c r="T339">
        <v>1.3904064866492303</v>
      </c>
      <c r="U339">
        <v>0.21622497460186824</v>
      </c>
      <c r="V339">
        <v>0.24355392386582081</v>
      </c>
      <c r="W339">
        <v>0.10292526413689396</v>
      </c>
      <c r="X339">
        <v>1.7143871597836566E-2</v>
      </c>
      <c r="Y339">
        <v>4.512857057659185E-3</v>
      </c>
    </row>
    <row r="340" spans="1:25" x14ac:dyDescent="0.2">
      <c r="A340" s="1077"/>
      <c r="B340" s="1444">
        <v>90</v>
      </c>
      <c r="C340" s="1081">
        <v>1.0167029847537066</v>
      </c>
      <c r="D340" s="1081">
        <v>1.0354507484785564</v>
      </c>
      <c r="E340" s="1081">
        <v>0.96775683988078409</v>
      </c>
      <c r="F340" s="1081">
        <v>1.002250714757134</v>
      </c>
      <c r="G340" s="1081">
        <v>0.99874951378254184</v>
      </c>
      <c r="H340" s="1081">
        <v>1.0292590962711736</v>
      </c>
      <c r="I340" s="1081">
        <v>1.0192387558604079</v>
      </c>
      <c r="K340">
        <v>2.4001769034555758</v>
      </c>
      <c r="L340">
        <v>0</v>
      </c>
      <c r="M340">
        <v>1.7632039634488995E-3</v>
      </c>
      <c r="N340">
        <v>0.14561089086236212</v>
      </c>
      <c r="O340">
        <v>2.0462410595230476E-2</v>
      </c>
      <c r="P340">
        <v>2.7750755918406089E-2</v>
      </c>
      <c r="Q340">
        <v>5.1823257595301937E-3</v>
      </c>
      <c r="R340">
        <v>1.7405916988905896E-3</v>
      </c>
      <c r="S340">
        <v>0.25701561610677748</v>
      </c>
      <c r="T340">
        <v>1.3740291605826729</v>
      </c>
      <c r="U340">
        <v>0.2083828409666148</v>
      </c>
      <c r="V340">
        <v>0.24441033556281852</v>
      </c>
      <c r="W340">
        <v>9.7531294262355128E-2</v>
      </c>
      <c r="X340">
        <v>1.5086568284885048E-2</v>
      </c>
      <c r="Y340">
        <v>4.7373168184808544E-3</v>
      </c>
    </row>
    <row r="341" spans="1:25" x14ac:dyDescent="0.2">
      <c r="A341" s="1077"/>
      <c r="B341" s="1444">
        <v>91</v>
      </c>
      <c r="C341" s="1081">
        <v>1.0033013661586621</v>
      </c>
      <c r="D341" s="1081">
        <v>1.0254329687001946</v>
      </c>
      <c r="E341" s="1081">
        <v>0.99881502842873027</v>
      </c>
      <c r="F341" s="1081">
        <v>1.0033457060416</v>
      </c>
      <c r="G341" s="1081">
        <v>1.0119790795220032</v>
      </c>
      <c r="H341" s="1081">
        <v>1.0231622194166941</v>
      </c>
      <c r="I341" s="1081">
        <v>1.0201893739546004</v>
      </c>
      <c r="K341">
        <v>2.4231698669496584</v>
      </c>
      <c r="L341">
        <v>0</v>
      </c>
      <c r="M341">
        <v>1.6692001371994703E-3</v>
      </c>
      <c r="N341">
        <v>0.15141453434659205</v>
      </c>
      <c r="O341">
        <v>2.0800511781276926E-2</v>
      </c>
      <c r="P341">
        <v>2.8583695001576918E-2</v>
      </c>
      <c r="Q341">
        <v>5.4365919087476728E-3</v>
      </c>
      <c r="R341">
        <v>1.6476658681501759E-3</v>
      </c>
      <c r="S341">
        <v>0.26167975943811644</v>
      </c>
      <c r="T341">
        <v>1.3762019875182134</v>
      </c>
      <c r="U341">
        <v>0.21127184907595081</v>
      </c>
      <c r="V341">
        <v>0.24737581136843834</v>
      </c>
      <c r="W341">
        <v>9.9539167804433712E-2</v>
      </c>
      <c r="X341">
        <v>1.6403089635158304E-2</v>
      </c>
      <c r="Y341">
        <v>4.4844033401973188E-3</v>
      </c>
    </row>
    <row r="342" spans="1:25" x14ac:dyDescent="0.2">
      <c r="A342" s="1077"/>
      <c r="B342" s="1444">
        <v>92</v>
      </c>
      <c r="C342" s="1081">
        <v>0.99507657285233253</v>
      </c>
      <c r="D342" s="1081">
        <v>1.0124580487423511</v>
      </c>
      <c r="E342" s="1081">
        <v>1.0161154988211671</v>
      </c>
      <c r="F342" s="1081">
        <v>0.96995548299039558</v>
      </c>
      <c r="G342" s="1081">
        <v>0.98244551585323969</v>
      </c>
      <c r="H342" s="1081">
        <v>1.0007952100558763</v>
      </c>
      <c r="I342" s="1081">
        <v>0.99961155987916817</v>
      </c>
      <c r="K342">
        <v>2.3722136912220875</v>
      </c>
      <c r="L342">
        <v>0</v>
      </c>
      <c r="M342">
        <v>1.5925660659520883E-3</v>
      </c>
      <c r="N342">
        <v>0.15216585090338594</v>
      </c>
      <c r="O342">
        <v>2.1042794350816948E-2</v>
      </c>
      <c r="P342">
        <v>2.824094787387571E-2</v>
      </c>
      <c r="Q342">
        <v>5.5959969795995237E-3</v>
      </c>
      <c r="R342">
        <v>1.5715612704384724E-3</v>
      </c>
      <c r="S342">
        <v>0.25839513020121468</v>
      </c>
      <c r="T342">
        <v>1.3307670006752943</v>
      </c>
      <c r="U342">
        <v>0.21307761218551663</v>
      </c>
      <c r="V342">
        <v>0.24278619460786288</v>
      </c>
      <c r="W342">
        <v>9.9015732749786645E-2</v>
      </c>
      <c r="X342">
        <v>1.6870163777146955E-2</v>
      </c>
      <c r="Y342">
        <v>4.2772717130999541E-3</v>
      </c>
    </row>
    <row r="343" spans="1:25" x14ac:dyDescent="0.2">
      <c r="A343" s="1077"/>
      <c r="B343" s="1444">
        <v>93</v>
      </c>
      <c r="C343" s="1081">
        <v>1.0143117794075793</v>
      </c>
      <c r="D343" s="1081">
        <v>0.98820055863298661</v>
      </c>
      <c r="E343" s="1081">
        <v>0.96897590133496403</v>
      </c>
      <c r="F343" s="1081">
        <v>1.0040639193177501</v>
      </c>
      <c r="G343" s="1081">
        <v>1.0033632427935135</v>
      </c>
      <c r="H343" s="1081">
        <v>0.96551609692497253</v>
      </c>
      <c r="I343" s="1081">
        <v>1.0211894278245559</v>
      </c>
      <c r="K343">
        <v>2.3939671161079192</v>
      </c>
      <c r="L343">
        <v>0</v>
      </c>
      <c r="M343">
        <v>1.6708206826711368E-3</v>
      </c>
      <c r="N343">
        <v>0.13837312826138407</v>
      </c>
      <c r="O343">
        <v>2.0723287657549695E-2</v>
      </c>
      <c r="P343">
        <v>2.7851824859835454E-2</v>
      </c>
      <c r="Q343">
        <v>5.2549450970714997E-3</v>
      </c>
      <c r="R343">
        <v>1.6479785556423206E-3</v>
      </c>
      <c r="S343">
        <v>0.25871422837763769</v>
      </c>
      <c r="T343">
        <v>1.3765412600238287</v>
      </c>
      <c r="U343">
        <v>0.20887818343732659</v>
      </c>
      <c r="V343">
        <v>0.24533899852756669</v>
      </c>
      <c r="W343">
        <v>9.2614554011314729E-2</v>
      </c>
      <c r="X343">
        <v>1.521429360895704E-2</v>
      </c>
      <c r="Y343">
        <v>4.4852543724735331E-3</v>
      </c>
    </row>
    <row r="344" spans="1:25" x14ac:dyDescent="0.2">
      <c r="A344" s="1077"/>
      <c r="B344" s="1444">
        <v>94</v>
      </c>
      <c r="C344" s="1081">
        <v>1.0021192968118287</v>
      </c>
      <c r="D344" s="1081">
        <v>0.98356544693504122</v>
      </c>
      <c r="E344" s="1081">
        <v>0.98652780923293093</v>
      </c>
      <c r="F344" s="1081">
        <v>1.0410165567857754</v>
      </c>
      <c r="G344" s="1081">
        <v>0.97777316851472496</v>
      </c>
      <c r="H344" s="1081">
        <v>0.98724298720591563</v>
      </c>
      <c r="I344" s="1081">
        <v>1.0235517901965641</v>
      </c>
      <c r="K344">
        <v>2.4643553493828847</v>
      </c>
      <c r="L344">
        <v>0</v>
      </c>
      <c r="M344">
        <v>1.6693186104452765E-3</v>
      </c>
      <c r="N344">
        <v>0.1458347819422669</v>
      </c>
      <c r="O344">
        <v>2.1008753089680986E-2</v>
      </c>
      <c r="P344">
        <v>2.8987812711031232E-2</v>
      </c>
      <c r="Q344">
        <v>5.4233451407962319E-3</v>
      </c>
      <c r="R344">
        <v>1.6469992679747606E-3</v>
      </c>
      <c r="S344">
        <v>0.26513215075731023</v>
      </c>
      <c r="T344">
        <v>1.427595576249074</v>
      </c>
      <c r="U344">
        <v>0.2114791958186544</v>
      </c>
      <c r="V344">
        <v>0.24165066438627461</v>
      </c>
      <c r="W344">
        <v>9.6577859806489891E-2</v>
      </c>
      <c r="X344">
        <v>1.620493974951024E-2</v>
      </c>
      <c r="Y344">
        <v>4.4825890742645263E-3</v>
      </c>
    </row>
    <row r="345" spans="1:25" x14ac:dyDescent="0.2">
      <c r="A345" s="1077"/>
      <c r="B345" s="1444">
        <v>95</v>
      </c>
      <c r="C345" s="1081">
        <v>1.0138176802130106</v>
      </c>
      <c r="D345" s="1081">
        <v>1.0211919639718274</v>
      </c>
      <c r="E345" s="1081">
        <v>0.97503896549375657</v>
      </c>
      <c r="F345" s="1081">
        <v>1.019056333647113</v>
      </c>
      <c r="G345" s="1081">
        <v>1.0161792633639031</v>
      </c>
      <c r="H345" s="1081">
        <v>0.9726807413078159</v>
      </c>
      <c r="I345" s="1081">
        <v>1.0080624057303063</v>
      </c>
      <c r="K345">
        <v>2.4118333618471426</v>
      </c>
      <c r="L345">
        <v>0</v>
      </c>
      <c r="M345">
        <v>1.6511127492205993E-3</v>
      </c>
      <c r="N345">
        <v>0.13928832149013406</v>
      </c>
      <c r="O345">
        <v>2.0588064908031549E-2</v>
      </c>
      <c r="P345">
        <v>2.819902792408439E-2</v>
      </c>
      <c r="Q345">
        <v>5.2530717564320392E-3</v>
      </c>
      <c r="R345">
        <v>1.6287063209783302E-3</v>
      </c>
      <c r="S345">
        <v>0.25197405173969256</v>
      </c>
      <c r="T345">
        <v>1.3972282605181883</v>
      </c>
      <c r="U345">
        <v>0.20900033293484802</v>
      </c>
      <c r="V345">
        <v>0.24753657503623325</v>
      </c>
      <c r="W345">
        <v>9.2884256691361633E-2</v>
      </c>
      <c r="X345">
        <v>1.5471003573567869E-2</v>
      </c>
      <c r="Y345">
        <v>4.4328017028085996E-3</v>
      </c>
    </row>
    <row r="346" spans="1:25" x14ac:dyDescent="0.2">
      <c r="A346" s="1077"/>
      <c r="B346" s="1444">
        <v>96</v>
      </c>
      <c r="C346" s="1081">
        <v>0.98464595961876922</v>
      </c>
      <c r="D346" s="1081">
        <v>0.9869928779452648</v>
      </c>
      <c r="E346" s="1081">
        <v>1.0315925518828419</v>
      </c>
      <c r="F346" s="1081">
        <v>0.96930505181283377</v>
      </c>
      <c r="G346" s="1081">
        <v>1.0189943048563168</v>
      </c>
      <c r="H346" s="1081">
        <v>1.0257138493849272</v>
      </c>
      <c r="I346" s="1081">
        <v>1.0172036289837136</v>
      </c>
      <c r="K346">
        <v>2.4093526316069704</v>
      </c>
      <c r="L346">
        <v>0</v>
      </c>
      <c r="M346">
        <v>1.6061838705035162E-3</v>
      </c>
      <c r="N346">
        <v>0.16085252303537523</v>
      </c>
      <c r="O346">
        <v>2.1395717536888015E-2</v>
      </c>
      <c r="P346">
        <v>2.8864301493842188E-2</v>
      </c>
      <c r="Q346">
        <v>5.777886822187682E-3</v>
      </c>
      <c r="R346">
        <v>1.5855141188191534E-3</v>
      </c>
      <c r="S346">
        <v>0.27147002238494283</v>
      </c>
      <c r="T346">
        <v>1.330200598661103</v>
      </c>
      <c r="U346">
        <v>0.21538872297883013</v>
      </c>
      <c r="V346">
        <v>0.24963404031251873</v>
      </c>
      <c r="W346">
        <v>0.10372758240054757</v>
      </c>
      <c r="X346">
        <v>1.7746658965582536E-2</v>
      </c>
      <c r="Y346">
        <v>4.3152467668369377E-3</v>
      </c>
    </row>
    <row r="347" spans="1:25" x14ac:dyDescent="0.2">
      <c r="A347" s="1077"/>
      <c r="B347" s="1444">
        <v>97</v>
      </c>
      <c r="C347" s="1081">
        <v>0.9850932245466173</v>
      </c>
      <c r="D347" s="1081">
        <v>0.99171185694626129</v>
      </c>
      <c r="E347" s="1081">
        <v>0.99086743571560154</v>
      </c>
      <c r="F347" s="1081">
        <v>1.005142773696118</v>
      </c>
      <c r="G347" s="1081">
        <v>1.0197883578885816</v>
      </c>
      <c r="H347" s="1081">
        <v>1.0153300870823199</v>
      </c>
      <c r="I347" s="1081">
        <v>0.96587199683529201</v>
      </c>
      <c r="K347">
        <v>2.4296213893457406</v>
      </c>
      <c r="L347">
        <v>0</v>
      </c>
      <c r="M347">
        <v>1.7277223268943218E-3</v>
      </c>
      <c r="N347">
        <v>0.15298799240990074</v>
      </c>
      <c r="O347">
        <v>2.1336038902023249E-2</v>
      </c>
      <c r="P347">
        <v>2.8452626806167759E-2</v>
      </c>
      <c r="Q347">
        <v>5.5320628422677945E-3</v>
      </c>
      <c r="R347">
        <v>1.7052611293101776E-3</v>
      </c>
      <c r="S347">
        <v>0.25584144889949878</v>
      </c>
      <c r="T347">
        <v>1.3784942729040603</v>
      </c>
      <c r="U347">
        <v>0.21514937361025088</v>
      </c>
      <c r="V347">
        <v>0.24988816987423113</v>
      </c>
      <c r="W347">
        <v>0.10105169578527028</v>
      </c>
      <c r="X347">
        <v>1.626900985485271E-2</v>
      </c>
      <c r="Y347">
        <v>4.6411586548021043E-3</v>
      </c>
    </row>
    <row r="348" spans="1:25" x14ac:dyDescent="0.2">
      <c r="A348" s="1077"/>
      <c r="B348" s="1444">
        <v>98</v>
      </c>
      <c r="C348" s="1081">
        <v>1.0087895534121385</v>
      </c>
      <c r="D348" s="1081">
        <v>1.0008869945558814</v>
      </c>
      <c r="E348" s="1081">
        <v>1.0154068629560784</v>
      </c>
      <c r="F348" s="1081">
        <v>0.96128222474438751</v>
      </c>
      <c r="G348" s="1081">
        <v>1.0118484041882012</v>
      </c>
      <c r="H348" s="1081">
        <v>1.0004408645938765</v>
      </c>
      <c r="I348" s="1081">
        <v>0.9647151502168928</v>
      </c>
      <c r="K348">
        <v>2.3466750760881849</v>
      </c>
      <c r="L348">
        <v>0</v>
      </c>
      <c r="M348">
        <v>1.5766589244415312E-3</v>
      </c>
      <c r="N348">
        <v>0.15032344317218455</v>
      </c>
      <c r="O348">
        <v>2.0808837695951848E-2</v>
      </c>
      <c r="P348">
        <v>2.7927068452396109E-2</v>
      </c>
      <c r="Q348">
        <v>5.5298737192352489E-3</v>
      </c>
      <c r="R348">
        <v>1.5558565672650069E-3</v>
      </c>
      <c r="S348">
        <v>0.24736778543698673</v>
      </c>
      <c r="T348">
        <v>1.3188526178855193</v>
      </c>
      <c r="U348">
        <v>0.21017873472488743</v>
      </c>
      <c r="V348">
        <v>0.24695507817967219</v>
      </c>
      <c r="W348">
        <v>9.7857558686842358E-2</v>
      </c>
      <c r="X348">
        <v>1.6660351803566925E-2</v>
      </c>
      <c r="Y348">
        <v>4.2345286881157913E-3</v>
      </c>
    </row>
    <row r="349" spans="1:25" x14ac:dyDescent="0.2">
      <c r="A349" s="1077"/>
      <c r="B349" s="1444">
        <v>99</v>
      </c>
      <c r="C349" s="1081">
        <v>1.0228676728419501</v>
      </c>
      <c r="D349" s="1081">
        <v>0.99608744702419449</v>
      </c>
      <c r="E349" s="1081">
        <v>0.99064262364275624</v>
      </c>
      <c r="F349" s="1081">
        <v>1.0011698391853947</v>
      </c>
      <c r="G349" s="1081">
        <v>0.99709695441308788</v>
      </c>
      <c r="H349" s="1081">
        <v>0.99953482563257712</v>
      </c>
      <c r="I349" s="1081">
        <v>1.0115864668980357</v>
      </c>
      <c r="K349">
        <v>2.3949306736068419</v>
      </c>
      <c r="L349">
        <v>0</v>
      </c>
      <c r="M349">
        <v>1.6372089094655608E-3</v>
      </c>
      <c r="N349">
        <v>0.14484446935208994</v>
      </c>
      <c r="O349">
        <v>2.0528062332232047E-2</v>
      </c>
      <c r="P349">
        <v>2.8186315718426839E-2</v>
      </c>
      <c r="Q349">
        <v>5.3213597911987319E-3</v>
      </c>
      <c r="R349">
        <v>1.615588078201706E-3</v>
      </c>
      <c r="S349">
        <v>0.25615594923044827</v>
      </c>
      <c r="T349">
        <v>1.3730407677667902</v>
      </c>
      <c r="U349">
        <v>0.20720316860349464</v>
      </c>
      <c r="V349">
        <v>0.24367423063113355</v>
      </c>
      <c r="W349">
        <v>9.5685610371503693E-2</v>
      </c>
      <c r="X349">
        <v>1.5915262470387354E-2</v>
      </c>
      <c r="Y349">
        <v>4.3970981703981976E-3</v>
      </c>
    </row>
    <row r="350" spans="1:25" x14ac:dyDescent="0.2">
      <c r="A350" s="1077"/>
      <c r="B350" s="1444">
        <v>100</v>
      </c>
      <c r="C350" s="1081">
        <v>0.99982490632877175</v>
      </c>
      <c r="D350" s="1081">
        <v>0.98185943895579431</v>
      </c>
      <c r="E350" s="1081">
        <v>1.0029904387466275</v>
      </c>
      <c r="F350" s="1081">
        <v>0.99863695146980647</v>
      </c>
      <c r="G350" s="1081">
        <v>1.0093926640809012</v>
      </c>
      <c r="H350" s="1081">
        <v>0.98065764311426906</v>
      </c>
      <c r="I350" s="1081">
        <v>0.98757972644851622</v>
      </c>
      <c r="K350">
        <v>2.4054281340821073</v>
      </c>
      <c r="L350">
        <v>0</v>
      </c>
      <c r="M350">
        <v>1.6068507925495303E-3</v>
      </c>
      <c r="N350">
        <v>0.14752539968061665</v>
      </c>
      <c r="O350">
        <v>2.1075970320053421E-2</v>
      </c>
      <c r="P350">
        <v>2.8517669891492473E-2</v>
      </c>
      <c r="Q350">
        <v>5.5317447429939388E-3</v>
      </c>
      <c r="R350">
        <v>1.5852223945764037E-3</v>
      </c>
      <c r="S350">
        <v>0.25620378004882272</v>
      </c>
      <c r="T350">
        <v>1.3698335988626176</v>
      </c>
      <c r="U350">
        <v>0.21202073283906384</v>
      </c>
      <c r="V350">
        <v>0.24713520685526849</v>
      </c>
      <c r="W350">
        <v>9.6742264031737413E-2</v>
      </c>
      <c r="X350">
        <v>1.6548942417798265E-2</v>
      </c>
      <c r="Y350">
        <v>4.3144527896150416E-3</v>
      </c>
    </row>
    <row r="351" spans="1:25" x14ac:dyDescent="0.2">
      <c r="A351" s="1077"/>
      <c r="B351" s="1444">
        <v>101</v>
      </c>
      <c r="C351" s="1081">
        <v>1.0463779046199146</v>
      </c>
      <c r="D351" s="1081">
        <v>0.98292999318514385</v>
      </c>
      <c r="E351" s="1081">
        <v>0.9847847490617857</v>
      </c>
      <c r="F351" s="1081">
        <v>1.0009250177758351</v>
      </c>
      <c r="G351" s="1081">
        <v>1.0209456420688223</v>
      </c>
      <c r="H351" s="1081">
        <v>0.97021703039022944</v>
      </c>
      <c r="I351" s="1081">
        <v>0.98036150534272082</v>
      </c>
      <c r="K351">
        <v>2.3641075313602418</v>
      </c>
      <c r="L351">
        <v>0</v>
      </c>
      <c r="M351">
        <v>1.5770425449712329E-3</v>
      </c>
      <c r="N351">
        <v>0.13701639061392931</v>
      </c>
      <c r="O351">
        <v>2.0121900336620334E-2</v>
      </c>
      <c r="P351">
        <v>2.7837349853862037E-2</v>
      </c>
      <c r="Q351">
        <v>5.1852411831588936E-3</v>
      </c>
      <c r="R351">
        <v>1.5555869414842862E-3</v>
      </c>
      <c r="S351">
        <v>0.24190785790487707</v>
      </c>
      <c r="T351">
        <v>1.372578516301012</v>
      </c>
      <c r="U351">
        <v>0.20252858696466636</v>
      </c>
      <c r="V351">
        <v>0.246399752727194</v>
      </c>
      <c r="W351">
        <v>9.0833078794096328E-2</v>
      </c>
      <c r="X351">
        <v>1.5486517428685545E-2</v>
      </c>
      <c r="Y351">
        <v>4.2337948556227835E-3</v>
      </c>
    </row>
    <row r="352" spans="1:25" x14ac:dyDescent="0.2">
      <c r="A352" s="1077"/>
      <c r="B352" s="1444">
        <v>102</v>
      </c>
      <c r="C352" s="1081">
        <v>1.0128982430526559</v>
      </c>
      <c r="D352" s="1081">
        <v>0.96888289810907724</v>
      </c>
      <c r="E352" s="1081">
        <v>1.0310266526130627</v>
      </c>
      <c r="F352" s="1081">
        <v>1.0108645884829965</v>
      </c>
      <c r="G352" s="1081">
        <v>1.0277908523776522</v>
      </c>
      <c r="H352" s="1081">
        <v>1.0076063594623819</v>
      </c>
      <c r="I352" s="1081">
        <v>1.0264026880086745</v>
      </c>
      <c r="K352">
        <v>2.4445622315551319</v>
      </c>
      <c r="L352">
        <v>0</v>
      </c>
      <c r="M352">
        <v>1.5418987281138382E-3</v>
      </c>
      <c r="N352">
        <v>0.15411535045514196</v>
      </c>
      <c r="O352">
        <v>2.088347371689139E-2</v>
      </c>
      <c r="P352">
        <v>2.9501137223681057E-2</v>
      </c>
      <c r="Q352">
        <v>5.6364038258764652E-3</v>
      </c>
      <c r="R352">
        <v>1.5216996676720627E-3</v>
      </c>
      <c r="S352">
        <v>0.26719007618283253</v>
      </c>
      <c r="T352">
        <v>1.3872213012020111</v>
      </c>
      <c r="U352">
        <v>0.20937907020036134</v>
      </c>
      <c r="V352">
        <v>0.24936860393707713</v>
      </c>
      <c r="W352">
        <v>9.9415658127510256E-2</v>
      </c>
      <c r="X352">
        <v>1.7729790876945793E-2</v>
      </c>
      <c r="Y352">
        <v>4.1415648672427224E-3</v>
      </c>
    </row>
    <row r="353" spans="1:25" x14ac:dyDescent="0.2">
      <c r="A353" s="1077"/>
      <c r="B353" s="1444">
        <v>103</v>
      </c>
      <c r="C353" s="1081">
        <v>1.0019142805347701</v>
      </c>
      <c r="D353" s="1081">
        <v>0.98110668736978246</v>
      </c>
      <c r="E353" s="1081">
        <v>0.98684739623665196</v>
      </c>
      <c r="F353" s="1081">
        <v>1.0239382086987361</v>
      </c>
      <c r="G353" s="1081">
        <v>1.0295578094862421</v>
      </c>
      <c r="H353" s="1081">
        <v>1.0357620870963262</v>
      </c>
      <c r="I353" s="1081">
        <v>0.95846375442884835</v>
      </c>
      <c r="K353">
        <v>2.4494508852917809</v>
      </c>
      <c r="L353">
        <v>0</v>
      </c>
      <c r="M353">
        <v>1.7515231785941705E-3</v>
      </c>
      <c r="N353">
        <v>0.15326151526903325</v>
      </c>
      <c r="O353">
        <v>2.1024838243665019E-2</v>
      </c>
      <c r="P353">
        <v>2.8629355078795563E-2</v>
      </c>
      <c r="Q353">
        <v>5.4292542164651719E-3</v>
      </c>
      <c r="R353">
        <v>1.7292017443091079E-3</v>
      </c>
      <c r="S353">
        <v>0.25260249432476839</v>
      </c>
      <c r="T353">
        <v>1.404182282571486</v>
      </c>
      <c r="U353">
        <v>0.21152355768068373</v>
      </c>
      <c r="V353">
        <v>0.25050887240059316</v>
      </c>
      <c r="W353">
        <v>0.10147667081354793</v>
      </c>
      <c r="X353">
        <v>1.612804901022068E-2</v>
      </c>
      <c r="Y353">
        <v>4.7063171168075799E-3</v>
      </c>
    </row>
    <row r="354" spans="1:25" x14ac:dyDescent="0.2">
      <c r="A354" s="1077"/>
      <c r="B354" s="1444">
        <v>104</v>
      </c>
      <c r="C354" s="1081">
        <v>0.98876954367685466</v>
      </c>
      <c r="D354" s="1081">
        <v>1.0000662391751785</v>
      </c>
      <c r="E354" s="1081">
        <v>0.97819512391880981</v>
      </c>
      <c r="F354" s="1081">
        <v>0.99728930363436352</v>
      </c>
      <c r="G354" s="1081">
        <v>0.99944769660397736</v>
      </c>
      <c r="H354" s="1081">
        <v>0.97167728142233356</v>
      </c>
      <c r="I354" s="1081">
        <v>0.98742493224766659</v>
      </c>
      <c r="K354">
        <v>2.3978747357011416</v>
      </c>
      <c r="L354">
        <v>0</v>
      </c>
      <c r="M354">
        <v>1.6879429192031216E-3</v>
      </c>
      <c r="N354">
        <v>0.14375993615095231</v>
      </c>
      <c r="O354">
        <v>2.1209030813934639E-2</v>
      </c>
      <c r="P354">
        <v>2.7970491491496195E-2</v>
      </c>
      <c r="Q354">
        <v>5.4289323857004352E-3</v>
      </c>
      <c r="R354">
        <v>1.6650130316069967E-3</v>
      </c>
      <c r="S354">
        <v>0.25567795939755661</v>
      </c>
      <c r="T354">
        <v>1.3674512307781277</v>
      </c>
      <c r="U354">
        <v>0.21430573162901428</v>
      </c>
      <c r="V354">
        <v>0.24622417882414591</v>
      </c>
      <c r="W354">
        <v>9.5683133832507761E-2</v>
      </c>
      <c r="X354">
        <v>1.5655423684665461E-2</v>
      </c>
      <c r="Y354">
        <v>4.5316166006358896E-3</v>
      </c>
    </row>
    <row r="355" spans="1:25" x14ac:dyDescent="0.2">
      <c r="A355" s="1077"/>
      <c r="B355" s="1444">
        <v>105</v>
      </c>
      <c r="C355" s="1081">
        <v>0.98968434249900417</v>
      </c>
      <c r="D355" s="1081">
        <v>0.9637004742965023</v>
      </c>
      <c r="E355" s="1081">
        <v>1.0373303084186569</v>
      </c>
      <c r="F355" s="1081">
        <v>0.97217159671308861</v>
      </c>
      <c r="G355" s="1081">
        <v>1.0157964161113531</v>
      </c>
      <c r="H355" s="1081">
        <v>1.0281192326443251</v>
      </c>
      <c r="I355" s="1081">
        <v>1.0187539721654606</v>
      </c>
      <c r="K355">
        <v>2.416181221797578</v>
      </c>
      <c r="L355">
        <v>0</v>
      </c>
      <c r="M355">
        <v>1.5910425825641302E-3</v>
      </c>
      <c r="N355">
        <v>0.16212020819948572</v>
      </c>
      <c r="O355">
        <v>2.1402830637334183E-2</v>
      </c>
      <c r="P355">
        <v>2.9049389273650226E-2</v>
      </c>
      <c r="Q355">
        <v>5.812608509443584E-3</v>
      </c>
      <c r="R355">
        <v>1.5706155849476852E-3</v>
      </c>
      <c r="S355">
        <v>0.27402228277385127</v>
      </c>
      <c r="T355">
        <v>1.3342558754552378</v>
      </c>
      <c r="U355">
        <v>0.21431212054775156</v>
      </c>
      <c r="V355">
        <v>0.24874546578394705</v>
      </c>
      <c r="W355">
        <v>0.10419865397403143</v>
      </c>
      <c r="X355">
        <v>1.8007515771522729E-2</v>
      </c>
      <c r="Y355">
        <v>4.2746978689391707E-3</v>
      </c>
    </row>
    <row r="356" spans="1:25" x14ac:dyDescent="0.2">
      <c r="A356" s="1077"/>
      <c r="B356" s="1444">
        <v>106</v>
      </c>
      <c r="C356" s="1081">
        <v>1.0021578292175346</v>
      </c>
      <c r="D356" s="1081">
        <v>1.0403314811848583</v>
      </c>
      <c r="E356" s="1081">
        <v>1.0232349948202566</v>
      </c>
      <c r="F356" s="1081">
        <v>0.99793796922560984</v>
      </c>
      <c r="G356" s="1081">
        <v>1.0065516719062786</v>
      </c>
      <c r="H356" s="1081">
        <v>0.9683447418210086</v>
      </c>
      <c r="I356" s="1081">
        <v>1.0002559788279342</v>
      </c>
      <c r="K356">
        <v>2.3952798987365811</v>
      </c>
      <c r="L356">
        <v>0</v>
      </c>
      <c r="M356">
        <v>1.498562212151975E-3</v>
      </c>
      <c r="N356">
        <v>0.14622712668214297</v>
      </c>
      <c r="O356">
        <v>2.0774327390423546E-2</v>
      </c>
      <c r="P356">
        <v>2.8845671355790539E-2</v>
      </c>
      <c r="Q356">
        <v>5.5638502920251414E-3</v>
      </c>
      <c r="R356">
        <v>1.4781349107474868E-3</v>
      </c>
      <c r="S356">
        <v>0.25061388246777599</v>
      </c>
      <c r="T356">
        <v>1.3693128877259968</v>
      </c>
      <c r="U356">
        <v>0.2115963605102158</v>
      </c>
      <c r="V356">
        <v>0.246432583179336</v>
      </c>
      <c r="W356">
        <v>9.4755740259742038E-2</v>
      </c>
      <c r="X356">
        <v>1.7154900214524326E-2</v>
      </c>
      <c r="Y356">
        <v>4.0229959600122881E-3</v>
      </c>
    </row>
    <row r="357" spans="1:25" x14ac:dyDescent="0.2">
      <c r="A357" s="1077"/>
      <c r="B357" s="1444">
        <v>107</v>
      </c>
      <c r="C357" s="1081">
        <v>1.0101506936738114</v>
      </c>
      <c r="D357" s="1081">
        <v>0.97675956495208194</v>
      </c>
      <c r="E357" s="1081">
        <v>0.98242899002538497</v>
      </c>
      <c r="F357" s="1081">
        <v>0.99084775926995239</v>
      </c>
      <c r="G357" s="1081">
        <v>1.0158644120823439</v>
      </c>
      <c r="H357" s="1081">
        <v>1.0094198900561842</v>
      </c>
      <c r="I357" s="1081">
        <v>1.0355861450050117</v>
      </c>
      <c r="K357">
        <v>2.4053758177662301</v>
      </c>
      <c r="L357">
        <v>0</v>
      </c>
      <c r="M357">
        <v>1.710279940887513E-3</v>
      </c>
      <c r="N357">
        <v>0.14761625314972199</v>
      </c>
      <c r="O357">
        <v>2.0870880970825553E-2</v>
      </c>
      <c r="P357">
        <v>2.8080303132275376E-2</v>
      </c>
      <c r="Q357">
        <v>5.3654106057898551E-3</v>
      </c>
      <c r="R357">
        <v>1.6879153188753462E-3</v>
      </c>
      <c r="S357">
        <v>0.26895902378350528</v>
      </c>
      <c r="T357">
        <v>1.3587091558727562</v>
      </c>
      <c r="U357">
        <v>0.20978395437861153</v>
      </c>
      <c r="V357">
        <v>0.24767838071429615</v>
      </c>
      <c r="W357">
        <v>9.7999011352153831E-2</v>
      </c>
      <c r="X357">
        <v>1.574185935146119E-2</v>
      </c>
      <c r="Y357">
        <v>4.5939490768433658E-3</v>
      </c>
    </row>
    <row r="358" spans="1:25" x14ac:dyDescent="0.2">
      <c r="A358" s="1077"/>
      <c r="B358" s="1444">
        <v>108</v>
      </c>
      <c r="C358" s="1081">
        <v>0.99180352579949105</v>
      </c>
      <c r="D358" s="1081">
        <v>1.004684842888981</v>
      </c>
      <c r="E358" s="1081">
        <v>1.0194997609231571</v>
      </c>
      <c r="F358" s="1081">
        <v>1.0146372329541551</v>
      </c>
      <c r="G358" s="1081">
        <v>0.99765714362793245</v>
      </c>
      <c r="H358" s="1081">
        <v>1.0168714827671645</v>
      </c>
      <c r="I358" s="1081">
        <v>0.98936912612229322</v>
      </c>
      <c r="K358">
        <v>2.4453534158434449</v>
      </c>
      <c r="L358">
        <v>0</v>
      </c>
      <c r="M358">
        <v>1.6148361646159569E-3</v>
      </c>
      <c r="N358">
        <v>0.15591024241993492</v>
      </c>
      <c r="O358">
        <v>2.1150333922558759E-2</v>
      </c>
      <c r="P358">
        <v>2.9217383135487347E-2</v>
      </c>
      <c r="Q358">
        <v>5.6435738634177486E-3</v>
      </c>
      <c r="R358">
        <v>1.5938743624794769E-3</v>
      </c>
      <c r="S358">
        <v>0.2589727414823354</v>
      </c>
      <c r="T358">
        <v>1.3921443404504221</v>
      </c>
      <c r="U358">
        <v>0.21379248441307377</v>
      </c>
      <c r="V358">
        <v>0.24557787551203095</v>
      </c>
      <c r="W358">
        <v>0.10125122309659103</v>
      </c>
      <c r="X358">
        <v>1.7376178755602979E-2</v>
      </c>
      <c r="Y358">
        <v>4.3380005941267537E-3</v>
      </c>
    </row>
    <row r="359" spans="1:25" x14ac:dyDescent="0.2">
      <c r="A359" s="1077"/>
      <c r="B359" s="1444">
        <v>109</v>
      </c>
      <c r="C359" s="1081">
        <v>0.99667418397920571</v>
      </c>
      <c r="D359" s="1081">
        <v>0.98782191699439459</v>
      </c>
      <c r="E359" s="1081">
        <v>1.0153889295195939</v>
      </c>
      <c r="F359" s="1081">
        <v>0.98352535684264875</v>
      </c>
      <c r="G359" s="1081">
        <v>1.0248122585607151</v>
      </c>
      <c r="H359" s="1081">
        <v>0.9724057202530898</v>
      </c>
      <c r="I359" s="1081">
        <v>1.020946984861558</v>
      </c>
      <c r="K359">
        <v>2.3975861906427505</v>
      </c>
      <c r="L359">
        <v>0</v>
      </c>
      <c r="M359">
        <v>1.5556532537087818E-3</v>
      </c>
      <c r="N359">
        <v>0.14825550088953729</v>
      </c>
      <c r="O359">
        <v>2.1122744627306577E-2</v>
      </c>
      <c r="P359">
        <v>2.8657392811170423E-2</v>
      </c>
      <c r="Q359">
        <v>5.6131930271457083E-3</v>
      </c>
      <c r="R359">
        <v>1.5345362879792455E-3</v>
      </c>
      <c r="S359">
        <v>0.26426964405697334</v>
      </c>
      <c r="T359">
        <v>1.3493691971130091</v>
      </c>
      <c r="U359">
        <v>0.21273356318677222</v>
      </c>
      <c r="V359">
        <v>0.24992006899140351</v>
      </c>
      <c r="W359">
        <v>9.6512385845772097E-2</v>
      </c>
      <c r="X359">
        <v>1.6977115143259613E-2</v>
      </c>
      <c r="Y359">
        <v>4.1765019161281265E-3</v>
      </c>
    </row>
    <row r="360" spans="1:25" x14ac:dyDescent="0.2">
      <c r="A360" s="1077"/>
      <c r="B360" s="1444">
        <v>110</v>
      </c>
      <c r="C360" s="1081">
        <v>1.0058293754012868</v>
      </c>
      <c r="D360" s="1081">
        <v>1.0389355518324113</v>
      </c>
      <c r="E360" s="1081">
        <v>0.99635208388060659</v>
      </c>
      <c r="F360" s="1081">
        <v>0.98455553649973382</v>
      </c>
      <c r="G360" s="1081">
        <v>1.0001223435331625</v>
      </c>
      <c r="H360" s="1081">
        <v>1.0052778464096823</v>
      </c>
      <c r="I360" s="1081">
        <v>1.0066008146676177</v>
      </c>
      <c r="K360">
        <v>2.3800159717355682</v>
      </c>
      <c r="L360">
        <v>0</v>
      </c>
      <c r="M360">
        <v>1.6395518604413436E-3</v>
      </c>
      <c r="N360">
        <v>0.14758802612949326</v>
      </c>
      <c r="O360">
        <v>2.0686994474746614E-2</v>
      </c>
      <c r="P360">
        <v>2.8043116619230896E-2</v>
      </c>
      <c r="Q360">
        <v>5.3935348549271232E-3</v>
      </c>
      <c r="R360">
        <v>1.6180237821212227E-3</v>
      </c>
      <c r="S360">
        <v>0.25435480848483849</v>
      </c>
      <c r="T360">
        <v>1.3503767262630786</v>
      </c>
      <c r="U360">
        <v>0.21073248034890751</v>
      </c>
      <c r="V360">
        <v>0.24520352045930954</v>
      </c>
      <c r="W360">
        <v>9.7166042909656816E-2</v>
      </c>
      <c r="X360">
        <v>1.6088521916162425E-2</v>
      </c>
      <c r="Y360">
        <v>4.4037273535375418E-3</v>
      </c>
    </row>
    <row r="361" spans="1:25" x14ac:dyDescent="0.2">
      <c r="A361" s="1077"/>
      <c r="B361" s="1444">
        <v>111</v>
      </c>
      <c r="C361" s="1081">
        <v>1.0233623859883469</v>
      </c>
      <c r="D361" s="1081">
        <v>0.99763464714355954</v>
      </c>
      <c r="E361" s="1081">
        <v>1.0025251877735168</v>
      </c>
      <c r="F361" s="1081">
        <v>0.97365204633702385</v>
      </c>
      <c r="G361" s="1081">
        <v>1.0364498975467593</v>
      </c>
      <c r="H361" s="1081">
        <v>1.0185845713203356</v>
      </c>
      <c r="I361" s="1081">
        <v>0.99021731949438607</v>
      </c>
      <c r="K361">
        <v>2.3665799819062396</v>
      </c>
      <c r="L361">
        <v>0</v>
      </c>
      <c r="M361">
        <v>1.6264703412257869E-3</v>
      </c>
      <c r="N361">
        <v>0.14919272358935226</v>
      </c>
      <c r="O361">
        <v>2.0518839857095267E-2</v>
      </c>
      <c r="P361">
        <v>2.7959736384368016E-2</v>
      </c>
      <c r="Q361">
        <v>5.3830022666215872E-3</v>
      </c>
      <c r="R361">
        <v>1.6053930268540312E-3</v>
      </c>
      <c r="S361">
        <v>0.25209170355600491</v>
      </c>
      <c r="T361">
        <v>1.3355519192406615</v>
      </c>
      <c r="U361">
        <v>0.20714267128783889</v>
      </c>
      <c r="V361">
        <v>0.25032178112991393</v>
      </c>
      <c r="W361">
        <v>9.7862638133622282E-2</v>
      </c>
      <c r="X361">
        <v>1.6206693173700978E-2</v>
      </c>
      <c r="Y361">
        <v>4.3693506014275997E-3</v>
      </c>
    </row>
    <row r="362" spans="1:25" x14ac:dyDescent="0.2">
      <c r="A362" s="1077"/>
      <c r="B362" s="1444">
        <v>112</v>
      </c>
      <c r="C362" s="1081">
        <v>0.98494360451864649</v>
      </c>
      <c r="D362" s="1081">
        <v>1.0380088232877098</v>
      </c>
      <c r="E362" s="1081">
        <v>1.0102089649210355</v>
      </c>
      <c r="F362" s="1081">
        <v>1.004120164123778</v>
      </c>
      <c r="G362" s="1081">
        <v>1.0010143811673713</v>
      </c>
      <c r="H362" s="1081">
        <v>1.0312857022343087</v>
      </c>
      <c r="I362" s="1081">
        <v>1.0073333324009843</v>
      </c>
      <c r="K362">
        <v>2.437956287231851</v>
      </c>
      <c r="L362">
        <v>0</v>
      </c>
      <c r="M362">
        <v>1.6692709189287933E-3</v>
      </c>
      <c r="N362">
        <v>0.15673850098995537</v>
      </c>
      <c r="O362">
        <v>2.1139076521732855E-2</v>
      </c>
      <c r="P362">
        <v>2.889888472357929E-2</v>
      </c>
      <c r="Q362">
        <v>5.588564800710921E-3</v>
      </c>
      <c r="R362">
        <v>1.6479053703048869E-3</v>
      </c>
      <c r="S362">
        <v>0.26241130742206642</v>
      </c>
      <c r="T362">
        <v>1.3775119139505509</v>
      </c>
      <c r="U362">
        <v>0.21524918611423474</v>
      </c>
      <c r="V362">
        <v>0.24662185096123967</v>
      </c>
      <c r="W362">
        <v>0.10234616106279815</v>
      </c>
      <c r="X362">
        <v>1.6987151047494722E-2</v>
      </c>
      <c r="Y362">
        <v>4.4850551861105774E-3</v>
      </c>
    </row>
    <row r="363" spans="1:25" x14ac:dyDescent="0.2">
      <c r="A363" s="1077"/>
      <c r="B363" s="1444">
        <v>113</v>
      </c>
      <c r="C363" s="1081">
        <v>1.0080772117758592</v>
      </c>
      <c r="D363" s="1081">
        <v>1.0401475094205419</v>
      </c>
      <c r="E363" s="1081">
        <v>0.97762445694372169</v>
      </c>
      <c r="F363" s="1081">
        <v>0.97178667251314577</v>
      </c>
      <c r="G363" s="1081">
        <v>0.96488932037996045</v>
      </c>
      <c r="H363" s="1081">
        <v>0.97739608003538425</v>
      </c>
      <c r="I363" s="1081">
        <v>1.0320782903741534</v>
      </c>
      <c r="K363">
        <v>2.3463577815399996</v>
      </c>
      <c r="L363">
        <v>0</v>
      </c>
      <c r="M363">
        <v>1.6529713657070047E-3</v>
      </c>
      <c r="N363">
        <v>0.14054987103228445</v>
      </c>
      <c r="O363">
        <v>2.0623374781255175E-2</v>
      </c>
      <c r="P363">
        <v>2.7362970808187202E-2</v>
      </c>
      <c r="Q363">
        <v>5.2759558066746868E-3</v>
      </c>
      <c r="R363">
        <v>1.6306479341112073E-3</v>
      </c>
      <c r="S363">
        <v>0.25750156984067374</v>
      </c>
      <c r="T363">
        <v>1.3324708982120721</v>
      </c>
      <c r="U363">
        <v>0.21019921318043422</v>
      </c>
      <c r="V363">
        <v>0.23911279326514856</v>
      </c>
      <c r="W363">
        <v>9.3578885698718389E-2</v>
      </c>
      <c r="X363">
        <v>1.5266486212441003E-2</v>
      </c>
      <c r="Y363">
        <v>4.4380861337036939E-3</v>
      </c>
    </row>
    <row r="364" spans="1:25" x14ac:dyDescent="0.2">
      <c r="A364" s="1077"/>
      <c r="B364" s="1444">
        <v>114</v>
      </c>
      <c r="C364" s="1081">
        <v>0.95751315677000115</v>
      </c>
      <c r="D364" s="1081">
        <v>0.99652046790076687</v>
      </c>
      <c r="E364" s="1081">
        <v>0.98585092903645022</v>
      </c>
      <c r="F364" s="1081">
        <v>0.99919407800976778</v>
      </c>
      <c r="G364" s="1081">
        <v>0.99835241466929792</v>
      </c>
      <c r="H364" s="1081">
        <v>0.98081929309069971</v>
      </c>
      <c r="I364" s="1081">
        <v>0.9871401513210879</v>
      </c>
      <c r="K364">
        <v>2.4329786930903472</v>
      </c>
      <c r="L364">
        <v>0</v>
      </c>
      <c r="M364">
        <v>1.7331536137963318E-3</v>
      </c>
      <c r="N364">
        <v>0.1510884818352097</v>
      </c>
      <c r="O364">
        <v>2.1923779237035795E-2</v>
      </c>
      <c r="P364">
        <v>2.8420151375022951E-2</v>
      </c>
      <c r="Q364">
        <v>5.6556773788713601E-3</v>
      </c>
      <c r="R364">
        <v>1.7098290099940483E-3</v>
      </c>
      <c r="S364">
        <v>0.26528646884659568</v>
      </c>
      <c r="T364">
        <v>1.3702278329691346</v>
      </c>
      <c r="U364">
        <v>0.22132862913283</v>
      </c>
      <c r="V364">
        <v>0.24806862710885944</v>
      </c>
      <c r="W364">
        <v>0.10009778164594528</v>
      </c>
      <c r="X364">
        <v>1.6250997244420466E-2</v>
      </c>
      <c r="Y364">
        <v>4.6535909202221381E-3</v>
      </c>
    </row>
    <row r="365" spans="1:25" x14ac:dyDescent="0.2">
      <c r="A365" s="1077"/>
      <c r="B365" s="1444">
        <v>115</v>
      </c>
      <c r="C365" s="1081">
        <v>0.98050500118123951</v>
      </c>
      <c r="D365" s="1081">
        <v>1.0288699281887801</v>
      </c>
      <c r="E365" s="1081">
        <v>1.0290858968481729</v>
      </c>
      <c r="F365" s="1081">
        <v>1.0192351545779319</v>
      </c>
      <c r="G365" s="1081">
        <v>0.9739568954101725</v>
      </c>
      <c r="H365" s="1081">
        <v>1.0113063408356986</v>
      </c>
      <c r="I365" s="1081">
        <v>1.0362438918987009</v>
      </c>
      <c r="K365">
        <v>2.4657848379440135</v>
      </c>
      <c r="L365">
        <v>0</v>
      </c>
      <c r="M365">
        <v>1.5840920459004591E-3</v>
      </c>
      <c r="N365">
        <v>0.15741666276144239</v>
      </c>
      <c r="O365">
        <v>2.1288858392389708E-2</v>
      </c>
      <c r="P365">
        <v>2.9665300318442701E-2</v>
      </c>
      <c r="Q365">
        <v>5.7348020159494559E-3</v>
      </c>
      <c r="R365">
        <v>1.5634161707321437E-3</v>
      </c>
      <c r="S365">
        <v>0.27072745756494082</v>
      </c>
      <c r="T365">
        <v>1.3986652943732232</v>
      </c>
      <c r="U365">
        <v>0.21628959369892342</v>
      </c>
      <c r="V365">
        <v>0.2422257824884004</v>
      </c>
      <c r="W365">
        <v>0.10165970208338229</v>
      </c>
      <c r="X365">
        <v>1.7876956685355164E-2</v>
      </c>
      <c r="Y365">
        <v>4.2551034367307259E-3</v>
      </c>
    </row>
    <row r="366" spans="1:25" x14ac:dyDescent="0.2">
      <c r="A366" s="1077"/>
      <c r="B366" s="1444">
        <v>116</v>
      </c>
      <c r="C366" s="1081">
        <v>0.98832967047208486</v>
      </c>
      <c r="D366" s="1081">
        <v>0.99903807514869147</v>
      </c>
      <c r="E366" s="1081">
        <v>0.98344344768059411</v>
      </c>
      <c r="F366" s="1081">
        <v>1.0057887519981894</v>
      </c>
      <c r="G366" s="1081">
        <v>1.0139296552640358</v>
      </c>
      <c r="H366" s="1081">
        <v>1.0083017759873039</v>
      </c>
      <c r="I366" s="1081">
        <v>1.0118835234305172</v>
      </c>
      <c r="K366">
        <v>2.4332578319497977</v>
      </c>
      <c r="L366">
        <v>0</v>
      </c>
      <c r="M366">
        <v>1.7338200100538261E-3</v>
      </c>
      <c r="N366">
        <v>0.15010575482886285</v>
      </c>
      <c r="O366">
        <v>2.1226786712529113E-2</v>
      </c>
      <c r="P366">
        <v>2.8407956006404229E-2</v>
      </c>
      <c r="Q366">
        <v>5.4625258527466877E-3</v>
      </c>
      <c r="R366">
        <v>1.7111224226525267E-3</v>
      </c>
      <c r="S366">
        <v>0.26549568463162998</v>
      </c>
      <c r="T366">
        <v>1.3792191209694729</v>
      </c>
      <c r="U366">
        <v>0.21441920803136158</v>
      </c>
      <c r="V366">
        <v>0.24870740451566528</v>
      </c>
      <c r="W366">
        <v>9.9590852326653004E-2</v>
      </c>
      <c r="X366">
        <v>1.598812449876752E-2</v>
      </c>
      <c r="Y366">
        <v>4.6571111631051485E-3</v>
      </c>
    </row>
    <row r="367" spans="1:25" x14ac:dyDescent="0.2">
      <c r="A367" s="1077"/>
      <c r="B367" s="1444">
        <v>117</v>
      </c>
      <c r="C367" s="1081">
        <v>0.95978182150580171</v>
      </c>
      <c r="D367" s="1081">
        <v>1.0155068060802426</v>
      </c>
      <c r="E367" s="1081">
        <v>1.0302170689992916</v>
      </c>
      <c r="F367" s="1081">
        <v>1.0132945211823661</v>
      </c>
      <c r="G367" s="1081">
        <v>0.97483545846154773</v>
      </c>
      <c r="H367" s="1081">
        <v>1.0229161098663766</v>
      </c>
      <c r="I367" s="1081">
        <v>1.0029815525624763</v>
      </c>
      <c r="K367">
        <v>2.4743146910590164</v>
      </c>
      <c r="L367">
        <v>0</v>
      </c>
      <c r="M367">
        <v>1.6377229906721477E-3</v>
      </c>
      <c r="N367">
        <v>0.16332659103326996</v>
      </c>
      <c r="O367">
        <v>2.1811942157042824E-2</v>
      </c>
      <c r="P367">
        <v>2.9659249427255532E-2</v>
      </c>
      <c r="Q367">
        <v>5.8822867837889699E-3</v>
      </c>
      <c r="R367">
        <v>1.616589723388296E-3</v>
      </c>
      <c r="S367">
        <v>0.27047919335310228</v>
      </c>
      <c r="T367">
        <v>1.3905380780257341</v>
      </c>
      <c r="U367">
        <v>0.22096366848741597</v>
      </c>
      <c r="V367">
        <v>0.24374655717677213</v>
      </c>
      <c r="W367">
        <v>0.10540708071120614</v>
      </c>
      <c r="X367">
        <v>1.81213528523071E-2</v>
      </c>
      <c r="Y367">
        <v>4.3998243184038494E-3</v>
      </c>
    </row>
    <row r="368" spans="1:25" x14ac:dyDescent="0.2">
      <c r="A368" s="1077"/>
      <c r="B368" s="1444">
        <v>118</v>
      </c>
      <c r="C368" s="1081">
        <v>1.0085577988355565</v>
      </c>
      <c r="D368" s="1081">
        <v>1.0005492074363376</v>
      </c>
      <c r="E368" s="1081">
        <v>0.99971523100653159</v>
      </c>
      <c r="F368" s="1081">
        <v>1.00317926824143</v>
      </c>
      <c r="G368" s="1081">
        <v>1.0223675713454996</v>
      </c>
      <c r="H368" s="1081">
        <v>1.0409134255214314</v>
      </c>
      <c r="I368" s="1081">
        <v>1.0100582827636133</v>
      </c>
      <c r="K368">
        <v>2.4288372904077904</v>
      </c>
      <c r="L368">
        <v>0</v>
      </c>
      <c r="M368">
        <v>1.6952955247240282E-3</v>
      </c>
      <c r="N368">
        <v>0.15423486994353666</v>
      </c>
      <c r="O368">
        <v>2.0804828323112177E-2</v>
      </c>
      <c r="P368">
        <v>2.8614842430641892E-2</v>
      </c>
      <c r="Q368">
        <v>5.4426447481236168E-3</v>
      </c>
      <c r="R368">
        <v>1.6737975759385402E-3</v>
      </c>
      <c r="S368">
        <v>0.26241657527642653</v>
      </c>
      <c r="T368">
        <v>1.3759932281119973</v>
      </c>
      <c r="U368">
        <v>0.21017378657118557</v>
      </c>
      <c r="V368">
        <v>0.24882248270253401</v>
      </c>
      <c r="W368">
        <v>0.10133897701208926</v>
      </c>
      <c r="X368">
        <v>1.6461028002444728E-2</v>
      </c>
      <c r="Y368">
        <v>4.5555252344820886E-3</v>
      </c>
    </row>
    <row r="369" spans="1:25" x14ac:dyDescent="0.2">
      <c r="A369" s="1077"/>
      <c r="B369" s="1444">
        <v>119</v>
      </c>
      <c r="C369" s="1081">
        <v>0.97583737389097303</v>
      </c>
      <c r="D369" s="1081">
        <v>1.0168751408686849</v>
      </c>
      <c r="E369" s="1081">
        <v>0.98326101309805281</v>
      </c>
      <c r="F369" s="1081">
        <v>1.0167858189667842</v>
      </c>
      <c r="G369" s="1081">
        <v>1.0174142630201708</v>
      </c>
      <c r="H369" s="1081">
        <v>1.0030467881826233</v>
      </c>
      <c r="I369" s="1081">
        <v>0.98913177399792385</v>
      </c>
      <c r="K369">
        <v>2.4484665410599327</v>
      </c>
      <c r="L369">
        <v>0</v>
      </c>
      <c r="M369">
        <v>1.7407329316547764E-3</v>
      </c>
      <c r="N369">
        <v>0.15061063182021131</v>
      </c>
      <c r="O369">
        <v>2.1414863579296103E-2</v>
      </c>
      <c r="P369">
        <v>2.8590166360047402E-2</v>
      </c>
      <c r="Q369">
        <v>5.5099058994632442E-3</v>
      </c>
      <c r="R369">
        <v>1.7178254592390763E-3</v>
      </c>
      <c r="S369">
        <v>0.2600847126004695</v>
      </c>
      <c r="T369">
        <v>1.3942951929597069</v>
      </c>
      <c r="U369">
        <v>0.21716348332595359</v>
      </c>
      <c r="V369">
        <v>0.25011138613386241</v>
      </c>
      <c r="W369">
        <v>9.9936802751860218E-2</v>
      </c>
      <c r="X369">
        <v>1.6096948482434092E-2</v>
      </c>
      <c r="Y369">
        <v>4.6753546190383185E-3</v>
      </c>
    </row>
    <row r="370" spans="1:25" x14ac:dyDescent="0.2">
      <c r="A370" s="1077"/>
      <c r="B370" s="1444">
        <v>120</v>
      </c>
      <c r="C370" s="1081">
        <v>0.99681353529297767</v>
      </c>
      <c r="D370" s="1081">
        <v>1.0099369483098262</v>
      </c>
      <c r="E370" s="1081">
        <v>1.0199244850564517</v>
      </c>
      <c r="F370" s="1081">
        <v>0.9675963306861548</v>
      </c>
      <c r="G370" s="1081">
        <v>0.97665741004339923</v>
      </c>
      <c r="H370" s="1081">
        <v>0.9950399733238946</v>
      </c>
      <c r="I370" s="1081">
        <v>1.0094247943363812</v>
      </c>
      <c r="K370">
        <v>2.3685287274943989</v>
      </c>
      <c r="L370">
        <v>0</v>
      </c>
      <c r="M370">
        <v>1.5690352659548019E-3</v>
      </c>
      <c r="N370">
        <v>0.15163869061523735</v>
      </c>
      <c r="O370">
        <v>2.102018949708525E-2</v>
      </c>
      <c r="P370">
        <v>2.8282818644748239E-2</v>
      </c>
      <c r="Q370">
        <v>5.6112163781579178E-3</v>
      </c>
      <c r="R370">
        <v>1.5482211295887859E-3</v>
      </c>
      <c r="S370">
        <v>0.26033807863654335</v>
      </c>
      <c r="T370">
        <v>1.327610268317083</v>
      </c>
      <c r="U370">
        <v>0.21271941892960464</v>
      </c>
      <c r="V370">
        <v>0.24167594824196195</v>
      </c>
      <c r="W370">
        <v>9.845271938526555E-2</v>
      </c>
      <c r="X370">
        <v>1.6986445441293137E-2</v>
      </c>
      <c r="Y370">
        <v>4.2137475437824699E-3</v>
      </c>
    </row>
    <row r="371" spans="1:25" x14ac:dyDescent="0.2">
      <c r="A371" s="1077"/>
      <c r="B371" s="1444">
        <v>121</v>
      </c>
      <c r="C371" s="1081">
        <v>1.0213498376882877</v>
      </c>
      <c r="D371" s="1081">
        <v>0.98969283258238283</v>
      </c>
      <c r="E371" s="1081">
        <v>1.0131189946340666</v>
      </c>
      <c r="F371" s="1081">
        <v>0.99821977971492326</v>
      </c>
      <c r="G371" s="1081">
        <v>0.99363766521246777</v>
      </c>
      <c r="H371" s="1081">
        <v>0.99056441780389048</v>
      </c>
      <c r="I371" s="1081">
        <v>1.0225151567808644</v>
      </c>
      <c r="K371">
        <v>2.3982443202738537</v>
      </c>
      <c r="L371">
        <v>0</v>
      </c>
      <c r="M371">
        <v>1.5530852391868551E-3</v>
      </c>
      <c r="N371">
        <v>0.14703732392944271</v>
      </c>
      <c r="O371">
        <v>2.0602361979696011E-2</v>
      </c>
      <c r="P371">
        <v>2.8656902671086944E-2</v>
      </c>
      <c r="Q371">
        <v>5.4625256285271845E-3</v>
      </c>
      <c r="R371">
        <v>1.5323896027278467E-3</v>
      </c>
      <c r="S371">
        <v>0.25956648932858845</v>
      </c>
      <c r="T371">
        <v>1.3694803872862364</v>
      </c>
      <c r="U371">
        <v>0.20758633965332665</v>
      </c>
      <c r="V371">
        <v>0.2430937963453062</v>
      </c>
      <c r="W371">
        <v>9.5847148242956107E-2</v>
      </c>
      <c r="X371">
        <v>1.6761081498615608E-2</v>
      </c>
      <c r="Y371">
        <v>4.1706593465284198E-3</v>
      </c>
    </row>
    <row r="372" spans="1:25" x14ac:dyDescent="0.2">
      <c r="A372" s="1077"/>
      <c r="B372" s="1444">
        <v>122</v>
      </c>
      <c r="C372" s="1081">
        <v>0.98448847013830032</v>
      </c>
      <c r="D372" s="1081">
        <v>1.0009695308879436</v>
      </c>
      <c r="E372" s="1081">
        <v>1.0444688473498049</v>
      </c>
      <c r="F372" s="1081">
        <v>0.99100005993308116</v>
      </c>
      <c r="G372" s="1081">
        <v>0.98772493225153812</v>
      </c>
      <c r="H372" s="1081">
        <v>0.98096523602667907</v>
      </c>
      <c r="I372" s="1081">
        <v>1.0128021128245657</v>
      </c>
      <c r="K372">
        <v>2.4178306676630243</v>
      </c>
      <c r="L372">
        <v>0</v>
      </c>
      <c r="M372">
        <v>1.4910152599136516E-3</v>
      </c>
      <c r="N372">
        <v>0.15513302048551833</v>
      </c>
      <c r="O372">
        <v>2.1341771298719715E-2</v>
      </c>
      <c r="P372">
        <v>2.9386137211413234E-2</v>
      </c>
      <c r="Q372">
        <v>5.8368327144813518E-3</v>
      </c>
      <c r="R372">
        <v>1.4709523145803695E-3</v>
      </c>
      <c r="S372">
        <v>0.26463657821374859</v>
      </c>
      <c r="T372">
        <v>1.3602511855068362</v>
      </c>
      <c r="U372">
        <v>0.21546814011028756</v>
      </c>
      <c r="V372">
        <v>0.24426557412962049</v>
      </c>
      <c r="W372">
        <v>9.9299006339300847E-2</v>
      </c>
      <c r="X372">
        <v>1.8229037297440673E-2</v>
      </c>
      <c r="Y372">
        <v>4.0034473009875832E-3</v>
      </c>
    </row>
    <row r="373" spans="1:25" x14ac:dyDescent="0.2">
      <c r="A373" s="1077"/>
      <c r="B373" s="1444">
        <v>123</v>
      </c>
      <c r="C373" s="1081">
        <v>0.97878724724958965</v>
      </c>
      <c r="D373" s="1081">
        <v>1.0057764177084709</v>
      </c>
      <c r="E373" s="1081">
        <v>0.98707829597360552</v>
      </c>
      <c r="F373" s="1081">
        <v>1.0023045927035186</v>
      </c>
      <c r="G373" s="1081">
        <v>0.99684649392320757</v>
      </c>
      <c r="H373" s="1081">
        <v>1.0015668746926025</v>
      </c>
      <c r="I373" s="1081">
        <v>1.007353407186437</v>
      </c>
      <c r="K373">
        <v>2.4296777299408161</v>
      </c>
      <c r="L373">
        <v>0</v>
      </c>
      <c r="M373">
        <v>1.7234463360147043E-3</v>
      </c>
      <c r="N373">
        <v>0.15084356937977395</v>
      </c>
      <c r="O373">
        <v>2.1404512797698793E-2</v>
      </c>
      <c r="P373">
        <v>2.8418803426924696E-2</v>
      </c>
      <c r="Q373">
        <v>5.5285900805340758E-3</v>
      </c>
      <c r="R373">
        <v>1.7007328375986954E-3</v>
      </c>
      <c r="S373">
        <v>0.26543070168991756</v>
      </c>
      <c r="T373">
        <v>1.3745199177905028</v>
      </c>
      <c r="U373">
        <v>0.21652229464112469</v>
      </c>
      <c r="V373">
        <v>0.24639095219048993</v>
      </c>
      <c r="W373">
        <v>9.98618664023119E-2</v>
      </c>
      <c r="X373">
        <v>1.6150400902437571E-2</v>
      </c>
      <c r="Y373">
        <v>4.6288341375144123E-3</v>
      </c>
    </row>
    <row r="374" spans="1:25" x14ac:dyDescent="0.2">
      <c r="A374" s="1077"/>
      <c r="B374" s="1444">
        <v>124</v>
      </c>
      <c r="C374" s="1081">
        <v>0.99050563126095226</v>
      </c>
      <c r="D374" s="1081">
        <v>1.0013935518694941</v>
      </c>
      <c r="E374" s="1081">
        <v>1.0059963790403188</v>
      </c>
      <c r="F374" s="1081">
        <v>1.0038210029696786</v>
      </c>
      <c r="G374" s="1081">
        <v>1.0274001420232048</v>
      </c>
      <c r="H374" s="1081">
        <v>1.0023274495289078</v>
      </c>
      <c r="I374" s="1081">
        <v>1.0012493055814815</v>
      </c>
      <c r="K374">
        <v>2.431633670058893</v>
      </c>
      <c r="L374">
        <v>0</v>
      </c>
      <c r="M374">
        <v>1.640373492402423E-3</v>
      </c>
      <c r="N374">
        <v>0.15202144673726076</v>
      </c>
      <c r="O374">
        <v>2.1184278914413563E-2</v>
      </c>
      <c r="P374">
        <v>2.8829761743989268E-2</v>
      </c>
      <c r="Q374">
        <v>5.5769558528038013E-3</v>
      </c>
      <c r="R374">
        <v>1.6187712250291769E-3</v>
      </c>
      <c r="S374">
        <v>0.26149292560265835</v>
      </c>
      <c r="T374">
        <v>1.3770098998826679</v>
      </c>
      <c r="U374">
        <v>0.21402593267334885</v>
      </c>
      <c r="V374">
        <v>0.25078619088870863</v>
      </c>
      <c r="W374">
        <v>9.9513306909956356E-2</v>
      </c>
      <c r="X374">
        <v>1.6808811473720594E-2</v>
      </c>
      <c r="Y374">
        <v>4.4057616467385033E-3</v>
      </c>
    </row>
    <row r="375" spans="1:25" x14ac:dyDescent="0.2">
      <c r="A375" s="1077"/>
      <c r="B375" s="1444">
        <v>125</v>
      </c>
      <c r="C375" s="1081">
        <v>0.99648715727813819</v>
      </c>
      <c r="D375" s="1081">
        <v>0.97138181752710906</v>
      </c>
      <c r="E375" s="1081">
        <v>1.0365591763652691</v>
      </c>
      <c r="F375" s="1081">
        <v>0.96729734443133308</v>
      </c>
      <c r="G375" s="1081">
        <v>1.0252865935867881</v>
      </c>
      <c r="H375" s="1081">
        <v>1.0000756177096255</v>
      </c>
      <c r="I375" s="1081">
        <v>1.0062970782418967</v>
      </c>
      <c r="K375">
        <v>2.3899296781520674</v>
      </c>
      <c r="L375">
        <v>0</v>
      </c>
      <c r="M375">
        <v>1.5368666506534166E-3</v>
      </c>
      <c r="N375">
        <v>0.15617951078583298</v>
      </c>
      <c r="O375">
        <v>2.1219103626994956E-2</v>
      </c>
      <c r="P375">
        <v>2.8813383581103365E-2</v>
      </c>
      <c r="Q375">
        <v>5.7583364786507434E-3</v>
      </c>
      <c r="R375">
        <v>1.5165819050259716E-3</v>
      </c>
      <c r="S375">
        <v>0.26531985562811017</v>
      </c>
      <c r="T375">
        <v>1.3275499653159144</v>
      </c>
      <c r="U375">
        <v>0.21284639556711932</v>
      </c>
      <c r="V375">
        <v>0.24993653688296863</v>
      </c>
      <c r="W375">
        <v>0.10042511987852112</v>
      </c>
      <c r="X375">
        <v>1.7774119148090663E-2</v>
      </c>
      <c r="Y375">
        <v>4.1276360043900643E-3</v>
      </c>
    </row>
    <row r="376" spans="1:25" x14ac:dyDescent="0.2">
      <c r="A376" s="1077"/>
      <c r="B376" s="1444">
        <v>126</v>
      </c>
      <c r="C376" s="1081">
        <v>0.98145514507767384</v>
      </c>
      <c r="D376" s="1081">
        <v>1.0009766797435167</v>
      </c>
      <c r="E376" s="1081">
        <v>0.98768969767022652</v>
      </c>
      <c r="F376" s="1081">
        <v>0.99633467596177006</v>
      </c>
      <c r="G376" s="1081">
        <v>1.0300287259841829</v>
      </c>
      <c r="H376" s="1081">
        <v>0.97384817824924208</v>
      </c>
      <c r="I376" s="1081">
        <v>0.99541506425059134</v>
      </c>
      <c r="K376">
        <v>2.4131228510771101</v>
      </c>
      <c r="L376">
        <v>0</v>
      </c>
      <c r="M376">
        <v>1.6708376864894888E-3</v>
      </c>
      <c r="N376">
        <v>0.14645396756236634</v>
      </c>
      <c r="O376">
        <v>2.1369217759622555E-2</v>
      </c>
      <c r="P376">
        <v>2.8311742754758885E-2</v>
      </c>
      <c r="Q376">
        <v>5.5228906541881281E-3</v>
      </c>
      <c r="R376">
        <v>1.6481907623863987E-3</v>
      </c>
      <c r="S376">
        <v>0.25981380195020126</v>
      </c>
      <c r="T376">
        <v>1.3663461569149178</v>
      </c>
      <c r="U376">
        <v>0.21593584538119034</v>
      </c>
      <c r="V376">
        <v>0.25188403974771595</v>
      </c>
      <c r="W376">
        <v>9.692027160936012E-2</v>
      </c>
      <c r="X376">
        <v>1.6101731737616636E-2</v>
      </c>
      <c r="Y376">
        <v>4.4858319292769792E-3</v>
      </c>
    </row>
    <row r="377" spans="1:25" x14ac:dyDescent="0.2">
      <c r="A377" s="1077"/>
      <c r="B377" s="1444">
        <v>127</v>
      </c>
      <c r="C377" s="1081">
        <v>1.028110881690449</v>
      </c>
      <c r="D377" s="1081">
        <v>1.0005662389596575</v>
      </c>
      <c r="E377" s="1081">
        <v>0.9532524356796741</v>
      </c>
      <c r="F377" s="1081">
        <v>1.0464422082094067</v>
      </c>
      <c r="G377" s="1081">
        <v>0.98455154329039485</v>
      </c>
      <c r="H377" s="1081">
        <v>0.97867218218918395</v>
      </c>
      <c r="I377" s="1081">
        <v>1.012824435734877</v>
      </c>
      <c r="K377">
        <v>2.4349570842601782</v>
      </c>
      <c r="L377">
        <v>0</v>
      </c>
      <c r="M377">
        <v>1.7211863911792574E-3</v>
      </c>
      <c r="N377">
        <v>0.13593801444011289</v>
      </c>
      <c r="O377">
        <v>2.0379201584363116E-2</v>
      </c>
      <c r="P377">
        <v>2.8104853685021181E-2</v>
      </c>
      <c r="Q377">
        <v>5.0849017702277307E-3</v>
      </c>
      <c r="R377">
        <v>1.6979720224730892E-3</v>
      </c>
      <c r="S377">
        <v>0.2525432627719254</v>
      </c>
      <c r="T377">
        <v>1.4342876651532466</v>
      </c>
      <c r="U377">
        <v>0.20602271933872807</v>
      </c>
      <c r="V377">
        <v>0.24135632061002479</v>
      </c>
      <c r="W377">
        <v>9.1865832972862854E-2</v>
      </c>
      <c r="X377">
        <v>1.4776206193525898E-2</v>
      </c>
      <c r="Y377">
        <v>4.6213201088449729E-3</v>
      </c>
    </row>
    <row r="378" spans="1:25" x14ac:dyDescent="0.2">
      <c r="A378" s="1077"/>
      <c r="B378" s="1444">
        <v>128</v>
      </c>
      <c r="C378" s="1081">
        <v>0.98420795657070048</v>
      </c>
      <c r="D378" s="1081">
        <v>1.021733283666689</v>
      </c>
      <c r="E378" s="1081">
        <v>1.0192056193970553</v>
      </c>
      <c r="F378" s="1081">
        <v>0.99301406433243433</v>
      </c>
      <c r="G378" s="1081">
        <v>0.96739082994664027</v>
      </c>
      <c r="H378" s="1081">
        <v>1.0102554608593508</v>
      </c>
      <c r="I378" s="1081">
        <v>1.0038760690042019</v>
      </c>
      <c r="K378">
        <v>2.4145076833463159</v>
      </c>
      <c r="L378">
        <v>0</v>
      </c>
      <c r="M378">
        <v>1.611723195100865E-3</v>
      </c>
      <c r="N378">
        <v>0.15545827176339397</v>
      </c>
      <c r="O378">
        <v>2.1234608738308985E-2</v>
      </c>
      <c r="P378">
        <v>2.8800576981648444E-2</v>
      </c>
      <c r="Q378">
        <v>5.6644038209453709E-3</v>
      </c>
      <c r="R378">
        <v>1.5906647903939533E-3</v>
      </c>
      <c r="S378">
        <v>0.26201600701570826</v>
      </c>
      <c r="T378">
        <v>1.3624696891886032</v>
      </c>
      <c r="U378">
        <v>0.2154413912184294</v>
      </c>
      <c r="V378">
        <v>0.24089870518305789</v>
      </c>
      <c r="W378">
        <v>0.10097508832374998</v>
      </c>
      <c r="X378">
        <v>1.7240734320228272E-2</v>
      </c>
      <c r="Y378">
        <v>4.3292651969451127E-3</v>
      </c>
    </row>
    <row r="379" spans="1:25" x14ac:dyDescent="0.2">
      <c r="A379" s="1077"/>
      <c r="B379" s="1444">
        <v>129</v>
      </c>
      <c r="C379" s="1081">
        <v>0.98816903925679855</v>
      </c>
      <c r="D379" s="1081">
        <v>1.0095767653354573</v>
      </c>
      <c r="E379" s="1081">
        <v>1.0111378233086341</v>
      </c>
      <c r="F379" s="1081">
        <v>1.0145663029353682</v>
      </c>
      <c r="G379" s="1081">
        <v>0.99198432849033957</v>
      </c>
      <c r="H379" s="1081">
        <v>0.97844677796662083</v>
      </c>
      <c r="I379" s="1081">
        <v>1.0098011270006149</v>
      </c>
      <c r="K379">
        <v>2.4361635256227059</v>
      </c>
      <c r="L379">
        <v>0</v>
      </c>
      <c r="M379">
        <v>1.5851873053455395E-3</v>
      </c>
      <c r="N379">
        <v>0.1491568015669949</v>
      </c>
      <c r="O379">
        <v>2.1199834994736395E-2</v>
      </c>
      <c r="P379">
        <v>2.9066431313076572E-2</v>
      </c>
      <c r="Q379">
        <v>5.6098321024418618E-3</v>
      </c>
      <c r="R379">
        <v>1.5638022885013417E-3</v>
      </c>
      <c r="S379">
        <v>0.26124725034639446</v>
      </c>
      <c r="T379">
        <v>1.3918629755628571</v>
      </c>
      <c r="U379">
        <v>0.21454982003220507</v>
      </c>
      <c r="V379">
        <v>0.24487017008447345</v>
      </c>
      <c r="W379">
        <v>9.7342205569816001E-2</v>
      </c>
      <c r="X379">
        <v>1.7023434744541033E-2</v>
      </c>
      <c r="Y379">
        <v>4.256154322014794E-3</v>
      </c>
    </row>
    <row r="380" spans="1:25" x14ac:dyDescent="0.2">
      <c r="A380" s="1077"/>
      <c r="B380" s="1444">
        <v>130</v>
      </c>
      <c r="C380" s="1081">
        <v>1.0115906477113905</v>
      </c>
      <c r="D380" s="1081">
        <v>1.0087603169436186</v>
      </c>
      <c r="E380" s="1081">
        <v>1.0010162833646441</v>
      </c>
      <c r="F380" s="1081">
        <v>1.0137411921320534</v>
      </c>
      <c r="G380" s="1081">
        <v>0.98452256854639986</v>
      </c>
      <c r="H380" s="1081">
        <v>1.0027687513642336</v>
      </c>
      <c r="I380" s="1081">
        <v>0.9842617037341852</v>
      </c>
      <c r="K380">
        <v>2.4136011906609585</v>
      </c>
      <c r="L380">
        <v>0</v>
      </c>
      <c r="M380">
        <v>1.6209684176708139E-3</v>
      </c>
      <c r="N380">
        <v>0.14798119677457772</v>
      </c>
      <c r="O380">
        <v>2.0706042216594816E-2</v>
      </c>
      <c r="P380">
        <v>2.8582452474299337E-2</v>
      </c>
      <c r="Q380">
        <v>5.4238890621610631E-3</v>
      </c>
      <c r="R380">
        <v>1.5996310922967679E-3</v>
      </c>
      <c r="S380">
        <v>0.25077469975777683</v>
      </c>
      <c r="T380">
        <v>1.3905088338522904</v>
      </c>
      <c r="U380">
        <v>0.20954806135543338</v>
      </c>
      <c r="V380">
        <v>0.24216954483207831</v>
      </c>
      <c r="W380">
        <v>9.7154908656556863E-2</v>
      </c>
      <c r="X380">
        <v>1.6419230489578895E-2</v>
      </c>
      <c r="Y380">
        <v>4.3536685149839468E-3</v>
      </c>
    </row>
    <row r="381" spans="1:25" x14ac:dyDescent="0.2">
      <c r="A381" s="1077"/>
      <c r="B381" s="1444">
        <v>131</v>
      </c>
      <c r="C381" s="1081">
        <v>0.98626450280724831</v>
      </c>
      <c r="D381" s="1081">
        <v>0.97119640651033656</v>
      </c>
      <c r="E381" s="1081">
        <v>0.98570231075104553</v>
      </c>
      <c r="F381" s="1081">
        <v>1.0026723276105416</v>
      </c>
      <c r="G381" s="1081">
        <v>0.98451100976760098</v>
      </c>
      <c r="H381" s="1081">
        <v>1.0277834151164031</v>
      </c>
      <c r="I381" s="1081">
        <v>0.97585901990525803</v>
      </c>
      <c r="K381">
        <v>2.428756819770427</v>
      </c>
      <c r="L381">
        <v>0</v>
      </c>
      <c r="M381">
        <v>1.7737565431586795E-3</v>
      </c>
      <c r="N381">
        <v>0.15465491791168751</v>
      </c>
      <c r="O381">
        <v>2.1405439280936953E-2</v>
      </c>
      <c r="P381">
        <v>2.8291117142248318E-2</v>
      </c>
      <c r="Q381">
        <v>5.5211298350049285E-3</v>
      </c>
      <c r="R381">
        <v>1.750976285939125E-3</v>
      </c>
      <c r="S381">
        <v>0.26191418726251131</v>
      </c>
      <c r="T381">
        <v>1.3749944579410009</v>
      </c>
      <c r="U381">
        <v>0.21487599614712988</v>
      </c>
      <c r="V381">
        <v>0.24380533612346075</v>
      </c>
      <c r="W381">
        <v>0.10246973794671886</v>
      </c>
      <c r="X381">
        <v>1.6081700195796887E-2</v>
      </c>
      <c r="Y381">
        <v>4.765580241148766E-3</v>
      </c>
    </row>
    <row r="382" spans="1:25" x14ac:dyDescent="0.2">
      <c r="A382" s="1077"/>
      <c r="B382" s="1444">
        <v>132</v>
      </c>
      <c r="C382" s="1081">
        <v>1.018438515098953</v>
      </c>
      <c r="D382" s="1081">
        <v>0.97737853479989079</v>
      </c>
      <c r="E382" s="1081">
        <v>1.0333471100782219</v>
      </c>
      <c r="F382" s="1081">
        <v>1.0286652981884221</v>
      </c>
      <c r="G382" s="1081">
        <v>1.0344423558794458</v>
      </c>
      <c r="H382" s="1081">
        <v>0.96950098760759484</v>
      </c>
      <c r="I382" s="1081">
        <v>1.03630065828957</v>
      </c>
      <c r="K382">
        <v>2.4542390883218288</v>
      </c>
      <c r="L382">
        <v>0</v>
      </c>
      <c r="M382">
        <v>1.4655797037998668E-3</v>
      </c>
      <c r="N382">
        <v>0.147438306599533</v>
      </c>
      <c r="O382">
        <v>2.0731541905620089E-2</v>
      </c>
      <c r="P382">
        <v>2.9841252493613302E-2</v>
      </c>
      <c r="Q382">
        <v>5.608234163924199E-3</v>
      </c>
      <c r="R382">
        <v>1.4456258215723293E-3</v>
      </c>
      <c r="S382">
        <v>0.26382343509699258</v>
      </c>
      <c r="T382">
        <v>1.4117013717776028</v>
      </c>
      <c r="U382">
        <v>0.20824788088510585</v>
      </c>
      <c r="V382">
        <v>0.25015979231775776</v>
      </c>
      <c r="W382">
        <v>9.498067446338955E-2</v>
      </c>
      <c r="X382">
        <v>1.7792035564621909E-2</v>
      </c>
      <c r="Y382">
        <v>3.9345169358958754E-3</v>
      </c>
    </row>
    <row r="383" spans="1:25" x14ac:dyDescent="0.2">
      <c r="A383" s="1077"/>
      <c r="B383" s="1444">
        <v>133</v>
      </c>
      <c r="C383" s="1081">
        <v>1.0074710213052256</v>
      </c>
      <c r="D383" s="1081">
        <v>0.99224972211169615</v>
      </c>
      <c r="E383" s="1081">
        <v>0.97577098425273434</v>
      </c>
      <c r="F383" s="1081">
        <v>0.99391994038294174</v>
      </c>
      <c r="G383" s="1081">
        <v>1.0226822818501822</v>
      </c>
      <c r="H383" s="1081">
        <v>1.0231872117847443</v>
      </c>
      <c r="I383" s="1081">
        <v>0.99249749941486276</v>
      </c>
      <c r="K383">
        <v>2.4014797792456468</v>
      </c>
      <c r="L383">
        <v>0</v>
      </c>
      <c r="M383">
        <v>1.7562200626275672E-3</v>
      </c>
      <c r="N383">
        <v>0.14858465059217082</v>
      </c>
      <c r="O383">
        <v>2.084970223410516E-2</v>
      </c>
      <c r="P383">
        <v>2.7865239140384551E-2</v>
      </c>
      <c r="Q383">
        <v>5.3237985542865292E-3</v>
      </c>
      <c r="R383">
        <v>1.7335637072086675E-3</v>
      </c>
      <c r="S383">
        <v>0.25752160106153421</v>
      </c>
      <c r="T383">
        <v>1.3627794045331121</v>
      </c>
      <c r="U383">
        <v>0.21031942406499177</v>
      </c>
      <c r="V383">
        <v>0.24903265339482755</v>
      </c>
      <c r="W383">
        <v>9.9039557010923956E-2</v>
      </c>
      <c r="X383">
        <v>1.5468216072828035E-2</v>
      </c>
      <c r="Y383">
        <v>4.7181889418994967E-3</v>
      </c>
    </row>
    <row r="384" spans="1:25" x14ac:dyDescent="0.2">
      <c r="A384" s="1077"/>
      <c r="B384" s="1444">
        <v>134</v>
      </c>
      <c r="C384" s="1081">
        <v>1.0097388893533756</v>
      </c>
      <c r="D384" s="1081">
        <v>0.96870424064845295</v>
      </c>
      <c r="E384" s="1081">
        <v>0.96464976719982054</v>
      </c>
      <c r="F384" s="1081">
        <v>1.0288927243455286</v>
      </c>
      <c r="G384" s="1081">
        <v>1.0113698908890099</v>
      </c>
      <c r="H384" s="1081">
        <v>0.96097698190871594</v>
      </c>
      <c r="I384" s="1081">
        <v>1.0182574752071181</v>
      </c>
      <c r="K384">
        <v>2.4341334357605606</v>
      </c>
      <c r="L384">
        <v>0</v>
      </c>
      <c r="M384">
        <v>1.6928804539308416E-3</v>
      </c>
      <c r="N384">
        <v>0.13836606628063744</v>
      </c>
      <c r="O384">
        <v>2.0905749391044819E-2</v>
      </c>
      <c r="P384">
        <v>2.8279780117014496E-2</v>
      </c>
      <c r="Q384">
        <v>5.277783288909951E-3</v>
      </c>
      <c r="R384">
        <v>1.6696274254355305E-3</v>
      </c>
      <c r="S384">
        <v>0.26134279433845448</v>
      </c>
      <c r="T384">
        <v>1.4104851993538188</v>
      </c>
      <c r="U384">
        <v>0.20980958207528896</v>
      </c>
      <c r="V384">
        <v>0.24700226729482694</v>
      </c>
      <c r="W384">
        <v>9.2854613007043563E-2</v>
      </c>
      <c r="X384">
        <v>1.5288678182511064E-2</v>
      </c>
      <c r="Y384">
        <v>4.5441754595026392E-3</v>
      </c>
    </row>
    <row r="385" spans="1:25" x14ac:dyDescent="0.2">
      <c r="A385" s="1077"/>
      <c r="B385" s="1444">
        <v>135</v>
      </c>
      <c r="C385" s="1081">
        <v>0.9973524850472798</v>
      </c>
      <c r="D385" s="1081">
        <v>0.98029339735838072</v>
      </c>
      <c r="E385" s="1081">
        <v>0.9770127234824395</v>
      </c>
      <c r="F385" s="1081">
        <v>0.98202319775445257</v>
      </c>
      <c r="G385" s="1081">
        <v>1.0366052856638623</v>
      </c>
      <c r="H385" s="1081">
        <v>0.98861629146102048</v>
      </c>
      <c r="I385" s="1081">
        <v>0.98708193799860222</v>
      </c>
      <c r="K385">
        <v>2.3851614424630871</v>
      </c>
      <c r="L385">
        <v>0</v>
      </c>
      <c r="M385">
        <v>1.7142702566184703E-3</v>
      </c>
      <c r="N385">
        <v>0.14551504235200372</v>
      </c>
      <c r="O385">
        <v>2.111830356723644E-2</v>
      </c>
      <c r="P385">
        <v>2.774018949591206E-2</v>
      </c>
      <c r="Q385">
        <v>5.3992074088786554E-3</v>
      </c>
      <c r="R385">
        <v>1.6913817348326718E-3</v>
      </c>
      <c r="S385">
        <v>0.25737825822967175</v>
      </c>
      <c r="T385">
        <v>1.3464938368669246</v>
      </c>
      <c r="U385">
        <v>0.2124574375832077</v>
      </c>
      <c r="V385">
        <v>0.25203522368484543</v>
      </c>
      <c r="W385">
        <v>9.6920594353362768E-2</v>
      </c>
      <c r="X385">
        <v>1.5522853924453732E-2</v>
      </c>
      <c r="Y385">
        <v>4.6033835183754927E-3</v>
      </c>
    </row>
    <row r="386" spans="1:25" x14ac:dyDescent="0.2">
      <c r="A386" s="1077"/>
      <c r="B386" s="1444">
        <v>136</v>
      </c>
      <c r="C386" s="1081">
        <v>1.0049139181313236</v>
      </c>
      <c r="D386" s="1081">
        <v>0.97774778970807219</v>
      </c>
      <c r="E386" s="1081">
        <v>0.98986379741176922</v>
      </c>
      <c r="F386" s="1081">
        <v>1.0178976452280477</v>
      </c>
      <c r="G386" s="1081">
        <v>0.99157863395117929</v>
      </c>
      <c r="H386" s="1081">
        <v>0.98169612576360454</v>
      </c>
      <c r="I386" s="1081">
        <v>1.001774324390722</v>
      </c>
      <c r="K386">
        <v>2.4265726188721559</v>
      </c>
      <c r="L386">
        <v>0</v>
      </c>
      <c r="M386">
        <v>1.6460761431293513E-3</v>
      </c>
      <c r="N386">
        <v>0.14525111870873092</v>
      </c>
      <c r="O386">
        <v>2.0979899488637741E-2</v>
      </c>
      <c r="P386">
        <v>2.8572281869964151E-2</v>
      </c>
      <c r="Q386">
        <v>5.4342077309809909E-3</v>
      </c>
      <c r="R386">
        <v>1.6239432054077764E-3</v>
      </c>
      <c r="S386">
        <v>0.25909988521429683</v>
      </c>
      <c r="T386">
        <v>1.3959647778930577</v>
      </c>
      <c r="U386">
        <v>0.21090240761623705</v>
      </c>
      <c r="V386">
        <v>0.24382404335364127</v>
      </c>
      <c r="W386">
        <v>9.5999017038270323E-2</v>
      </c>
      <c r="X386">
        <v>1.6147274823672491E-2</v>
      </c>
      <c r="Y386">
        <v>4.4198380723861792E-3</v>
      </c>
    </row>
    <row r="387" spans="1:25" x14ac:dyDescent="0.2">
      <c r="A387" s="1077"/>
      <c r="B387" s="1444">
        <v>137</v>
      </c>
      <c r="C387" s="1081">
        <v>0.98832297734512964</v>
      </c>
      <c r="D387" s="1081">
        <v>1.0320482285301484</v>
      </c>
      <c r="E387" s="1081">
        <v>1.0105932497852999</v>
      </c>
      <c r="F387" s="1081">
        <v>1.0275290920055526</v>
      </c>
      <c r="G387" s="1081">
        <v>1.0145212598463633</v>
      </c>
      <c r="H387" s="1081">
        <v>0.9899466570372395</v>
      </c>
      <c r="I387" s="1081">
        <v>1.0175984438731731</v>
      </c>
      <c r="K387">
        <v>2.4596728249928188</v>
      </c>
      <c r="L387">
        <v>0</v>
      </c>
      <c r="M387">
        <v>1.5976277152497957E-3</v>
      </c>
      <c r="N387">
        <v>0.15010428300648793</v>
      </c>
      <c r="O387">
        <v>2.109375995379115E-2</v>
      </c>
      <c r="P387">
        <v>2.9352708310192495E-2</v>
      </c>
      <c r="Q387">
        <v>5.5787265614877712E-3</v>
      </c>
      <c r="R387">
        <v>1.5763252428665738E-3</v>
      </c>
      <c r="S387">
        <v>0.26133724085153964</v>
      </c>
      <c r="T387">
        <v>1.4096342349287698</v>
      </c>
      <c r="U387">
        <v>0.21451451578966821</v>
      </c>
      <c r="V387">
        <v>0.24870975361994538</v>
      </c>
      <c r="W387">
        <v>9.7991988579531161E-2</v>
      </c>
      <c r="X387">
        <v>1.7086678188178193E-2</v>
      </c>
      <c r="Y387">
        <v>4.2902376756061575E-3</v>
      </c>
    </row>
    <row r="388" spans="1:25" x14ac:dyDescent="0.2">
      <c r="A388" s="1077"/>
      <c r="B388" s="1444">
        <v>138</v>
      </c>
      <c r="C388" s="1081">
        <v>1.0051290175646725</v>
      </c>
      <c r="D388" s="1081">
        <v>1.0117688091277874</v>
      </c>
      <c r="E388" s="1081">
        <v>1.0038247312938968</v>
      </c>
      <c r="F388" s="1081">
        <v>1.0087570034846771</v>
      </c>
      <c r="G388" s="1081">
        <v>0.99925113071337568</v>
      </c>
      <c r="H388" s="1081">
        <v>1.0018028167877842</v>
      </c>
      <c r="I388" s="1081">
        <v>1.0084338908393107</v>
      </c>
      <c r="K388">
        <v>2.420572965852875</v>
      </c>
      <c r="L388">
        <v>0</v>
      </c>
      <c r="M388">
        <v>1.6192858181849419E-3</v>
      </c>
      <c r="N388">
        <v>0.14908508945572027</v>
      </c>
      <c r="O388">
        <v>2.0827356422989531E-2</v>
      </c>
      <c r="P388">
        <v>2.8708586042929821E-2</v>
      </c>
      <c r="Q388">
        <v>5.4710693781885788E-3</v>
      </c>
      <c r="R388">
        <v>1.5979500893909819E-3</v>
      </c>
      <c r="S388">
        <v>0.25814168558756118</v>
      </c>
      <c r="T388">
        <v>1.383733522349333</v>
      </c>
      <c r="U388">
        <v>0.21090472861612128</v>
      </c>
      <c r="V388">
        <v>0.24507116257693137</v>
      </c>
      <c r="W388">
        <v>9.7716721437864557E-2</v>
      </c>
      <c r="X388">
        <v>1.658528633481237E-2</v>
      </c>
      <c r="Y388">
        <v>4.3490933792168568E-3</v>
      </c>
    </row>
    <row r="389" spans="1:25" x14ac:dyDescent="0.2">
      <c r="A389" s="1077"/>
      <c r="B389" s="1444">
        <v>139</v>
      </c>
      <c r="C389" s="1081">
        <v>0.988689287132824</v>
      </c>
      <c r="D389" s="1081">
        <v>0.96361306130629687</v>
      </c>
      <c r="E389" s="1081">
        <v>1.0010830342285832</v>
      </c>
      <c r="F389" s="1081">
        <v>1.014154902150741</v>
      </c>
      <c r="G389" s="1081">
        <v>1.0012530785849605</v>
      </c>
      <c r="H389" s="1081">
        <v>1.01317072254518</v>
      </c>
      <c r="I389" s="1081">
        <v>0.99420281628291363</v>
      </c>
      <c r="K389">
        <v>2.4512933925475564</v>
      </c>
      <c r="L389">
        <v>0</v>
      </c>
      <c r="M389">
        <v>1.6924505787588012E-3</v>
      </c>
      <c r="N389">
        <v>0.15455925862882222</v>
      </c>
      <c r="O389">
        <v>2.1400196333179088E-2</v>
      </c>
      <c r="P389">
        <v>2.8925823502600933E-2</v>
      </c>
      <c r="Q389">
        <v>5.6060966841284064E-3</v>
      </c>
      <c r="R389">
        <v>1.6704010362729674E-3</v>
      </c>
      <c r="S389">
        <v>0.26610330966995938</v>
      </c>
      <c r="T389">
        <v>1.3910777680285524</v>
      </c>
      <c r="U389">
        <v>0.2144021282312924</v>
      </c>
      <c r="V389">
        <v>0.2464550257934503</v>
      </c>
      <c r="W389">
        <v>0.10146961741372151</v>
      </c>
      <c r="X389">
        <v>1.6769936831155369E-2</v>
      </c>
      <c r="Y389">
        <v>4.5462809731813981E-3</v>
      </c>
    </row>
    <row r="390" spans="1:25" x14ac:dyDescent="0.2">
      <c r="A390" s="1077"/>
      <c r="B390" s="1444">
        <v>140</v>
      </c>
      <c r="C390" s="1081">
        <v>0.99294189490073737</v>
      </c>
      <c r="D390" s="1081">
        <v>1.0393677417907616</v>
      </c>
      <c r="E390" s="1081">
        <v>1.0162213844837966</v>
      </c>
      <c r="F390" s="1081">
        <v>0.99317854300605735</v>
      </c>
      <c r="G390" s="1081">
        <v>0.99999773018112281</v>
      </c>
      <c r="H390" s="1081">
        <v>1.0047597791897436</v>
      </c>
      <c r="I390" s="1081">
        <v>0.97470030817708908</v>
      </c>
      <c r="K390">
        <v>2.3993263146619701</v>
      </c>
      <c r="L390">
        <v>0</v>
      </c>
      <c r="M390">
        <v>1.5927412932678856E-3</v>
      </c>
      <c r="N390">
        <v>0.15223925552187489</v>
      </c>
      <c r="O390">
        <v>2.0966756497033123E-2</v>
      </c>
      <c r="P390">
        <v>2.8610631217287501E-2</v>
      </c>
      <c r="Q390">
        <v>5.576364128141104E-3</v>
      </c>
      <c r="R390">
        <v>1.5718170762230163E-3</v>
      </c>
      <c r="S390">
        <v>0.24955324157545858</v>
      </c>
      <c r="T390">
        <v>1.362631035347035</v>
      </c>
      <c r="U390">
        <v>0.21353606289960922</v>
      </c>
      <c r="V390">
        <v>0.24591672296241049</v>
      </c>
      <c r="W390">
        <v>9.9057342626565278E-2</v>
      </c>
      <c r="X390">
        <v>1.6981858171477886E-2</v>
      </c>
      <c r="Y390">
        <v>4.2779679321191281E-3</v>
      </c>
    </row>
    <row r="391" spans="1:25" x14ac:dyDescent="0.2">
      <c r="A391" s="1077"/>
      <c r="B391" s="1444">
        <v>141</v>
      </c>
      <c r="C391" s="1081">
        <v>0.9975865666661603</v>
      </c>
      <c r="D391" s="1081">
        <v>1.0373494939590309</v>
      </c>
      <c r="E391" s="1081">
        <v>0.99157455905992542</v>
      </c>
      <c r="F391" s="1081">
        <v>0.98243913403118588</v>
      </c>
      <c r="G391" s="1081">
        <v>0.99656589540977591</v>
      </c>
      <c r="H391" s="1081">
        <v>0.99017599845224857</v>
      </c>
      <c r="I391" s="1081">
        <v>0.98337540927261313</v>
      </c>
      <c r="K391">
        <v>2.3711157517063568</v>
      </c>
      <c r="L391">
        <v>0</v>
      </c>
      <c r="M391">
        <v>1.6450191861803354E-3</v>
      </c>
      <c r="N391">
        <v>0.14592759918775294</v>
      </c>
      <c r="O391">
        <v>2.0861787864175387E-2</v>
      </c>
      <c r="P391">
        <v>2.7857782064950525E-2</v>
      </c>
      <c r="Q391">
        <v>5.4129626559096091E-3</v>
      </c>
      <c r="R391">
        <v>1.6230898850631353E-3</v>
      </c>
      <c r="S391">
        <v>0.24943527441613991</v>
      </c>
      <c r="T391">
        <v>1.3473725631390392</v>
      </c>
      <c r="U391">
        <v>0.21245735562392246</v>
      </c>
      <c r="V391">
        <v>0.24512578158512632</v>
      </c>
      <c r="W391">
        <v>9.6347378825156718E-2</v>
      </c>
      <c r="X391">
        <v>1.5921680029591847E-2</v>
      </c>
      <c r="Y391">
        <v>4.4175156157050402E-3</v>
      </c>
    </row>
    <row r="392" spans="1:25" x14ac:dyDescent="0.2">
      <c r="A392" s="1077"/>
      <c r="B392" s="1444">
        <v>142</v>
      </c>
      <c r="C392" s="1081">
        <v>1.0082309607142463</v>
      </c>
      <c r="D392" s="1081">
        <v>1.0160299137051001</v>
      </c>
      <c r="E392" s="1081">
        <v>1.0236555240932954</v>
      </c>
      <c r="F392" s="1081">
        <v>0.96779547291809209</v>
      </c>
      <c r="G392" s="1081">
        <v>1.0105901990893071</v>
      </c>
      <c r="H392" s="1081">
        <v>1.0121879210243503</v>
      </c>
      <c r="I392" s="1081">
        <v>1.02724667374794</v>
      </c>
      <c r="K392">
        <v>2.375623954241735</v>
      </c>
      <c r="L392">
        <v>0</v>
      </c>
      <c r="M392">
        <v>1.5637242865107531E-3</v>
      </c>
      <c r="N392">
        <v>0.15287063470810519</v>
      </c>
      <c r="O392">
        <v>2.0757125539777647E-2</v>
      </c>
      <c r="P392">
        <v>2.8434294501614211E-2</v>
      </c>
      <c r="Q392">
        <v>5.5615634515310246E-3</v>
      </c>
      <c r="R392">
        <v>1.5433320316912533E-3</v>
      </c>
      <c r="S392">
        <v>0.26266136086656883</v>
      </c>
      <c r="T392">
        <v>1.3279619367500144</v>
      </c>
      <c r="U392">
        <v>0.21032322966975306</v>
      </c>
      <c r="V392">
        <v>0.24674514310111892</v>
      </c>
      <c r="W392">
        <v>9.9036455782259836E-2</v>
      </c>
      <c r="X392">
        <v>1.7092161094816209E-2</v>
      </c>
      <c r="Y392">
        <v>4.2004410309960764E-3</v>
      </c>
    </row>
    <row r="393" spans="1:25" x14ac:dyDescent="0.2">
      <c r="A393" s="1077"/>
      <c r="B393" s="1444">
        <v>143</v>
      </c>
      <c r="C393" s="1081">
        <v>1.0186601460835509</v>
      </c>
      <c r="D393" s="1081">
        <v>1.0101390975334283</v>
      </c>
      <c r="E393" s="1081">
        <v>0.97902151957912564</v>
      </c>
      <c r="F393" s="1081">
        <v>0.99503570600585212</v>
      </c>
      <c r="G393" s="1081">
        <v>1.0117985412791617</v>
      </c>
      <c r="H393" s="1081">
        <v>1.0149604918425821</v>
      </c>
      <c r="I393" s="1081">
        <v>0.99392342871263173</v>
      </c>
      <c r="K393">
        <v>2.3871814405241092</v>
      </c>
      <c r="L393">
        <v>0</v>
      </c>
      <c r="M393">
        <v>1.7047123907029983E-3</v>
      </c>
      <c r="N393">
        <v>0.14563717089230543</v>
      </c>
      <c r="O393">
        <v>2.0541888912359675E-2</v>
      </c>
      <c r="P393">
        <v>2.7818282691182267E-2</v>
      </c>
      <c r="Q393">
        <v>5.2625841445134974E-3</v>
      </c>
      <c r="R393">
        <v>1.6825422627854687E-3</v>
      </c>
      <c r="S393">
        <v>0.25214190913469647</v>
      </c>
      <c r="T393">
        <v>1.364378875924452</v>
      </c>
      <c r="U393">
        <v>0.20802010991601899</v>
      </c>
      <c r="V393">
        <v>0.24648058777153364</v>
      </c>
      <c r="W393">
        <v>9.6884165472345712E-2</v>
      </c>
      <c r="X393">
        <v>1.545871040322561E-2</v>
      </c>
      <c r="Y393">
        <v>4.579325389394184E-3</v>
      </c>
    </row>
    <row r="394" spans="1:25" x14ac:dyDescent="0.2">
      <c r="A394" s="1077"/>
      <c r="B394" s="1444">
        <v>144</v>
      </c>
      <c r="C394" s="1081">
        <v>0.99490096097026137</v>
      </c>
      <c r="D394" s="1081">
        <v>1.0003904698794388</v>
      </c>
      <c r="E394" s="1081">
        <v>1.0057175211434033</v>
      </c>
      <c r="F394" s="1081">
        <v>1.0220029133793134</v>
      </c>
      <c r="G394" s="1081">
        <v>0.98457380284448093</v>
      </c>
      <c r="H394" s="1081">
        <v>1.0120792981168159</v>
      </c>
      <c r="I394" s="1081">
        <v>1.0073890438911028</v>
      </c>
      <c r="K394">
        <v>2.4510148180121751</v>
      </c>
      <c r="L394">
        <v>0</v>
      </c>
      <c r="M394">
        <v>1.6503343989652422E-3</v>
      </c>
      <c r="N394">
        <v>0.152835477768757</v>
      </c>
      <c r="O394">
        <v>2.1095154252399474E-2</v>
      </c>
      <c r="P394">
        <v>2.9067906085501829E-2</v>
      </c>
      <c r="Q394">
        <v>5.5519415621284587E-3</v>
      </c>
      <c r="R394">
        <v>1.628810366972516E-3</v>
      </c>
      <c r="S394">
        <v>0.26290323473895588</v>
      </c>
      <c r="T394">
        <v>1.4019450983245962</v>
      </c>
      <c r="U394">
        <v>0.21307943784911715</v>
      </c>
      <c r="V394">
        <v>0.24319657205687631</v>
      </c>
      <c r="W394">
        <v>0.10006267833621312</v>
      </c>
      <c r="X394">
        <v>1.686575618791248E-2</v>
      </c>
      <c r="Y394">
        <v>4.4330848817060202E-3</v>
      </c>
    </row>
    <row r="395" spans="1:25" x14ac:dyDescent="0.2">
      <c r="A395" s="1077"/>
      <c r="B395" s="1444">
        <v>145</v>
      </c>
      <c r="C395" s="1081">
        <v>1.0078345565746651</v>
      </c>
      <c r="D395" s="1081">
        <v>1.0354987342639175</v>
      </c>
      <c r="E395" s="1081">
        <v>0.9718324113998964</v>
      </c>
      <c r="F395" s="1081">
        <v>1.0057068683474117</v>
      </c>
      <c r="G395" s="1081">
        <v>1.0110069858523147</v>
      </c>
      <c r="H395" s="1081">
        <v>1.0230506896578917</v>
      </c>
      <c r="I395" s="1081">
        <v>1.0074777109917725</v>
      </c>
      <c r="K395">
        <v>2.4102509475516851</v>
      </c>
      <c r="L395">
        <v>0</v>
      </c>
      <c r="M395">
        <v>1.7531595612666989E-3</v>
      </c>
      <c r="N395">
        <v>0.14656758992113586</v>
      </c>
      <c r="O395">
        <v>2.0644909111632557E-2</v>
      </c>
      <c r="P395">
        <v>2.7945277463848658E-2</v>
      </c>
      <c r="Q395">
        <v>5.250373161683709E-3</v>
      </c>
      <c r="R395">
        <v>1.7305396701276859E-3</v>
      </c>
      <c r="S395">
        <v>0.25578901942305743</v>
      </c>
      <c r="T395">
        <v>1.3788554439952994</v>
      </c>
      <c r="U395">
        <v>0.21023025828009395</v>
      </c>
      <c r="V395">
        <v>0.24702989249961416</v>
      </c>
      <c r="W395">
        <v>9.7928841997074328E-2</v>
      </c>
      <c r="X395">
        <v>1.5322003079545491E-2</v>
      </c>
      <c r="Y395">
        <v>4.7099585098386212E-3</v>
      </c>
    </row>
    <row r="396" spans="1:25" x14ac:dyDescent="0.2">
      <c r="A396" s="1077"/>
      <c r="B396" s="1444">
        <v>146</v>
      </c>
      <c r="C396" s="1081">
        <v>1.0030271187169768</v>
      </c>
      <c r="D396" s="1081">
        <v>1.033016856044185</v>
      </c>
      <c r="E396" s="1081">
        <v>0.98772827173363487</v>
      </c>
      <c r="F396" s="1081">
        <v>0.97998993282685631</v>
      </c>
      <c r="G396" s="1081">
        <v>1.0023434394425317</v>
      </c>
      <c r="H396" s="1081">
        <v>0.99940821652169998</v>
      </c>
      <c r="I396" s="1081">
        <v>1.0126393205823288</v>
      </c>
      <c r="K396">
        <v>2.3747399422421722</v>
      </c>
      <c r="L396">
        <v>0</v>
      </c>
      <c r="M396">
        <v>1.6660907802049354E-3</v>
      </c>
      <c r="N396">
        <v>0.1461062484987859</v>
      </c>
      <c r="O396">
        <v>2.0765221877162753E-2</v>
      </c>
      <c r="P396">
        <v>2.7822911640531838E-2</v>
      </c>
      <c r="Q396">
        <v>5.3669969748072277E-3</v>
      </c>
      <c r="R396">
        <v>1.6440857502612095E-3</v>
      </c>
      <c r="S396">
        <v>0.25675292752661538</v>
      </c>
      <c r="T396">
        <v>1.3439322382254704</v>
      </c>
      <c r="U396">
        <v>0.21129187247141434</v>
      </c>
      <c r="V396">
        <v>0.2457874335632555</v>
      </c>
      <c r="W396">
        <v>9.6687919806039316E-2</v>
      </c>
      <c r="X396">
        <v>1.5773517248543655E-2</v>
      </c>
      <c r="Y396">
        <v>4.4746594394890959E-3</v>
      </c>
    </row>
    <row r="397" spans="1:25" x14ac:dyDescent="0.2">
      <c r="A397" s="1077"/>
      <c r="B397" s="1444">
        <v>147</v>
      </c>
      <c r="C397" s="1081">
        <v>0.98048343898925061</v>
      </c>
      <c r="D397" s="1081">
        <v>0.98900745752980623</v>
      </c>
      <c r="E397" s="1081">
        <v>0.99166124923418475</v>
      </c>
      <c r="F397" s="1081">
        <v>1.0339877593222866</v>
      </c>
      <c r="G397" s="1081">
        <v>0.96934945508753656</v>
      </c>
      <c r="H397" s="1081">
        <v>1.0211733153936844</v>
      </c>
      <c r="I397" s="1081">
        <v>0.99957191163829306</v>
      </c>
      <c r="K397">
        <v>2.4769936153910659</v>
      </c>
      <c r="L397">
        <v>0</v>
      </c>
      <c r="M397">
        <v>1.7440140676762386E-3</v>
      </c>
      <c r="N397">
        <v>0.15481332714917245</v>
      </c>
      <c r="O397">
        <v>2.1449771071076318E-2</v>
      </c>
      <c r="P397">
        <v>2.9057140564064908E-2</v>
      </c>
      <c r="Q397">
        <v>5.5660126320768505E-3</v>
      </c>
      <c r="R397">
        <v>1.7214708063990009E-3</v>
      </c>
      <c r="S397">
        <v>0.26689117701207926</v>
      </c>
      <c r="T397">
        <v>1.4180711971523681</v>
      </c>
      <c r="U397">
        <v>0.21616367137448295</v>
      </c>
      <c r="V397">
        <v>0.24156745469580734</v>
      </c>
      <c r="W397">
        <v>0.10220879909707146</v>
      </c>
      <c r="X397">
        <v>1.65423318518239E-2</v>
      </c>
      <c r="Y397">
        <v>4.6852760523192656E-3</v>
      </c>
    </row>
    <row r="398" spans="1:25" x14ac:dyDescent="0.2">
      <c r="A398" s="1077"/>
      <c r="B398" s="1444">
        <v>148</v>
      </c>
      <c r="C398" s="1081">
        <v>0.98803453362242222</v>
      </c>
      <c r="D398" s="1081">
        <v>1.0020591613131822</v>
      </c>
      <c r="E398" s="1081">
        <v>1.0338097599836924</v>
      </c>
      <c r="F398" s="1081">
        <v>1.0204015393581773</v>
      </c>
      <c r="G398" s="1081">
        <v>1.0149058052561877</v>
      </c>
      <c r="H398" s="1081">
        <v>0.98572745805613604</v>
      </c>
      <c r="I398" s="1081">
        <v>0.95912845724634366</v>
      </c>
      <c r="K398">
        <v>2.4450158393308929</v>
      </c>
      <c r="L398">
        <v>0</v>
      </c>
      <c r="M398">
        <v>1.5260863165523755E-3</v>
      </c>
      <c r="N398">
        <v>0.15377445838477449</v>
      </c>
      <c r="O398">
        <v>2.1252887813063285E-2</v>
      </c>
      <c r="P398">
        <v>2.9567160146004377E-2</v>
      </c>
      <c r="Q398">
        <v>5.751892353688893E-3</v>
      </c>
      <c r="R398">
        <v>1.5056506662457622E-3</v>
      </c>
      <c r="S398">
        <v>0.24988519487944796</v>
      </c>
      <c r="T398">
        <v>1.4003707783740513</v>
      </c>
      <c r="U398">
        <v>0.21465773186813095</v>
      </c>
      <c r="V398">
        <v>0.24871121730481566</v>
      </c>
      <c r="W398">
        <v>9.9035937067195864E-2</v>
      </c>
      <c r="X398">
        <v>1.7931132014110857E-2</v>
      </c>
      <c r="Y398">
        <v>4.0978847759122299E-3</v>
      </c>
    </row>
    <row r="399" spans="1:25" x14ac:dyDescent="0.2">
      <c r="A399" s="1077"/>
      <c r="B399" s="1444">
        <v>149</v>
      </c>
      <c r="C399" s="1081">
        <v>0.98183387489649288</v>
      </c>
      <c r="D399" s="1081">
        <v>0.95346609502379598</v>
      </c>
      <c r="E399" s="1081">
        <v>1.0280553272401824</v>
      </c>
      <c r="F399" s="1081">
        <v>1.0085709018607174</v>
      </c>
      <c r="G399" s="1081">
        <v>1.0049090551344768</v>
      </c>
      <c r="H399" s="1081">
        <v>1.0062488195045087</v>
      </c>
      <c r="I399" s="1081">
        <v>0.98290600163566189</v>
      </c>
      <c r="K399">
        <v>2.4540038321621487</v>
      </c>
      <c r="L399">
        <v>0</v>
      </c>
      <c r="M399">
        <v>1.6040557450150447E-3</v>
      </c>
      <c r="N399">
        <v>0.15889546445577662</v>
      </c>
      <c r="O399">
        <v>2.1618328901037195E-2</v>
      </c>
      <c r="P399">
        <v>2.944086812424147E-2</v>
      </c>
      <c r="Q399">
        <v>5.8176195665026048E-3</v>
      </c>
      <c r="R399">
        <v>1.5830140708306666E-3</v>
      </c>
      <c r="S399">
        <v>0.26596797321093274</v>
      </c>
      <c r="T399">
        <v>1.3840084602723559</v>
      </c>
      <c r="U399">
        <v>0.21599325081263451</v>
      </c>
      <c r="V399">
        <v>0.24742467272452356</v>
      </c>
      <c r="W399">
        <v>0.10267618595519969</v>
      </c>
      <c r="X399">
        <v>1.7873607352774906E-2</v>
      </c>
      <c r="Y399">
        <v>4.3084424603528721E-3</v>
      </c>
    </row>
    <row r="400" spans="1:25" x14ac:dyDescent="0.2">
      <c r="A400" s="1077"/>
      <c r="B400" s="1444">
        <v>150</v>
      </c>
      <c r="C400" s="1081">
        <v>1.0122978709756834</v>
      </c>
      <c r="D400" s="1081">
        <v>0.98130335681883429</v>
      </c>
      <c r="E400" s="1081">
        <v>0.98464503754459021</v>
      </c>
      <c r="F400" s="1081">
        <v>0.9687362767990938</v>
      </c>
      <c r="G400" s="1081">
        <v>1.0000034455489053</v>
      </c>
      <c r="H400" s="1081">
        <v>1.0321712566236676</v>
      </c>
      <c r="I400" s="1081">
        <v>1.031028181887687</v>
      </c>
      <c r="K400">
        <v>2.3761649745910787</v>
      </c>
      <c r="L400">
        <v>0</v>
      </c>
      <c r="M400">
        <v>1.7353629447280036E-3</v>
      </c>
      <c r="N400">
        <v>0.15083263050712309</v>
      </c>
      <c r="O400">
        <v>2.0806812911109602E-2</v>
      </c>
      <c r="P400">
        <v>2.7669616949915082E-2</v>
      </c>
      <c r="Q400">
        <v>5.3609779482172255E-3</v>
      </c>
      <c r="R400">
        <v>1.7131705188913374E-3</v>
      </c>
      <c r="S400">
        <v>0.26858168482054362</v>
      </c>
      <c r="T400">
        <v>1.328434854867504</v>
      </c>
      <c r="U400">
        <v>0.2093464464653722</v>
      </c>
      <c r="V400">
        <v>0.24482936319630516</v>
      </c>
      <c r="W400">
        <v>0.10000076403933107</v>
      </c>
      <c r="X400">
        <v>1.5661329905583811E-2</v>
      </c>
      <c r="Y400">
        <v>4.6626854059124475E-3</v>
      </c>
    </row>
    <row r="401" spans="1:25" x14ac:dyDescent="0.2">
      <c r="A401" s="1077"/>
      <c r="B401" s="1444">
        <v>151</v>
      </c>
      <c r="C401" s="1081">
        <v>1.0086089467540018</v>
      </c>
      <c r="D401" s="1081">
        <v>0.99499527363074969</v>
      </c>
      <c r="E401" s="1081">
        <v>0.97483210421020905</v>
      </c>
      <c r="F401" s="1081">
        <v>1.0086004097628398</v>
      </c>
      <c r="G401" s="1081">
        <v>1.00087198123219</v>
      </c>
      <c r="H401" s="1081">
        <v>0.99381169858258001</v>
      </c>
      <c r="I401" s="1081">
        <v>1.0155820703310197</v>
      </c>
      <c r="K401">
        <v>2.4126547117586852</v>
      </c>
      <c r="L401">
        <v>0</v>
      </c>
      <c r="M401">
        <v>1.7061459556840424E-3</v>
      </c>
      <c r="N401">
        <v>0.1438829225002263</v>
      </c>
      <c r="O401">
        <v>2.081290696744871E-2</v>
      </c>
      <c r="P401">
        <v>2.8098113670972424E-2</v>
      </c>
      <c r="Q401">
        <v>5.3093209297218414E-3</v>
      </c>
      <c r="R401">
        <v>1.6834849961791386E-3</v>
      </c>
      <c r="S401">
        <v>0.26032630620116287</v>
      </c>
      <c r="T401">
        <v>1.3828876529607821</v>
      </c>
      <c r="U401">
        <v>0.21007896980090729</v>
      </c>
      <c r="V401">
        <v>0.24523914951761766</v>
      </c>
      <c r="W401">
        <v>9.5960194727807688E-2</v>
      </c>
      <c r="X401">
        <v>1.5499944242620195E-2</v>
      </c>
      <c r="Y401">
        <v>4.5818911989197741E-3</v>
      </c>
    </row>
    <row r="402" spans="1:25" x14ac:dyDescent="0.2">
      <c r="A402" s="1077"/>
      <c r="B402" s="1444">
        <v>152</v>
      </c>
      <c r="C402" s="1081">
        <v>1.0059827390398943</v>
      </c>
      <c r="D402" s="1081">
        <v>0.96600456760014886</v>
      </c>
      <c r="E402" s="1081">
        <v>1.0150214341731338</v>
      </c>
      <c r="F402" s="1081">
        <v>0.96357921420771075</v>
      </c>
      <c r="G402" s="1081">
        <v>0.99844178070276857</v>
      </c>
      <c r="H402" s="1081">
        <v>0.98079322684267101</v>
      </c>
      <c r="I402" s="1081">
        <v>1.0004661085141451</v>
      </c>
      <c r="K402">
        <v>2.3592398223284139</v>
      </c>
      <c r="L402">
        <v>0</v>
      </c>
      <c r="M402">
        <v>1.5634037723590878E-3</v>
      </c>
      <c r="N402">
        <v>0.14884649904120284</v>
      </c>
      <c r="O402">
        <v>2.1030125140660893E-2</v>
      </c>
      <c r="P402">
        <v>2.8118562913144737E-2</v>
      </c>
      <c r="Q402">
        <v>5.58653339718688E-3</v>
      </c>
      <c r="R402">
        <v>1.5423630853576948E-3</v>
      </c>
      <c r="S402">
        <v>0.26020241609258055</v>
      </c>
      <c r="T402">
        <v>1.3219959671483321</v>
      </c>
      <c r="U402">
        <v>0.2107638462828163</v>
      </c>
      <c r="V402">
        <v>0.24484056890758696</v>
      </c>
      <c r="W402">
        <v>9.6918032170068169E-2</v>
      </c>
      <c r="X402">
        <v>1.6760508043344221E-2</v>
      </c>
      <c r="Y402">
        <v>4.1978038784892032E-3</v>
      </c>
    </row>
    <row r="403" spans="1:25" x14ac:dyDescent="0.2">
      <c r="A403" s="1077"/>
      <c r="B403" s="1444">
        <v>153</v>
      </c>
      <c r="C403" s="1081">
        <v>1.0167238925281394</v>
      </c>
      <c r="D403" s="1081">
        <v>1.0020957666756183</v>
      </c>
      <c r="E403" s="1081">
        <v>0.99509947469573901</v>
      </c>
      <c r="F403" s="1081">
        <v>1.0325849835950136</v>
      </c>
      <c r="G403" s="1081">
        <v>0.9943148307100852</v>
      </c>
      <c r="H403" s="1081">
        <v>1.0075180871892027</v>
      </c>
      <c r="I403" s="1081">
        <v>0.99815876170919671</v>
      </c>
      <c r="K403">
        <v>2.4424251959189358</v>
      </c>
      <c r="L403">
        <v>0</v>
      </c>
      <c r="M403">
        <v>1.6428212880039629E-3</v>
      </c>
      <c r="N403">
        <v>0.14732792596371733</v>
      </c>
      <c r="O403">
        <v>2.0627706945214968E-2</v>
      </c>
      <c r="P403">
        <v>2.8857067382420842E-2</v>
      </c>
      <c r="Q403">
        <v>5.3712940627534201E-3</v>
      </c>
      <c r="R403">
        <v>1.6212982442352028E-3</v>
      </c>
      <c r="S403">
        <v>0.25422014216831212</v>
      </c>
      <c r="T403">
        <v>1.4162240314142758</v>
      </c>
      <c r="U403">
        <v>0.20847020692208018</v>
      </c>
      <c r="V403">
        <v>0.24355150309850981</v>
      </c>
      <c r="W403">
        <v>9.7067285556425478E-2</v>
      </c>
      <c r="X403">
        <v>1.6316916089006539E-2</v>
      </c>
      <c r="Y403">
        <v>4.4126393599856492E-3</v>
      </c>
    </row>
    <row r="404" spans="1:25" x14ac:dyDescent="0.2">
      <c r="A404" s="1077"/>
      <c r="B404" s="1444">
        <v>154</v>
      </c>
      <c r="C404" s="1081">
        <v>1.0032339167477462</v>
      </c>
      <c r="D404" s="1081">
        <v>0.99521372978676215</v>
      </c>
      <c r="E404" s="1081">
        <v>1.0060817906705353</v>
      </c>
      <c r="F404" s="1081">
        <v>0.97222694046135116</v>
      </c>
      <c r="G404" s="1081">
        <v>0.97427237908511444</v>
      </c>
      <c r="H404" s="1081">
        <v>1.0061978120547015</v>
      </c>
      <c r="I404" s="1081">
        <v>0.99463458472151256</v>
      </c>
      <c r="K404">
        <v>2.3684376300622154</v>
      </c>
      <c r="L404">
        <v>0</v>
      </c>
      <c r="M404">
        <v>1.6277423741527762E-3</v>
      </c>
      <c r="N404">
        <v>0.15089751886371103</v>
      </c>
      <c r="O404">
        <v>2.0944068883582894E-2</v>
      </c>
      <c r="P404">
        <v>2.8011583688709474E-2</v>
      </c>
      <c r="Q404">
        <v>5.5141901741950121E-3</v>
      </c>
      <c r="R404">
        <v>1.6063889012044421E-3</v>
      </c>
      <c r="S404">
        <v>0.25759353486549147</v>
      </c>
      <c r="T404">
        <v>1.333671962460361</v>
      </c>
      <c r="U404">
        <v>0.21131082217308869</v>
      </c>
      <c r="V404">
        <v>0.24091546145271353</v>
      </c>
      <c r="W404">
        <v>9.8772592839401624E-2</v>
      </c>
      <c r="X404">
        <v>1.645518709078703E-2</v>
      </c>
      <c r="Y404">
        <v>4.3720610431195279E-3</v>
      </c>
    </row>
    <row r="405" spans="1:25" x14ac:dyDescent="0.2">
      <c r="A405" s="1077"/>
      <c r="B405" s="1444">
        <v>155</v>
      </c>
      <c r="C405" s="1081">
        <v>1.0117449107624077</v>
      </c>
      <c r="D405" s="1081">
        <v>1.023300967344436</v>
      </c>
      <c r="E405" s="1081">
        <v>1.0048026354856816</v>
      </c>
      <c r="F405" s="1081">
        <v>0.97003495385809746</v>
      </c>
      <c r="G405" s="1081">
        <v>1.0169567931443788</v>
      </c>
      <c r="H405" s="1081">
        <v>0.98131896745707281</v>
      </c>
      <c r="I405" s="1081">
        <v>0.96743910519795495</v>
      </c>
      <c r="K405">
        <v>2.3448112114846538</v>
      </c>
      <c r="L405">
        <v>0</v>
      </c>
      <c r="M405">
        <v>1.5686925546471622E-3</v>
      </c>
      <c r="N405">
        <v>0.14481387507712432</v>
      </c>
      <c r="O405">
        <v>2.0640276399654999E-2</v>
      </c>
      <c r="P405">
        <v>2.7811742358094738E-2</v>
      </c>
      <c r="Q405">
        <v>5.4272454367139122E-3</v>
      </c>
      <c r="R405">
        <v>1.5475920005234242E-3</v>
      </c>
      <c r="S405">
        <v>0.24299208610356762</v>
      </c>
      <c r="T405">
        <v>1.3306381943699004</v>
      </c>
      <c r="U405">
        <v>0.20952890928409737</v>
      </c>
      <c r="V405">
        <v>0.24768493355654561</v>
      </c>
      <c r="W405">
        <v>9.4862221822643394E-2</v>
      </c>
      <c r="X405">
        <v>1.6220792368575203E-2</v>
      </c>
      <c r="Y405">
        <v>4.2120352618588968E-3</v>
      </c>
    </row>
    <row r="406" spans="1:25" x14ac:dyDescent="0.2">
      <c r="A406" s="1077"/>
      <c r="B406" s="1444">
        <v>156</v>
      </c>
      <c r="C406" s="1081">
        <v>1.016740036018436</v>
      </c>
      <c r="D406" s="1081">
        <v>0.96591871388973705</v>
      </c>
      <c r="E406" s="1081">
        <v>1.0117248485702737</v>
      </c>
      <c r="F406" s="1081">
        <v>1.0002286626526378</v>
      </c>
      <c r="G406" s="1081">
        <v>0.98407203168985113</v>
      </c>
      <c r="H406" s="1081">
        <v>1.0141949103582064</v>
      </c>
      <c r="I406" s="1081">
        <v>1.0065643370466482</v>
      </c>
      <c r="K406">
        <v>2.4114280830134773</v>
      </c>
      <c r="L406">
        <v>0</v>
      </c>
      <c r="M406">
        <v>1.6105718071101525E-3</v>
      </c>
      <c r="N406">
        <v>0.15188729316848296</v>
      </c>
      <c r="O406">
        <v>2.0805856606090991E-2</v>
      </c>
      <c r="P406">
        <v>2.8690576664453366E-2</v>
      </c>
      <c r="Q406">
        <v>5.5088079514395661E-3</v>
      </c>
      <c r="R406">
        <v>1.5896101851542027E-3</v>
      </c>
      <c r="S406">
        <v>0.2618387825142503</v>
      </c>
      <c r="T406">
        <v>1.372206185164196</v>
      </c>
      <c r="U406">
        <v>0.20852282014544088</v>
      </c>
      <c r="V406">
        <v>0.24174274217609387</v>
      </c>
      <c r="W406">
        <v>9.9089902018309667E-2</v>
      </c>
      <c r="X406">
        <v>1.6829683317539854E-2</v>
      </c>
      <c r="Y406">
        <v>4.326394909133037E-3</v>
      </c>
    </row>
    <row r="407" spans="1:25" x14ac:dyDescent="0.2">
      <c r="A407" s="1077"/>
      <c r="B407" s="1444">
        <v>157</v>
      </c>
      <c r="C407" s="1081">
        <v>1.0015866888758027</v>
      </c>
      <c r="D407" s="1081">
        <v>0.99486834621015263</v>
      </c>
      <c r="E407" s="1081">
        <v>0.98773662969843834</v>
      </c>
      <c r="F407" s="1081">
        <v>0.98390705482221286</v>
      </c>
      <c r="G407" s="1081">
        <v>0.99046598606023328</v>
      </c>
      <c r="H407" s="1081">
        <v>0.99143748004741528</v>
      </c>
      <c r="I407" s="1081">
        <v>1.0117861583639984</v>
      </c>
      <c r="K407">
        <v>2.3836679843145925</v>
      </c>
      <c r="L407">
        <v>0</v>
      </c>
      <c r="M407">
        <v>1.6689098939158028E-3</v>
      </c>
      <c r="N407">
        <v>0.14634141828373376</v>
      </c>
      <c r="O407">
        <v>2.0967952131010686E-2</v>
      </c>
      <c r="P407">
        <v>2.7932276072365154E-2</v>
      </c>
      <c r="Q407">
        <v>5.4194406498947198E-3</v>
      </c>
      <c r="R407">
        <v>1.6466904198551352E-3</v>
      </c>
      <c r="S407">
        <v>0.26109056649438001</v>
      </c>
      <c r="T407">
        <v>1.3493042529958972</v>
      </c>
      <c r="U407">
        <v>0.21159576991273296</v>
      </c>
      <c r="V407">
        <v>0.24384781962647925</v>
      </c>
      <c r="W407">
        <v>9.6843061048876369E-2</v>
      </c>
      <c r="X407">
        <v>1.5865898081786897E-2</v>
      </c>
      <c r="Y407">
        <v>4.4817484914946616E-3</v>
      </c>
    </row>
    <row r="408" spans="1:25" x14ac:dyDescent="0.2">
      <c r="A408" s="1077"/>
      <c r="B408" s="1444">
        <v>158</v>
      </c>
      <c r="C408" s="1081">
        <v>1.0033213223129662</v>
      </c>
      <c r="D408" s="1081">
        <v>0.96612792734094011</v>
      </c>
      <c r="E408" s="1081">
        <v>0.98558143601023196</v>
      </c>
      <c r="F408" s="1081">
        <v>0.99903018873373628</v>
      </c>
      <c r="G408" s="1081">
        <v>1.0261489689899723</v>
      </c>
      <c r="H408" s="1081">
        <v>1.0324450300700794</v>
      </c>
      <c r="I408" s="1081">
        <v>0.97833099489805486</v>
      </c>
      <c r="K408">
        <v>2.4197911980220512</v>
      </c>
      <c r="L408">
        <v>0</v>
      </c>
      <c r="M408">
        <v>1.7539664619048607E-3</v>
      </c>
      <c r="N408">
        <v>0.15288249187686739</v>
      </c>
      <c r="O408">
        <v>2.1065694567599734E-2</v>
      </c>
      <c r="P408">
        <v>2.821633699899671E-2</v>
      </c>
      <c r="Q408">
        <v>5.432833675216831E-3</v>
      </c>
      <c r="R408">
        <v>1.731542075661798E-3</v>
      </c>
      <c r="S408">
        <v>0.2591814772478972</v>
      </c>
      <c r="T408">
        <v>1.369997280211708</v>
      </c>
      <c r="U408">
        <v>0.21122261688328545</v>
      </c>
      <c r="V408">
        <v>0.24984397638020997</v>
      </c>
      <c r="W408">
        <v>0.1013027418390515</v>
      </c>
      <c r="X408">
        <v>1.595548600020285E-2</v>
      </c>
      <c r="Y408">
        <v>4.712686727259577E-3</v>
      </c>
    </row>
    <row r="409" spans="1:25" x14ac:dyDescent="0.2">
      <c r="A409" s="1077"/>
      <c r="B409" s="1444">
        <v>159</v>
      </c>
      <c r="C409" s="1081">
        <v>1.0006278938373843</v>
      </c>
      <c r="D409" s="1081">
        <v>1.0224273178333352</v>
      </c>
      <c r="E409" s="1081">
        <v>1.0199625321558805</v>
      </c>
      <c r="F409" s="1081">
        <v>1.0242821965078313</v>
      </c>
      <c r="G409" s="1081">
        <v>0.96068720647100514</v>
      </c>
      <c r="H409" s="1081">
        <v>1.0350226829870268</v>
      </c>
      <c r="I409" s="1081">
        <v>0.97021273444699285</v>
      </c>
      <c r="K409">
        <v>2.4429174424769498</v>
      </c>
      <c r="L409">
        <v>0</v>
      </c>
      <c r="M409">
        <v>1.6213418235998612E-3</v>
      </c>
      <c r="N409">
        <v>0.15679320615734652</v>
      </c>
      <c r="O409">
        <v>2.0883537740885083E-2</v>
      </c>
      <c r="P409">
        <v>2.917954194980869E-2</v>
      </c>
      <c r="Q409">
        <v>5.5749488638895325E-3</v>
      </c>
      <c r="R409">
        <v>1.6006646613064216E-3</v>
      </c>
      <c r="S409">
        <v>0.25103037639221715</v>
      </c>
      <c r="T409">
        <v>1.4053881121448892</v>
      </c>
      <c r="U409">
        <v>0.21190867031051611</v>
      </c>
      <c r="V409">
        <v>0.23871140506595756</v>
      </c>
      <c r="W409">
        <v>0.10179706668878356</v>
      </c>
      <c r="X409">
        <v>1.731477277583781E-2</v>
      </c>
      <c r="Y409">
        <v>4.3564815491122918E-3</v>
      </c>
    </row>
    <row r="410" spans="1:25" x14ac:dyDescent="0.2">
      <c r="A410" s="1077"/>
      <c r="B410" s="1444">
        <v>160</v>
      </c>
      <c r="C410" s="1081">
        <v>0.95097739257924896</v>
      </c>
      <c r="D410" s="1081">
        <v>0.98132572962760112</v>
      </c>
      <c r="E410" s="1081">
        <v>0.96369213497486061</v>
      </c>
      <c r="F410" s="1081">
        <v>0.98832990931342779</v>
      </c>
      <c r="G410" s="1081">
        <v>1.011857838565674</v>
      </c>
      <c r="H410" s="1081">
        <v>0.99274466223567503</v>
      </c>
      <c r="I410" s="1081">
        <v>1.0040994376594286</v>
      </c>
      <c r="K410">
        <v>2.4321248840252658</v>
      </c>
      <c r="L410">
        <v>0</v>
      </c>
      <c r="M410">
        <v>1.8552853047359434E-3</v>
      </c>
      <c r="N410">
        <v>0.15126821867899121</v>
      </c>
      <c r="O410">
        <v>2.2133734866225146E-2</v>
      </c>
      <c r="P410">
        <v>2.7921619093301191E-2</v>
      </c>
      <c r="Q410">
        <v>5.5823113518568418E-3</v>
      </c>
      <c r="R410">
        <v>1.8306169967262198E-3</v>
      </c>
      <c r="S410">
        <v>0.27469418733607315</v>
      </c>
      <c r="T410">
        <v>1.3548582597486007</v>
      </c>
      <c r="U410">
        <v>0.22277042740523878</v>
      </c>
      <c r="V410">
        <v>0.25090524033610623</v>
      </c>
      <c r="W410">
        <v>0.10157243996925513</v>
      </c>
      <c r="X410">
        <v>1.5460777545265753E-2</v>
      </c>
      <c r="Y410">
        <v>4.982336002357984E-3</v>
      </c>
    </row>
    <row r="411" spans="1:25" x14ac:dyDescent="0.2">
      <c r="A411" s="1077"/>
      <c r="B411" s="1444">
        <v>161</v>
      </c>
      <c r="C411" s="1081">
        <v>1.0027390266934062</v>
      </c>
      <c r="D411" s="1081">
        <v>0.97335943811503356</v>
      </c>
      <c r="E411" s="1081">
        <v>0.9957938333690215</v>
      </c>
      <c r="F411" s="1081">
        <v>1.0045113751096251</v>
      </c>
      <c r="G411" s="1081">
        <v>0.96334774580513771</v>
      </c>
      <c r="H411" s="1081">
        <v>1.0361471353133918</v>
      </c>
      <c r="I411" s="1081">
        <v>1.0254471500669633</v>
      </c>
      <c r="K411">
        <v>2.4322403117962277</v>
      </c>
      <c r="L411">
        <v>0</v>
      </c>
      <c r="M411">
        <v>1.7215865148603674E-3</v>
      </c>
      <c r="N411">
        <v>0.1547726594296373</v>
      </c>
      <c r="O411">
        <v>2.105016536186265E-2</v>
      </c>
      <c r="P411">
        <v>2.8559025790436027E-2</v>
      </c>
      <c r="Q411">
        <v>5.4851356416703214E-3</v>
      </c>
      <c r="R411">
        <v>1.6996547470214981E-3</v>
      </c>
      <c r="S411">
        <v>0.27121749468580908</v>
      </c>
      <c r="T411">
        <v>1.3777352320573899</v>
      </c>
      <c r="U411">
        <v>0.21138003647288367</v>
      </c>
      <c r="V411">
        <v>0.23911591647016806</v>
      </c>
      <c r="W411">
        <v>0.10193003674284738</v>
      </c>
      <c r="X411">
        <v>1.6390640981006319E-2</v>
      </c>
      <c r="Y411">
        <v>4.6258999303557457E-3</v>
      </c>
    </row>
    <row r="412" spans="1:25" x14ac:dyDescent="0.2">
      <c r="A412" s="1077"/>
      <c r="B412" s="1444">
        <v>162</v>
      </c>
      <c r="C412" s="1081">
        <v>1.0067074874330375</v>
      </c>
      <c r="D412" s="1081">
        <v>1.0033468078719308</v>
      </c>
      <c r="E412" s="1081">
        <v>1.0210875693317323</v>
      </c>
      <c r="F412" s="1081">
        <v>1.0025551644620292</v>
      </c>
      <c r="G412" s="1081">
        <v>0.98688637586126726</v>
      </c>
      <c r="H412" s="1081">
        <v>1.0119324523763826</v>
      </c>
      <c r="I412" s="1081">
        <v>1.0191599653531578</v>
      </c>
      <c r="K412">
        <v>2.420943517236819</v>
      </c>
      <c r="L412">
        <v>0</v>
      </c>
      <c r="M412">
        <v>1.5784424900656404E-3</v>
      </c>
      <c r="N412">
        <v>0.15311837912439499</v>
      </c>
      <c r="O412">
        <v>2.0844369839316857E-2</v>
      </c>
      <c r="P412">
        <v>2.8989877819230899E-2</v>
      </c>
      <c r="Q412">
        <v>5.5707181092318229E-3</v>
      </c>
      <c r="R412">
        <v>1.557853101121274E-3</v>
      </c>
      <c r="S412">
        <v>0.26258388695110368</v>
      </c>
      <c r="T412">
        <v>1.3756015702549156</v>
      </c>
      <c r="U412">
        <v>0.21063276750344254</v>
      </c>
      <c r="V412">
        <v>0.24280241027185276</v>
      </c>
      <c r="W412">
        <v>9.9345822274352236E-2</v>
      </c>
      <c r="X412">
        <v>1.7234341882806398E-2</v>
      </c>
      <c r="Y412">
        <v>4.2399625951153397E-3</v>
      </c>
    </row>
    <row r="413" spans="1:25" x14ac:dyDescent="0.2">
      <c r="A413" s="1077"/>
      <c r="B413" s="1444">
        <v>163</v>
      </c>
      <c r="C413" s="1081">
        <v>1.0333237524186951</v>
      </c>
      <c r="D413" s="1081">
        <v>1.0199417354077871</v>
      </c>
      <c r="E413" s="1081">
        <v>1.0146246807560342</v>
      </c>
      <c r="F413" s="1081">
        <v>1.0079681929668733</v>
      </c>
      <c r="G413" s="1081">
        <v>0.98995668903017864</v>
      </c>
      <c r="H413" s="1081">
        <v>1.0231159433132992</v>
      </c>
      <c r="I413" s="1081">
        <v>0.99603009685374566</v>
      </c>
      <c r="K413">
        <v>2.4005653329873797</v>
      </c>
      <c r="L413">
        <v>0</v>
      </c>
      <c r="M413">
        <v>1.5701449252333154E-3</v>
      </c>
      <c r="N413">
        <v>0.14939367324091987</v>
      </c>
      <c r="O413">
        <v>2.0230161700957455E-2</v>
      </c>
      <c r="P413">
        <v>2.8674046081087208E-2</v>
      </c>
      <c r="Q413">
        <v>5.3719023386739773E-3</v>
      </c>
      <c r="R413">
        <v>1.5498876464056293E-3</v>
      </c>
      <c r="S413">
        <v>0.24884200103253307</v>
      </c>
      <c r="T413">
        <v>1.382887371959354</v>
      </c>
      <c r="U413">
        <v>0.20518586898966762</v>
      </c>
      <c r="V413">
        <v>0.24175208620464825</v>
      </c>
      <c r="W413">
        <v>9.7296986555632875E-2</v>
      </c>
      <c r="X413">
        <v>1.6733208909541067E-2</v>
      </c>
      <c r="Y413">
        <v>4.2182832531907979E-3</v>
      </c>
    </row>
    <row r="414" spans="1:25" x14ac:dyDescent="0.2">
      <c r="A414" s="1077"/>
      <c r="B414" s="1444">
        <v>164</v>
      </c>
      <c r="C414" s="1081">
        <v>0.98151157668035949</v>
      </c>
      <c r="D414" s="1081">
        <v>0.98194369020146122</v>
      </c>
      <c r="E414" s="1081">
        <v>0.97599120124223449</v>
      </c>
      <c r="F414" s="1081">
        <v>0.9982422795240703</v>
      </c>
      <c r="G414" s="1081">
        <v>0.97536916859449463</v>
      </c>
      <c r="H414" s="1081">
        <v>0.98792342416483525</v>
      </c>
      <c r="I414" s="1081">
        <v>0.98323306856727344</v>
      </c>
      <c r="K414">
        <v>2.4085309722405723</v>
      </c>
      <c r="L414">
        <v>0</v>
      </c>
      <c r="M414">
        <v>1.7437498694151381E-3</v>
      </c>
      <c r="N414">
        <v>0.1475591050455892</v>
      </c>
      <c r="O414">
        <v>2.1450507775864998E-2</v>
      </c>
      <c r="P414">
        <v>2.7973807940225671E-2</v>
      </c>
      <c r="Q414">
        <v>5.4784381723785077E-3</v>
      </c>
      <c r="R414">
        <v>1.7204514143525826E-3</v>
      </c>
      <c r="S414">
        <v>0.26022387658540214</v>
      </c>
      <c r="T414">
        <v>1.3687105631126542</v>
      </c>
      <c r="U414">
        <v>0.21588280751604363</v>
      </c>
      <c r="V414">
        <v>0.2425839656256833</v>
      </c>
      <c r="W414">
        <v>9.83428559466554E-2</v>
      </c>
      <c r="X414">
        <v>1.5665841371927034E-2</v>
      </c>
      <c r="Y414">
        <v>4.6825016032114126E-3</v>
      </c>
    </row>
    <row r="415" spans="1:25" x14ac:dyDescent="0.2">
      <c r="A415" s="1077"/>
      <c r="B415" s="1444">
        <v>165</v>
      </c>
      <c r="C415" s="1081">
        <v>1.0206134467996957</v>
      </c>
      <c r="D415" s="1081">
        <v>0.96098337068067419</v>
      </c>
      <c r="E415" s="1081">
        <v>0.97994884145626171</v>
      </c>
      <c r="F415" s="1081">
        <v>1.0051754836946778</v>
      </c>
      <c r="G415" s="1081">
        <v>0.97872597824424634</v>
      </c>
      <c r="H415" s="1081">
        <v>0.96459068207521526</v>
      </c>
      <c r="I415" s="1081">
        <v>0.97589843291745737</v>
      </c>
      <c r="K415">
        <v>2.3822942279411299</v>
      </c>
      <c r="L415">
        <v>0</v>
      </c>
      <c r="M415">
        <v>1.6317241739367799E-3</v>
      </c>
      <c r="N415">
        <v>0.13969713858599628</v>
      </c>
      <c r="O415">
        <v>2.0729435524306915E-2</v>
      </c>
      <c r="P415">
        <v>2.7903028124462638E-2</v>
      </c>
      <c r="Q415">
        <v>5.315640538172052E-3</v>
      </c>
      <c r="R415">
        <v>1.6093951415457834E-3</v>
      </c>
      <c r="S415">
        <v>0.24923008282170686</v>
      </c>
      <c r="T415">
        <v>1.3783024704178655</v>
      </c>
      <c r="U415">
        <v>0.20762508623162423</v>
      </c>
      <c r="V415">
        <v>0.24070889966205597</v>
      </c>
      <c r="W415">
        <v>9.2880555022560374E-2</v>
      </c>
      <c r="X415">
        <v>1.5543977006445039E-2</v>
      </c>
      <c r="Y415">
        <v>4.3802430383217978E-3</v>
      </c>
    </row>
    <row r="416" spans="1:25" x14ac:dyDescent="0.2">
      <c r="A416" s="1077"/>
      <c r="B416" s="1444">
        <v>166</v>
      </c>
      <c r="C416" s="1081">
        <v>1.0045939817476321</v>
      </c>
      <c r="D416" s="1081">
        <v>1.0234368986475479</v>
      </c>
      <c r="E416" s="1081">
        <v>1.0467404014754726</v>
      </c>
      <c r="F416" s="1081">
        <v>1.0221964097248972</v>
      </c>
      <c r="G416" s="1081">
        <v>0.97896162881636983</v>
      </c>
      <c r="H416" s="1081">
        <v>1.036545635168693</v>
      </c>
      <c r="I416" s="1081">
        <v>1.0249289590262507</v>
      </c>
      <c r="K416">
        <v>2.4619050103689659</v>
      </c>
      <c r="L416">
        <v>0</v>
      </c>
      <c r="M416">
        <v>1.5291697466558723E-3</v>
      </c>
      <c r="N416">
        <v>0.16031195677385404</v>
      </c>
      <c r="O416">
        <v>2.081426315323584E-2</v>
      </c>
      <c r="P416">
        <v>2.9935585768778472E-2</v>
      </c>
      <c r="Q416">
        <v>5.7052528418582811E-3</v>
      </c>
      <c r="R416">
        <v>1.5096967186480708E-3</v>
      </c>
      <c r="S416">
        <v>0.26436788403479805</v>
      </c>
      <c r="T416">
        <v>1.4031220944137048</v>
      </c>
      <c r="U416">
        <v>0.2111636347477282</v>
      </c>
      <c r="V416">
        <v>0.24149403679687581</v>
      </c>
      <c r="W416">
        <v>0.1024804146967339</v>
      </c>
      <c r="X416">
        <v>1.8420463372637311E-2</v>
      </c>
      <c r="Y416">
        <v>4.1088967967704976E-3</v>
      </c>
    </row>
    <row r="417" spans="1:25" x14ac:dyDescent="0.2">
      <c r="A417" s="1077"/>
      <c r="B417" s="1444">
        <v>167</v>
      </c>
      <c r="C417" s="1081">
        <v>1.040200062217645</v>
      </c>
      <c r="D417" s="1081">
        <v>0.9599730761241958</v>
      </c>
      <c r="E417" s="1081">
        <v>0.98497042481965946</v>
      </c>
      <c r="F417" s="1081">
        <v>1.0052285215030361</v>
      </c>
      <c r="G417" s="1081">
        <v>0.97392000456013805</v>
      </c>
      <c r="H417" s="1081">
        <v>0.99140097303288111</v>
      </c>
      <c r="I417" s="1081">
        <v>0.99118079062566722</v>
      </c>
      <c r="K417">
        <v>2.3807010109501947</v>
      </c>
      <c r="L417">
        <v>0</v>
      </c>
      <c r="M417">
        <v>1.6288708382769489E-3</v>
      </c>
      <c r="N417">
        <v>0.14164055882212401</v>
      </c>
      <c r="O417">
        <v>2.0347038252822951E-2</v>
      </c>
      <c r="P417">
        <v>2.7952651970759433E-2</v>
      </c>
      <c r="Q417">
        <v>5.2442442162927818E-3</v>
      </c>
      <c r="R417">
        <v>1.607183636219329E-3</v>
      </c>
      <c r="S417">
        <v>0.25073074929029071</v>
      </c>
      <c r="T417">
        <v>1.3784839784549048</v>
      </c>
      <c r="U417">
        <v>0.20373203127107575</v>
      </c>
      <c r="V417">
        <v>0.23871907892935196</v>
      </c>
      <c r="W417">
        <v>9.3888119436038739E-2</v>
      </c>
      <c r="X417">
        <v>1.5610023458743842E-2</v>
      </c>
      <c r="Y417">
        <v>4.3742240498457225E-3</v>
      </c>
    </row>
    <row r="418" spans="1:25" x14ac:dyDescent="0.2">
      <c r="A418" s="1077"/>
      <c r="B418" s="1444">
        <v>168</v>
      </c>
      <c r="C418" s="1081">
        <v>1.0278910029625481</v>
      </c>
      <c r="D418" s="1081">
        <v>1.005204055400259</v>
      </c>
      <c r="E418" s="1081">
        <v>1.0255347732897595</v>
      </c>
      <c r="F418" s="1081">
        <v>1.0110679616028344</v>
      </c>
      <c r="G418" s="1081">
        <v>0.9723806680269208</v>
      </c>
      <c r="H418" s="1081">
        <v>1.009668870707048</v>
      </c>
      <c r="I418" s="1081">
        <v>1.0017991099597425</v>
      </c>
      <c r="K418">
        <v>2.4086848650102755</v>
      </c>
      <c r="L418">
        <v>0</v>
      </c>
      <c r="M418">
        <v>1.5276193794664611E-3</v>
      </c>
      <c r="N418">
        <v>0.15018482082272749</v>
      </c>
      <c r="O418">
        <v>2.0409368250573965E-2</v>
      </c>
      <c r="P418">
        <v>2.8993837023989652E-2</v>
      </c>
      <c r="Q418">
        <v>5.4785870450353808E-3</v>
      </c>
      <c r="R418">
        <v>1.5076482599375167E-3</v>
      </c>
      <c r="S418">
        <v>0.25240634189448619</v>
      </c>
      <c r="T418">
        <v>1.3873796363060356</v>
      </c>
      <c r="U418">
        <v>0.20630673777337236</v>
      </c>
      <c r="V418">
        <v>0.2390338909178433</v>
      </c>
      <c r="W418">
        <v>9.718993540067257E-2</v>
      </c>
      <c r="X418">
        <v>1.7218359127633039E-2</v>
      </c>
      <c r="Y418">
        <v>4.1033215674346028E-3</v>
      </c>
    </row>
    <row r="419" spans="1:25" x14ac:dyDescent="0.2">
      <c r="A419" s="1077"/>
      <c r="B419" s="1444">
        <v>169</v>
      </c>
      <c r="C419" s="1081">
        <v>0.97493575582263359</v>
      </c>
      <c r="D419" s="1081">
        <v>1.0127781206916393</v>
      </c>
      <c r="E419" s="1081">
        <v>1.0107750829386117</v>
      </c>
      <c r="F419" s="1081">
        <v>0.99871995065827845</v>
      </c>
      <c r="G419" s="1081">
        <v>1.0131780739568199</v>
      </c>
      <c r="H419" s="1081">
        <v>0.97053561617315165</v>
      </c>
      <c r="I419" s="1081">
        <v>0.9680251053470712</v>
      </c>
      <c r="K419">
        <v>2.4143839627808852</v>
      </c>
      <c r="L419">
        <v>0</v>
      </c>
      <c r="M419">
        <v>1.5938040939542967E-3</v>
      </c>
      <c r="N419">
        <v>0.14978676219177872</v>
      </c>
      <c r="O419">
        <v>2.1472382954612533E-2</v>
      </c>
      <c r="P419">
        <v>2.8744438883090258E-2</v>
      </c>
      <c r="Q419">
        <v>5.6798939975434464E-3</v>
      </c>
      <c r="R419">
        <v>1.5721275680576057E-3</v>
      </c>
      <c r="S419">
        <v>0.25276656081991827</v>
      </c>
      <c r="T419">
        <v>1.3701158331337546</v>
      </c>
      <c r="U419">
        <v>0.2174607365022766</v>
      </c>
      <c r="V419">
        <v>0.24934681713772638</v>
      </c>
      <c r="W419">
        <v>9.7774224189850212E-2</v>
      </c>
      <c r="X419">
        <v>1.6979176507688664E-2</v>
      </c>
      <c r="Y419">
        <v>4.2788129885392764E-3</v>
      </c>
    </row>
    <row r="420" spans="1:25" x14ac:dyDescent="0.2">
      <c r="A420" s="1077"/>
      <c r="B420" s="1444">
        <v>170</v>
      </c>
      <c r="C420" s="1081">
        <v>0.99477824378533353</v>
      </c>
      <c r="D420" s="1081">
        <v>0.99970359676046328</v>
      </c>
      <c r="E420" s="1081">
        <v>0.97892845817633878</v>
      </c>
      <c r="F420" s="1081">
        <v>0.99195248458383145</v>
      </c>
      <c r="G420" s="1081">
        <v>1.0459375546012482</v>
      </c>
      <c r="H420" s="1081">
        <v>0.98234361346019172</v>
      </c>
      <c r="I420" s="1081">
        <v>0.99412165274076159</v>
      </c>
      <c r="K420">
        <v>2.3992030383103717</v>
      </c>
      <c r="L420">
        <v>0</v>
      </c>
      <c r="M420">
        <v>1.6937300197026025E-3</v>
      </c>
      <c r="N420">
        <v>0.14459489486376814</v>
      </c>
      <c r="O420">
        <v>2.1083092882684309E-2</v>
      </c>
      <c r="P420">
        <v>2.798743739801764E-2</v>
      </c>
      <c r="Q420">
        <v>5.4007229171297586E-3</v>
      </c>
      <c r="R420">
        <v>1.6709713445238203E-3</v>
      </c>
      <c r="S420">
        <v>0.25681597156339953</v>
      </c>
      <c r="T420">
        <v>1.3601492184572679</v>
      </c>
      <c r="U420">
        <v>0.21301378457941553</v>
      </c>
      <c r="V420">
        <v>0.25378433012491475</v>
      </c>
      <c r="W420">
        <v>9.6196207994041064E-2</v>
      </c>
      <c r="X420">
        <v>1.5652303040669523E-2</v>
      </c>
      <c r="Y420">
        <v>4.5478331642381563E-3</v>
      </c>
    </row>
    <row r="421" spans="1:25" x14ac:dyDescent="0.2">
      <c r="A421" s="1077"/>
      <c r="B421" s="1444">
        <v>171</v>
      </c>
      <c r="C421" s="1081">
        <v>1.0011859440305237</v>
      </c>
      <c r="D421" s="1081">
        <v>1.0119655859937438</v>
      </c>
      <c r="E421" s="1081">
        <v>0.99898273140403482</v>
      </c>
      <c r="F421" s="1081">
        <v>1.0214272755879397</v>
      </c>
      <c r="G421" s="1081">
        <v>0.98728462847406273</v>
      </c>
      <c r="H421" s="1081">
        <v>0.99051941971887181</v>
      </c>
      <c r="I421" s="1081">
        <v>1.0058113555572756</v>
      </c>
      <c r="K421">
        <v>2.4335827335854763</v>
      </c>
      <c r="L421">
        <v>0</v>
      </c>
      <c r="M421">
        <v>1.623512575519154E-3</v>
      </c>
      <c r="N421">
        <v>0.14728135648776325</v>
      </c>
      <c r="O421">
        <v>2.0905286348958774E-2</v>
      </c>
      <c r="P421">
        <v>2.881832147021535E-2</v>
      </c>
      <c r="Q421">
        <v>5.46489835711281E-3</v>
      </c>
      <c r="R421">
        <v>1.601877476819061E-3</v>
      </c>
      <c r="S421">
        <v>0.25745800517440476</v>
      </c>
      <c r="T421">
        <v>1.4010066069165856</v>
      </c>
      <c r="U421">
        <v>0.21171882128549127</v>
      </c>
      <c r="V421">
        <v>0.24328937747984333</v>
      </c>
      <c r="W421">
        <v>9.6812378573035998E-2</v>
      </c>
      <c r="X421">
        <v>1.6489534157630249E-2</v>
      </c>
      <c r="Y421">
        <v>4.3597824331331704E-3</v>
      </c>
    </row>
    <row r="422" spans="1:25" x14ac:dyDescent="0.2">
      <c r="A422" s="1077"/>
      <c r="B422" s="1444">
        <v>172</v>
      </c>
      <c r="C422" s="1081">
        <v>0.96950301156021468</v>
      </c>
      <c r="D422" s="1081">
        <v>0.99051152687420863</v>
      </c>
      <c r="E422" s="1081">
        <v>0.99470760735386066</v>
      </c>
      <c r="F422" s="1081">
        <v>0.99974623795253359</v>
      </c>
      <c r="G422" s="1081">
        <v>0.997197978877431</v>
      </c>
      <c r="H422" s="1081">
        <v>0.98177527029962408</v>
      </c>
      <c r="I422" s="1081">
        <v>0.97703099371154001</v>
      </c>
      <c r="K422">
        <v>2.4241534596675582</v>
      </c>
      <c r="L422">
        <v>0</v>
      </c>
      <c r="M422">
        <v>1.6844847980046931E-3</v>
      </c>
      <c r="N422">
        <v>0.15083297289129904</v>
      </c>
      <c r="O422">
        <v>2.1687544017217814E-2</v>
      </c>
      <c r="P422">
        <v>2.850386072515922E-2</v>
      </c>
      <c r="Q422">
        <v>5.6450370848707679E-3</v>
      </c>
      <c r="R422">
        <v>1.6618372480752916E-3</v>
      </c>
      <c r="S422">
        <v>0.26026819546631885</v>
      </c>
      <c r="T422">
        <v>1.3711761546673551</v>
      </c>
      <c r="U422">
        <v>0.21862263377518334</v>
      </c>
      <c r="V422">
        <v>0.24703406836526867</v>
      </c>
      <c r="W422">
        <v>9.9399833756662823E-2</v>
      </c>
      <c r="X422">
        <v>1.6482833303392491E-2</v>
      </c>
      <c r="Y422">
        <v>4.5229731647593481E-3</v>
      </c>
    </row>
    <row r="423" spans="1:25" x14ac:dyDescent="0.2">
      <c r="A423" s="1077"/>
      <c r="B423" s="1444">
        <v>173</v>
      </c>
      <c r="C423" s="1081">
        <v>0.99799704209153794</v>
      </c>
      <c r="D423" s="1081">
        <v>0.98207181576046898</v>
      </c>
      <c r="E423" s="1081">
        <v>1.0023321704149255</v>
      </c>
      <c r="F423" s="1081">
        <v>0.99698480839498016</v>
      </c>
      <c r="G423" s="1081">
        <v>1.0051135171195773</v>
      </c>
      <c r="H423" s="1081">
        <v>0.99800561895517648</v>
      </c>
      <c r="I423" s="1081">
        <v>1.0270203507738795</v>
      </c>
      <c r="K423">
        <v>2.4201421700436017</v>
      </c>
      <c r="L423">
        <v>0</v>
      </c>
      <c r="M423">
        <v>1.6404326520413652E-3</v>
      </c>
      <c r="N423">
        <v>0.1503450374505082</v>
      </c>
      <c r="O423">
        <v>2.1113127336710523E-2</v>
      </c>
      <c r="P423">
        <v>2.8636361147381134E-2</v>
      </c>
      <c r="Q423">
        <v>5.5378371495374713E-3</v>
      </c>
      <c r="R423">
        <v>1.6187360543044684E-3</v>
      </c>
      <c r="S423">
        <v>0.26841377351371515</v>
      </c>
      <c r="T423">
        <v>1.3675531468898099</v>
      </c>
      <c r="U423">
        <v>0.21240680018057087</v>
      </c>
      <c r="V423">
        <v>0.246521182146197</v>
      </c>
      <c r="W423">
        <v>9.8629788260441678E-2</v>
      </c>
      <c r="X423">
        <v>1.6601146642846058E-2</v>
      </c>
      <c r="Y423">
        <v>4.4056659236198737E-3</v>
      </c>
    </row>
    <row r="424" spans="1:25" x14ac:dyDescent="0.2">
      <c r="A424" s="1077"/>
      <c r="B424" s="1444">
        <v>174</v>
      </c>
      <c r="C424" s="1081">
        <v>1.0262523404047763</v>
      </c>
      <c r="D424" s="1081">
        <v>1.0236670024136847</v>
      </c>
      <c r="E424" s="1081">
        <v>0.98138014544903618</v>
      </c>
      <c r="F424" s="1081">
        <v>1.003711519774851</v>
      </c>
      <c r="G424" s="1081">
        <v>0.97987138053503708</v>
      </c>
      <c r="H424" s="1081">
        <v>0.98783607978219612</v>
      </c>
      <c r="I424" s="1081">
        <v>1.0087029807783572</v>
      </c>
      <c r="K424">
        <v>2.3806886931858324</v>
      </c>
      <c r="L424">
        <v>0</v>
      </c>
      <c r="M424">
        <v>1.6340780075178416E-3</v>
      </c>
      <c r="N424">
        <v>0.14055166509784087</v>
      </c>
      <c r="O424">
        <v>2.033184490369842E-2</v>
      </c>
      <c r="P424">
        <v>2.7901031413983455E-2</v>
      </c>
      <c r="Q424">
        <v>5.2212739904624215E-3</v>
      </c>
      <c r="R424">
        <v>1.6122429611199142E-3</v>
      </c>
      <c r="S424">
        <v>0.25008723402512628</v>
      </c>
      <c r="T424">
        <v>1.3763260223312244</v>
      </c>
      <c r="U424">
        <v>0.20648901239891426</v>
      </c>
      <c r="V424">
        <v>0.24056368442726161</v>
      </c>
      <c r="W424">
        <v>9.3368018671060482E-2</v>
      </c>
      <c r="X424">
        <v>1.5482747108239315E-2</v>
      </c>
      <c r="Y424">
        <v>4.3879938644191107E-3</v>
      </c>
    </row>
    <row r="425" spans="1:25" x14ac:dyDescent="0.2">
      <c r="A425" s="1077"/>
      <c r="B425" s="1444">
        <v>175</v>
      </c>
      <c r="C425" s="1081">
        <v>0.98397565577808366</v>
      </c>
      <c r="D425" s="1081">
        <v>0.97958186529109403</v>
      </c>
      <c r="E425" s="1081">
        <v>0.99895722432529033</v>
      </c>
      <c r="F425" s="1081">
        <v>1.0120933034138733</v>
      </c>
      <c r="G425" s="1081">
        <v>1.0185000329665732</v>
      </c>
      <c r="H425" s="1081">
        <v>1.010350450560463</v>
      </c>
      <c r="I425" s="1081">
        <v>0.99429941528470123</v>
      </c>
      <c r="K425">
        <v>2.4506297711851754</v>
      </c>
      <c r="L425">
        <v>0</v>
      </c>
      <c r="M425">
        <v>1.6971708662150901E-3</v>
      </c>
      <c r="N425">
        <v>0.15399241524462157</v>
      </c>
      <c r="O425">
        <v>2.1423659730741861E-2</v>
      </c>
      <c r="P425">
        <v>2.8883247334106514E-2</v>
      </c>
      <c r="Q425">
        <v>5.6002638495586659E-3</v>
      </c>
      <c r="R425">
        <v>1.6749981066863345E-3</v>
      </c>
      <c r="S425">
        <v>0.26493989945969049</v>
      </c>
      <c r="T425">
        <v>1.3882034175086111</v>
      </c>
      <c r="U425">
        <v>0.21542181408446884</v>
      </c>
      <c r="V425">
        <v>0.24971030379196996</v>
      </c>
      <c r="W425">
        <v>0.10122529119938466</v>
      </c>
      <c r="X425">
        <v>1.669283905812521E-2</v>
      </c>
      <c r="Y425">
        <v>4.5587926834227297E-3</v>
      </c>
    </row>
    <row r="426" spans="1:25" x14ac:dyDescent="0.2">
      <c r="A426" s="1077"/>
      <c r="B426" s="1444">
        <v>176</v>
      </c>
      <c r="C426" s="1081">
        <v>1.0023552168695493</v>
      </c>
      <c r="D426" s="1081">
        <v>1.0224729959648597</v>
      </c>
      <c r="E426" s="1081">
        <v>1.004875369725875</v>
      </c>
      <c r="F426" s="1081">
        <v>0.98547453853668132</v>
      </c>
      <c r="G426" s="1081">
        <v>1.0044061683880581</v>
      </c>
      <c r="H426" s="1081">
        <v>0.97990924490427866</v>
      </c>
      <c r="I426" s="1081">
        <v>1.0245263560671865</v>
      </c>
      <c r="K426">
        <v>2.3861252673760194</v>
      </c>
      <c r="L426">
        <v>0</v>
      </c>
      <c r="M426">
        <v>1.581155694383696E-3</v>
      </c>
      <c r="N426">
        <v>0.14599361348831649</v>
      </c>
      <c r="O426">
        <v>2.0837385196466121E-2</v>
      </c>
      <c r="P426">
        <v>2.8337981031949865E-2</v>
      </c>
      <c r="Q426">
        <v>5.4794736184514059E-3</v>
      </c>
      <c r="R426">
        <v>1.5598569010343111E-3</v>
      </c>
      <c r="S426">
        <v>0.25972496519263177</v>
      </c>
      <c r="T426">
        <v>1.3518188809697875</v>
      </c>
      <c r="U426">
        <v>0.21149194703434454</v>
      </c>
      <c r="V426">
        <v>0.24611941832616685</v>
      </c>
      <c r="W426">
        <v>9.5630906504770477E-2</v>
      </c>
      <c r="X426">
        <v>1.6466578528556784E-2</v>
      </c>
      <c r="Y426">
        <v>4.2454162779261657E-3</v>
      </c>
    </row>
    <row r="427" spans="1:25" x14ac:dyDescent="0.2">
      <c r="A427" s="1077"/>
      <c r="B427" s="1444">
        <v>177</v>
      </c>
      <c r="C427" s="1081">
        <v>0.97253048619958671</v>
      </c>
      <c r="D427" s="1081">
        <v>1.0065101638870178</v>
      </c>
      <c r="E427" s="1081">
        <v>1.0050997015350651</v>
      </c>
      <c r="F427" s="1081">
        <v>1.0324707481571918</v>
      </c>
      <c r="G427" s="1081">
        <v>0.97550018500793045</v>
      </c>
      <c r="H427" s="1081">
        <v>1.0121997894108676</v>
      </c>
      <c r="I427" s="1081">
        <v>1.008112907565321</v>
      </c>
      <c r="K427">
        <v>2.482207711590426</v>
      </c>
      <c r="L427">
        <v>0</v>
      </c>
      <c r="M427">
        <v>1.6883971778267372E-3</v>
      </c>
      <c r="N427">
        <v>0.15606920213069103</v>
      </c>
      <c r="O427">
        <v>2.1551035588879917E-2</v>
      </c>
      <c r="P427">
        <v>2.9391141920869876E-2</v>
      </c>
      <c r="Q427">
        <v>5.6684122143348149E-3</v>
      </c>
      <c r="R427">
        <v>1.6663793438148997E-3</v>
      </c>
      <c r="S427">
        <v>0.26833099299975549</v>
      </c>
      <c r="T427">
        <v>1.4162906685576051</v>
      </c>
      <c r="U427">
        <v>0.21797858972855547</v>
      </c>
      <c r="V427">
        <v>0.24309211136391493</v>
      </c>
      <c r="W427">
        <v>0.10221719228046078</v>
      </c>
      <c r="X427">
        <v>1.7105047387306175E-2</v>
      </c>
      <c r="Y427">
        <v>4.5353352520611017E-3</v>
      </c>
    </row>
    <row r="428" spans="1:25" x14ac:dyDescent="0.2">
      <c r="A428" s="1077"/>
      <c r="B428" s="1444">
        <v>178</v>
      </c>
      <c r="C428" s="1081">
        <v>0.97702786544735665</v>
      </c>
      <c r="D428" s="1081">
        <v>0.98387661457888331</v>
      </c>
      <c r="E428" s="1081">
        <v>1.0165971658153352</v>
      </c>
      <c r="F428" s="1081">
        <v>0.9744123420611418</v>
      </c>
      <c r="G428" s="1081">
        <v>0.99525369569752753</v>
      </c>
      <c r="H428" s="1081">
        <v>0.98279164431404542</v>
      </c>
      <c r="I428" s="1081">
        <v>0.99778376142422054</v>
      </c>
      <c r="K428">
        <v>2.3950280972736948</v>
      </c>
      <c r="L428">
        <v>0</v>
      </c>
      <c r="M428">
        <v>1.6012688301032941E-3</v>
      </c>
      <c r="N428">
        <v>0.15318240386604295</v>
      </c>
      <c r="O428">
        <v>2.1567291039180574E-2</v>
      </c>
      <c r="P428">
        <v>2.8526236131804432E-2</v>
      </c>
      <c r="Q428">
        <v>5.7382311341207777E-3</v>
      </c>
      <c r="R428">
        <v>1.5797623660351551E-3</v>
      </c>
      <c r="S428">
        <v>0.26491662871238658</v>
      </c>
      <c r="T428">
        <v>1.3368919404143829</v>
      </c>
      <c r="U428">
        <v>0.21701549993186767</v>
      </c>
      <c r="V428">
        <v>0.24612941378979533</v>
      </c>
      <c r="W428">
        <v>9.9649047452944381E-2</v>
      </c>
      <c r="X428">
        <v>1.7133318873412386E-2</v>
      </c>
      <c r="Y428">
        <v>4.2995923918236877E-3</v>
      </c>
    </row>
    <row r="429" spans="1:25" x14ac:dyDescent="0.2">
      <c r="A429" s="1077"/>
      <c r="B429" s="1444">
        <v>179</v>
      </c>
      <c r="C429" s="1081">
        <v>0.99185718492461716</v>
      </c>
      <c r="D429" s="1081">
        <v>0.99672775925648482</v>
      </c>
      <c r="E429" s="1081">
        <v>0.99520116692683802</v>
      </c>
      <c r="F429" s="1081">
        <v>1.0044693597492123</v>
      </c>
      <c r="G429" s="1081">
        <v>1.0046433626474751</v>
      </c>
      <c r="H429" s="1081">
        <v>1.0214320000204471</v>
      </c>
      <c r="I429" s="1081">
        <v>0.99463537888967302</v>
      </c>
      <c r="K429">
        <v>2.4303183355548024</v>
      </c>
      <c r="L429">
        <v>0</v>
      </c>
      <c r="M429">
        <v>1.7089228733415617E-3</v>
      </c>
      <c r="N429">
        <v>0.15333073647490553</v>
      </c>
      <c r="O429">
        <v>2.1169930031730708E-2</v>
      </c>
      <c r="P429">
        <v>2.8550760083133425E-2</v>
      </c>
      <c r="Q429">
        <v>5.513049751639053E-3</v>
      </c>
      <c r="R429">
        <v>1.6868387979271069E-3</v>
      </c>
      <c r="S429">
        <v>0.26156080215094968</v>
      </c>
      <c r="T429">
        <v>1.3776647420815284</v>
      </c>
      <c r="U429">
        <v>0.21369708343258012</v>
      </c>
      <c r="V429">
        <v>0.24685360666497733</v>
      </c>
      <c r="W429">
        <v>0.10101611967047432</v>
      </c>
      <c r="X429">
        <v>1.6392570146598569E-2</v>
      </c>
      <c r="Y429">
        <v>4.5910191416972945E-3</v>
      </c>
    </row>
    <row r="430" spans="1:25" x14ac:dyDescent="0.2">
      <c r="A430" s="1077"/>
      <c r="B430" s="1444">
        <v>180</v>
      </c>
      <c r="C430" s="1081">
        <v>1.0268993490863554</v>
      </c>
      <c r="D430" s="1081">
        <v>0.97835875529643268</v>
      </c>
      <c r="E430" s="1081">
        <v>1.0369124865247181</v>
      </c>
      <c r="F430" s="1081">
        <v>1.0379270072530324</v>
      </c>
      <c r="G430" s="1081">
        <v>1.0252740623115875</v>
      </c>
      <c r="H430" s="1081">
        <v>1.0062800451409468</v>
      </c>
      <c r="I430" s="1081">
        <v>0.99746912325382842</v>
      </c>
      <c r="K430">
        <v>2.4621529521776955</v>
      </c>
      <c r="L430">
        <v>0</v>
      </c>
      <c r="M430">
        <v>1.4971392068775524E-3</v>
      </c>
      <c r="N430">
        <v>0.15231693744107372</v>
      </c>
      <c r="O430">
        <v>2.0558524327952646E-2</v>
      </c>
      <c r="P430">
        <v>2.9917998025478076E-2</v>
      </c>
      <c r="Q430">
        <v>5.5810137125689571E-3</v>
      </c>
      <c r="R430">
        <v>1.4775006513243389E-3</v>
      </c>
      <c r="S430">
        <v>0.25480323679955968</v>
      </c>
      <c r="T430">
        <v>1.4244923721836487</v>
      </c>
      <c r="U430">
        <v>0.2065440144361709</v>
      </c>
      <c r="V430">
        <v>0.24807769376788247</v>
      </c>
      <c r="W430">
        <v>9.7921464550020196E-2</v>
      </c>
      <c r="X430">
        <v>1.7938065773943874E-2</v>
      </c>
      <c r="Y430">
        <v>4.0212697149460408E-3</v>
      </c>
    </row>
    <row r="431" spans="1:25" x14ac:dyDescent="0.2">
      <c r="A431" s="1077"/>
      <c r="B431" s="1444">
        <v>181</v>
      </c>
      <c r="C431" s="1081">
        <v>1.0336314654275518</v>
      </c>
      <c r="D431" s="1081">
        <v>0.98919682945843335</v>
      </c>
      <c r="E431" s="1081">
        <v>0.9919672944787935</v>
      </c>
      <c r="F431" s="1081">
        <v>0.99448686621624049</v>
      </c>
      <c r="G431" s="1081">
        <v>0.98757234982315611</v>
      </c>
      <c r="H431" s="1081">
        <v>0.99447123836434514</v>
      </c>
      <c r="I431" s="1081">
        <v>1.0230267256933725</v>
      </c>
      <c r="K431">
        <v>2.378398169407463</v>
      </c>
      <c r="L431">
        <v>0</v>
      </c>
      <c r="M431">
        <v>1.6099917468565021E-3</v>
      </c>
      <c r="N431">
        <v>0.14299836793757723</v>
      </c>
      <c r="O431">
        <v>2.0346190606244093E-2</v>
      </c>
      <c r="P431">
        <v>2.8039681847801621E-2</v>
      </c>
      <c r="Q431">
        <v>5.2812757575882944E-3</v>
      </c>
      <c r="R431">
        <v>1.5886220854511499E-3</v>
      </c>
      <c r="S431">
        <v>0.25683328795922866</v>
      </c>
      <c r="T431">
        <v>1.3639039373086155</v>
      </c>
      <c r="U431">
        <v>0.20504981878102457</v>
      </c>
      <c r="V431">
        <v>0.24140740145190567</v>
      </c>
      <c r="W431">
        <v>9.4391201193052041E-2</v>
      </c>
      <c r="X431">
        <v>1.5844670598359922E-2</v>
      </c>
      <c r="Y431">
        <v>4.3237056274683053E-3</v>
      </c>
    </row>
    <row r="432" spans="1:25" x14ac:dyDescent="0.2">
      <c r="A432" s="1077"/>
      <c r="B432" s="1444">
        <v>182</v>
      </c>
      <c r="C432" s="1081">
        <v>0.9754099259926482</v>
      </c>
      <c r="D432" s="1081">
        <v>1.015733595980266</v>
      </c>
      <c r="E432" s="1081">
        <v>0.97180158124683225</v>
      </c>
      <c r="F432" s="1081">
        <v>1.0420502944632102</v>
      </c>
      <c r="G432" s="1081">
        <v>0.96046865403724857</v>
      </c>
      <c r="H432" s="1081">
        <v>1.0188929043771573</v>
      </c>
      <c r="I432" s="1081">
        <v>1.0116174583626787</v>
      </c>
      <c r="K432">
        <v>2.4828620895091116</v>
      </c>
      <c r="L432">
        <v>0</v>
      </c>
      <c r="M432">
        <v>1.8118569265175501E-3</v>
      </c>
      <c r="N432">
        <v>0.15145258881213972</v>
      </c>
      <c r="O432">
        <v>2.1421800679964045E-2</v>
      </c>
      <c r="P432">
        <v>2.8772997277218042E-2</v>
      </c>
      <c r="Q432">
        <v>5.44777922285258E-3</v>
      </c>
      <c r="R432">
        <v>1.7883843058050357E-3</v>
      </c>
      <c r="S432">
        <v>0.26755851099090444</v>
      </c>
      <c r="T432">
        <v>1.4286827225216518</v>
      </c>
      <c r="U432">
        <v>0.21721863657915116</v>
      </c>
      <c r="V432">
        <v>0.24044966650458288</v>
      </c>
      <c r="W432">
        <v>0.10119464032039076</v>
      </c>
      <c r="X432">
        <v>1.5818826681296996E-2</v>
      </c>
      <c r="Y432">
        <v>4.8673925396733406E-3</v>
      </c>
    </row>
    <row r="433" spans="1:25" x14ac:dyDescent="0.2">
      <c r="A433" s="1077"/>
      <c r="B433" s="1444">
        <v>183</v>
      </c>
      <c r="C433" s="1081">
        <v>0.99775783289580677</v>
      </c>
      <c r="D433" s="1081">
        <v>1.0126067974734132</v>
      </c>
      <c r="E433" s="1081">
        <v>0.9666694655878173</v>
      </c>
      <c r="F433" s="1081">
        <v>1.0014542147006642</v>
      </c>
      <c r="G433" s="1081">
        <v>0.98258249864039704</v>
      </c>
      <c r="H433" s="1081">
        <v>1.0015069508813925</v>
      </c>
      <c r="I433" s="1081">
        <v>0.97780219677814417</v>
      </c>
      <c r="K433">
        <v>2.3955656864064285</v>
      </c>
      <c r="L433">
        <v>0</v>
      </c>
      <c r="M433">
        <v>1.7607866470527359E-3</v>
      </c>
      <c r="N433">
        <v>0.14488101741694209</v>
      </c>
      <c r="O433">
        <v>2.0952814641733958E-2</v>
      </c>
      <c r="P433">
        <v>2.7673752649900071E-2</v>
      </c>
      <c r="Q433">
        <v>5.3006224036164238E-3</v>
      </c>
      <c r="R433">
        <v>1.7375796478864105E-3</v>
      </c>
      <c r="S433">
        <v>0.25172549493166646</v>
      </c>
      <c r="T433">
        <v>1.3729138133275378</v>
      </c>
      <c r="U433">
        <v>0.21233585184785561</v>
      </c>
      <c r="V433">
        <v>0.24281553290935368</v>
      </c>
      <c r="W433">
        <v>9.7106806964078404E-2</v>
      </c>
      <c r="X433">
        <v>1.5154067304339705E-2</v>
      </c>
      <c r="Y433">
        <v>4.7291190085698258E-3</v>
      </c>
    </row>
    <row r="434" spans="1:25" x14ac:dyDescent="0.2">
      <c r="A434" s="1077"/>
      <c r="B434" s="1444">
        <v>184</v>
      </c>
      <c r="C434" s="1081">
        <v>0.9926336647834616</v>
      </c>
      <c r="D434" s="1081">
        <v>0.97154993092100628</v>
      </c>
      <c r="E434" s="1081">
        <v>0.9753599804130263</v>
      </c>
      <c r="F434" s="1081">
        <v>0.98373835783546648</v>
      </c>
      <c r="G434" s="1081">
        <v>1.0173282136026149</v>
      </c>
      <c r="H434" s="1081">
        <v>0.98698654245584638</v>
      </c>
      <c r="I434" s="1081">
        <v>0.96915938790492806</v>
      </c>
      <c r="K434">
        <v>2.3840694469755062</v>
      </c>
      <c r="L434">
        <v>0</v>
      </c>
      <c r="M434">
        <v>1.7288676373858299E-3</v>
      </c>
      <c r="N434">
        <v>0.14601863393630404</v>
      </c>
      <c r="O434">
        <v>2.1259452812577611E-2</v>
      </c>
      <c r="P434">
        <v>2.7676652481621385E-2</v>
      </c>
      <c r="Q434">
        <v>5.4261521476233424E-3</v>
      </c>
      <c r="R434">
        <v>1.7057460986946318E-3</v>
      </c>
      <c r="S434">
        <v>0.2549082755931189</v>
      </c>
      <c r="T434">
        <v>1.3488105746470489</v>
      </c>
      <c r="U434">
        <v>0.21346175645769216</v>
      </c>
      <c r="V434">
        <v>0.2490446000997015</v>
      </c>
      <c r="W434">
        <v>9.7353413346817394E-2</v>
      </c>
      <c r="X434">
        <v>1.5490578410093752E-2</v>
      </c>
      <c r="Y434">
        <v>4.6424785815964752E-3</v>
      </c>
    </row>
    <row r="435" spans="1:25" x14ac:dyDescent="0.2">
      <c r="A435" s="1077"/>
      <c r="B435" s="1444">
        <v>185</v>
      </c>
      <c r="C435" s="1081">
        <v>1.0131257869284394</v>
      </c>
      <c r="D435" s="1081">
        <v>0.98849422136308351</v>
      </c>
      <c r="E435" s="1081">
        <v>0.98777060770969527</v>
      </c>
      <c r="F435" s="1081">
        <v>1.0425578259748636</v>
      </c>
      <c r="G435" s="1081">
        <v>1.0050466398511189</v>
      </c>
      <c r="H435" s="1081">
        <v>0.98842303270590315</v>
      </c>
      <c r="I435" s="1081">
        <v>1.0240762963483556</v>
      </c>
      <c r="K435">
        <v>2.4621371302632697</v>
      </c>
      <c r="L435">
        <v>0</v>
      </c>
      <c r="M435">
        <v>1.6470969481384159E-3</v>
      </c>
      <c r="N435">
        <v>0.14443760655556345</v>
      </c>
      <c r="O435">
        <v>2.0758491102182561E-2</v>
      </c>
      <c r="P435">
        <v>2.9022157011319074E-2</v>
      </c>
      <c r="Q435">
        <v>5.3654872136154781E-3</v>
      </c>
      <c r="R435">
        <v>1.6251010082620062E-3</v>
      </c>
      <c r="S435">
        <v>0.26183818998995317</v>
      </c>
      <c r="T435">
        <v>1.4297371419713236</v>
      </c>
      <c r="U435">
        <v>0.2091858930251749</v>
      </c>
      <c r="V435">
        <v>0.24562913524070853</v>
      </c>
      <c r="W435">
        <v>9.5581243437706381E-2</v>
      </c>
      <c r="X435">
        <v>1.6180791425512899E-2</v>
      </c>
      <c r="Y435">
        <v>4.4229892300857842E-3</v>
      </c>
    </row>
    <row r="436" spans="1:25" x14ac:dyDescent="0.2">
      <c r="A436" s="1077"/>
      <c r="B436" s="1444">
        <v>186</v>
      </c>
      <c r="C436" s="1081">
        <v>1.0325643015669226</v>
      </c>
      <c r="D436" s="1081">
        <v>0.99190849700044192</v>
      </c>
      <c r="E436" s="1081">
        <v>0.99789018291592313</v>
      </c>
      <c r="F436" s="1081">
        <v>0.99824242375905048</v>
      </c>
      <c r="G436" s="1081">
        <v>1.0219250864113061</v>
      </c>
      <c r="H436" s="1081">
        <v>0.95923866751808273</v>
      </c>
      <c r="I436" s="1081">
        <v>0.97259587015335702</v>
      </c>
      <c r="K436">
        <v>2.3669121921880287</v>
      </c>
      <c r="L436">
        <v>0</v>
      </c>
      <c r="M436">
        <v>1.5346653240420182E-3</v>
      </c>
      <c r="N436">
        <v>0.1387013807652743</v>
      </c>
      <c r="O436">
        <v>2.0358766645690547E-2</v>
      </c>
      <c r="P436">
        <v>2.8108259668356769E-2</v>
      </c>
      <c r="Q436">
        <v>5.3161848612303247E-3</v>
      </c>
      <c r="R436">
        <v>1.5135473028402343E-3</v>
      </c>
      <c r="S436">
        <v>0.2413066554912775</v>
      </c>
      <c r="T436">
        <v>1.3691822983084183</v>
      </c>
      <c r="U436">
        <v>0.20528133111561622</v>
      </c>
      <c r="V436">
        <v>0.24731541306293581</v>
      </c>
      <c r="W436">
        <v>9.1231802898341735E-2</v>
      </c>
      <c r="X436">
        <v>1.6011840574491863E-2</v>
      </c>
      <c r="Y436">
        <v>4.1193768175968298E-3</v>
      </c>
    </row>
    <row r="437" spans="1:25" x14ac:dyDescent="0.2">
      <c r="A437" s="1077"/>
      <c r="B437" s="1444">
        <v>187</v>
      </c>
      <c r="C437" s="1081">
        <v>0.9868115977240195</v>
      </c>
      <c r="D437" s="1081">
        <v>0.96648908287297974</v>
      </c>
      <c r="E437" s="1081">
        <v>1.0139949739191585</v>
      </c>
      <c r="F437" s="1081">
        <v>0.97108025132523035</v>
      </c>
      <c r="G437" s="1081">
        <v>0.9800455352583608</v>
      </c>
      <c r="H437" s="1081">
        <v>0.99631173457353484</v>
      </c>
      <c r="I437" s="1081">
        <v>1.0030851962174496</v>
      </c>
      <c r="K437">
        <v>2.3883990919194495</v>
      </c>
      <c r="L437">
        <v>0</v>
      </c>
      <c r="M437">
        <v>1.6222735097465328E-3</v>
      </c>
      <c r="N437">
        <v>0.15400628138577641</v>
      </c>
      <c r="O437">
        <v>2.1435622879874418E-2</v>
      </c>
      <c r="P437">
        <v>2.8365617559900368E-2</v>
      </c>
      <c r="Q437">
        <v>5.6884262522126161E-3</v>
      </c>
      <c r="R437">
        <v>1.6007806081885607E-3</v>
      </c>
      <c r="S437">
        <v>0.26722817639175878</v>
      </c>
      <c r="T437">
        <v>1.332265499360239</v>
      </c>
      <c r="U437">
        <v>0.2148548672847741</v>
      </c>
      <c r="V437">
        <v>0.24290907917342211</v>
      </c>
      <c r="W437">
        <v>0.1003382069072761</v>
      </c>
      <c r="X437">
        <v>1.6972010507470995E-2</v>
      </c>
      <c r="Y437">
        <v>4.3567971183035934E-3</v>
      </c>
    </row>
    <row r="438" spans="1:25" x14ac:dyDescent="0.2">
      <c r="A438" s="1077"/>
      <c r="B438" s="1444">
        <v>188</v>
      </c>
      <c r="C438" s="1081">
        <v>0.98473982474140342</v>
      </c>
      <c r="D438" s="1081">
        <v>1.0102539548235154</v>
      </c>
      <c r="E438" s="1081">
        <v>0.98661768961033514</v>
      </c>
      <c r="F438" s="1081">
        <v>1.0173511722537305</v>
      </c>
      <c r="G438" s="1081">
        <v>0.96032798884246673</v>
      </c>
      <c r="H438" s="1081">
        <v>0.98082957167904272</v>
      </c>
      <c r="I438" s="1081">
        <v>0.99225239506612795</v>
      </c>
      <c r="K438">
        <v>2.4270795887259013</v>
      </c>
      <c r="L438">
        <v>0</v>
      </c>
      <c r="M438">
        <v>1.6775205435269548E-3</v>
      </c>
      <c r="N438">
        <v>0.14657816902794543</v>
      </c>
      <c r="O438">
        <v>2.1254036753718512E-2</v>
      </c>
      <c r="P438">
        <v>2.8473519703107394E-2</v>
      </c>
      <c r="Q438">
        <v>5.487163790477664E-3</v>
      </c>
      <c r="R438">
        <v>1.654944880469484E-3</v>
      </c>
      <c r="S438">
        <v>0.25751862770215811</v>
      </c>
      <c r="T438">
        <v>1.3951440797779702</v>
      </c>
      <c r="U438">
        <v>0.21521186028446623</v>
      </c>
      <c r="V438">
        <v>0.23976870067458034</v>
      </c>
      <c r="W438">
        <v>9.7064920981247166E-2</v>
      </c>
      <c r="X438">
        <v>1.6096871281081795E-2</v>
      </c>
      <c r="Y438">
        <v>4.504214412204709E-3</v>
      </c>
    </row>
    <row r="439" spans="1:25" x14ac:dyDescent="0.2">
      <c r="A439" s="1077"/>
      <c r="B439" s="1444">
        <v>189</v>
      </c>
      <c r="C439" s="1081">
        <v>0.98078119397523034</v>
      </c>
      <c r="D439" s="1081">
        <v>1.0119278937002634</v>
      </c>
      <c r="E439" s="1081">
        <v>0.96590641425801604</v>
      </c>
      <c r="F439" s="1081">
        <v>0.98888981261212372</v>
      </c>
      <c r="G439" s="1081">
        <v>1.0052212975254466</v>
      </c>
      <c r="H439" s="1081">
        <v>0.99045648351265636</v>
      </c>
      <c r="I439" s="1081">
        <v>1.0175402143568615</v>
      </c>
      <c r="K439">
        <v>2.4028000893926524</v>
      </c>
      <c r="L439">
        <v>0</v>
      </c>
      <c r="M439">
        <v>1.7745530661669171E-3</v>
      </c>
      <c r="N439">
        <v>0.1456549805693354</v>
      </c>
      <c r="O439">
        <v>2.1318126406967702E-2</v>
      </c>
      <c r="P439">
        <v>2.77275113286343E-2</v>
      </c>
      <c r="Q439">
        <v>5.3888255225093395E-3</v>
      </c>
      <c r="R439">
        <v>1.7509036834133626E-3</v>
      </c>
      <c r="S439">
        <v>0.2656010840640729</v>
      </c>
      <c r="T439">
        <v>1.3556728158219653</v>
      </c>
      <c r="U439">
        <v>0.21600859271868195</v>
      </c>
      <c r="V439">
        <v>0.24776991763766565</v>
      </c>
      <c r="W439">
        <v>9.7671041004382439E-2</v>
      </c>
      <c r="X439">
        <v>1.5245461060182017E-2</v>
      </c>
      <c r="Y439">
        <v>4.7653826410070576E-3</v>
      </c>
    </row>
    <row r="440" spans="1:25" x14ac:dyDescent="0.2">
      <c r="A440" s="1077"/>
      <c r="B440" s="1444">
        <v>190</v>
      </c>
      <c r="C440" s="1081">
        <v>0.99994601612892087</v>
      </c>
      <c r="D440" s="1081">
        <v>0.97597367329979401</v>
      </c>
      <c r="E440" s="1081">
        <v>1.0015980458767504</v>
      </c>
      <c r="F440" s="1081">
        <v>0.97940047143252817</v>
      </c>
      <c r="G440" s="1081">
        <v>1.0332961257383779</v>
      </c>
      <c r="H440" s="1081">
        <v>0.98812435900064977</v>
      </c>
      <c r="I440" s="1081">
        <v>0.95862405459288902</v>
      </c>
      <c r="K440">
        <v>2.378297009890491</v>
      </c>
      <c r="L440">
        <v>0</v>
      </c>
      <c r="M440">
        <v>1.6257224402505554E-3</v>
      </c>
      <c r="N440">
        <v>0.14864687206084096</v>
      </c>
      <c r="O440">
        <v>2.1100381765502819E-2</v>
      </c>
      <c r="P440">
        <v>2.8098039981211697E-2</v>
      </c>
      <c r="Q440">
        <v>5.5304159588296913E-3</v>
      </c>
      <c r="R440">
        <v>1.6040053811466862E-3</v>
      </c>
      <c r="S440">
        <v>0.25001970695270648</v>
      </c>
      <c r="T440">
        <v>1.3434173474713769</v>
      </c>
      <c r="U440">
        <v>0.21199029217680557</v>
      </c>
      <c r="V440">
        <v>0.25121452574872644</v>
      </c>
      <c r="W440">
        <v>9.7558244583282758E-2</v>
      </c>
      <c r="X440">
        <v>1.6377326363060125E-2</v>
      </c>
      <c r="Y440">
        <v>4.365573887249492E-3</v>
      </c>
    </row>
    <row r="441" spans="1:25" x14ac:dyDescent="0.2">
      <c r="A441" s="1077"/>
      <c r="B441" s="1444">
        <v>191</v>
      </c>
      <c r="C441" s="1081">
        <v>1.0028126916640112</v>
      </c>
      <c r="D441" s="1081">
        <v>0.98084986394405893</v>
      </c>
      <c r="E441" s="1081">
        <v>1.0380011516631638</v>
      </c>
      <c r="F441" s="1081">
        <v>1.0058779754206177</v>
      </c>
      <c r="G441" s="1081">
        <v>0.97870036789809356</v>
      </c>
      <c r="H441" s="1081">
        <v>1.0317441349070227</v>
      </c>
      <c r="I441" s="1081">
        <v>0.99319744659241016</v>
      </c>
      <c r="K441">
        <v>2.4365159885085457</v>
      </c>
      <c r="L441">
        <v>0</v>
      </c>
      <c r="M441">
        <v>1.5674515307950491E-3</v>
      </c>
      <c r="N441">
        <v>0.16004683759073321</v>
      </c>
      <c r="O441">
        <v>2.1041274651447069E-2</v>
      </c>
      <c r="P441">
        <v>2.9399259393932013E-2</v>
      </c>
      <c r="Q441">
        <v>5.7181921541410545E-3</v>
      </c>
      <c r="R441">
        <v>1.5473981163276931E-3</v>
      </c>
      <c r="S441">
        <v>0.2616400068324779</v>
      </c>
      <c r="T441">
        <v>1.380530859499683</v>
      </c>
      <c r="U441">
        <v>0.2115087472142034</v>
      </c>
      <c r="V441">
        <v>0.24158898551746225</v>
      </c>
      <c r="W441">
        <v>0.10282623842811045</v>
      </c>
      <c r="X441">
        <v>1.8024133067827262E-2</v>
      </c>
      <c r="Y441">
        <v>4.211507572992026E-3</v>
      </c>
    </row>
    <row r="442" spans="1:25" x14ac:dyDescent="0.2">
      <c r="A442" s="1077"/>
      <c r="B442" s="1444">
        <v>192</v>
      </c>
      <c r="C442" s="1081">
        <v>1.0284283679017265</v>
      </c>
      <c r="D442" s="1081">
        <v>0.96562472502957397</v>
      </c>
      <c r="E442" s="1081">
        <v>1.0242665785925504</v>
      </c>
      <c r="F442" s="1081">
        <v>0.99528447339176096</v>
      </c>
      <c r="G442" s="1081">
        <v>0.99094063165177282</v>
      </c>
      <c r="H442" s="1081">
        <v>0.99741770003848873</v>
      </c>
      <c r="I442" s="1081">
        <v>1.0428746858171019</v>
      </c>
      <c r="K442">
        <v>2.4033768675804827</v>
      </c>
      <c r="L442">
        <v>0</v>
      </c>
      <c r="M442">
        <v>1.5257071425099549E-3</v>
      </c>
      <c r="N442">
        <v>0.1493999444606271</v>
      </c>
      <c r="O442">
        <v>2.0578949270032926E-2</v>
      </c>
      <c r="P442">
        <v>2.8909060129829852E-2</v>
      </c>
      <c r="Q442">
        <v>5.5171670054307738E-3</v>
      </c>
      <c r="R442">
        <v>1.5055160263695337E-3</v>
      </c>
      <c r="S442">
        <v>0.26688931537739163</v>
      </c>
      <c r="T442">
        <v>1.3656942233659906</v>
      </c>
      <c r="U442">
        <v>0.20619470918933477</v>
      </c>
      <c r="V442">
        <v>0.2421738265598973</v>
      </c>
      <c r="W442">
        <v>9.6753498988101316E-2</v>
      </c>
      <c r="X442">
        <v>1.7188846019435499E-2</v>
      </c>
      <c r="Y442">
        <v>4.09751833055316E-3</v>
      </c>
    </row>
    <row r="443" spans="1:25" x14ac:dyDescent="0.2">
      <c r="A443" s="1077"/>
      <c r="B443" s="1444">
        <v>193</v>
      </c>
      <c r="C443" s="1081">
        <v>0.98224969090728576</v>
      </c>
      <c r="D443" s="1081">
        <v>1.0098218475053022</v>
      </c>
      <c r="E443" s="1081">
        <v>0.97940885066904582</v>
      </c>
      <c r="F443" s="1081">
        <v>0.97290254886708849</v>
      </c>
      <c r="G443" s="1081">
        <v>1.0062296022328046</v>
      </c>
      <c r="H443" s="1081">
        <v>1.0150086792769801</v>
      </c>
      <c r="I443" s="1081">
        <v>1.0067523643864638</v>
      </c>
      <c r="K443">
        <v>2.3889407063066987</v>
      </c>
      <c r="L443">
        <v>0</v>
      </c>
      <c r="M443">
        <v>1.7666941557782341E-3</v>
      </c>
      <c r="N443">
        <v>0.15110949464722384</v>
      </c>
      <c r="O443">
        <v>2.1305077008732035E-2</v>
      </c>
      <c r="P443">
        <v>2.7711747687533927E-2</v>
      </c>
      <c r="Q443">
        <v>5.4602538505709392E-3</v>
      </c>
      <c r="R443">
        <v>1.743719033318088E-3</v>
      </c>
      <c r="S443">
        <v>0.2649124165011193</v>
      </c>
      <c r="T443">
        <v>1.3340383194777241</v>
      </c>
      <c r="U443">
        <v>0.21573243247442114</v>
      </c>
      <c r="V443">
        <v>0.24779729296550421</v>
      </c>
      <c r="W443">
        <v>0.10050107015947483</v>
      </c>
      <c r="X443">
        <v>1.5649748264986347E-2</v>
      </c>
      <c r="Y443">
        <v>4.7458283918669873E-3</v>
      </c>
    </row>
    <row r="444" spans="1:25" x14ac:dyDescent="0.2">
      <c r="A444" s="1077"/>
      <c r="B444" s="1444">
        <v>194</v>
      </c>
      <c r="C444" s="1081">
        <v>0.98042292456912605</v>
      </c>
      <c r="D444" s="1081">
        <v>0.99824184699003671</v>
      </c>
      <c r="E444" s="1081">
        <v>1.0133329347365643</v>
      </c>
      <c r="F444" s="1081">
        <v>0.98686280634773904</v>
      </c>
      <c r="G444" s="1081">
        <v>1.0044184173039992</v>
      </c>
      <c r="H444" s="1081">
        <v>1.0062309817212995</v>
      </c>
      <c r="I444" s="1081">
        <v>1.0134134928654972</v>
      </c>
      <c r="K444">
        <v>2.4198168458811464</v>
      </c>
      <c r="L444">
        <v>0</v>
      </c>
      <c r="M444">
        <v>1.6396698903968711E-3</v>
      </c>
      <c r="N444">
        <v>0.15536760410221176</v>
      </c>
      <c r="O444">
        <v>2.1421962117238683E-2</v>
      </c>
      <c r="P444">
        <v>2.874596272383698E-2</v>
      </c>
      <c r="Q444">
        <v>5.6810476955457944E-3</v>
      </c>
      <c r="R444">
        <v>1.6181606558653421E-3</v>
      </c>
      <c r="S444">
        <v>0.26821971100476821</v>
      </c>
      <c r="T444">
        <v>1.3539040759318806</v>
      </c>
      <c r="U444">
        <v>0.21625260057204998</v>
      </c>
      <c r="V444">
        <v>0.2474840770111654</v>
      </c>
      <c r="W444">
        <v>0.10126454713625906</v>
      </c>
      <c r="X444">
        <v>1.7092666941970459E-2</v>
      </c>
      <c r="Y444">
        <v>4.4040998787486171E-3</v>
      </c>
    </row>
    <row r="445" spans="1:25" x14ac:dyDescent="0.2">
      <c r="A445" s="1077"/>
      <c r="B445" s="1444">
        <v>195</v>
      </c>
      <c r="C445" s="1081">
        <v>1.0455068377608292</v>
      </c>
      <c r="D445" s="1081">
        <v>1.0084324648637044</v>
      </c>
      <c r="E445" s="1081">
        <v>1.0047387508381913</v>
      </c>
      <c r="F445" s="1081">
        <v>0.97883845416928916</v>
      </c>
      <c r="G445" s="1081">
        <v>1.00190098731275</v>
      </c>
      <c r="H445" s="1081">
        <v>1.0084424835074328</v>
      </c>
      <c r="I445" s="1081">
        <v>0.99899939551710715</v>
      </c>
      <c r="K445">
        <v>2.3480346644621335</v>
      </c>
      <c r="L445">
        <v>0</v>
      </c>
      <c r="M445">
        <v>1.56523288783462E-3</v>
      </c>
      <c r="N445">
        <v>0.14451959807776013</v>
      </c>
      <c r="O445">
        <v>2.0038131683465951E-2</v>
      </c>
      <c r="P445">
        <v>2.787283184860925E-2</v>
      </c>
      <c r="Q445">
        <v>5.268577401919057E-3</v>
      </c>
      <c r="R445">
        <v>1.5447451480453212E-3</v>
      </c>
      <c r="S445">
        <v>0.24680208887322114</v>
      </c>
      <c r="T445">
        <v>1.3427129763239158</v>
      </c>
      <c r="U445">
        <v>0.20276250851203759</v>
      </c>
      <c r="V445">
        <v>0.24312280392051258</v>
      </c>
      <c r="W445">
        <v>9.4673032943743712E-2</v>
      </c>
      <c r="X445">
        <v>1.607831554885927E-2</v>
      </c>
      <c r="Y445">
        <v>4.2042870678781685E-3</v>
      </c>
    </row>
    <row r="446" spans="1:25" x14ac:dyDescent="0.2">
      <c r="A446" s="1077"/>
      <c r="B446" s="1444">
        <v>196</v>
      </c>
      <c r="C446" s="1081">
        <v>0.98184679167456779</v>
      </c>
      <c r="D446" s="1081">
        <v>0.96530164593219803</v>
      </c>
      <c r="E446" s="1081">
        <v>1.0007541751099778</v>
      </c>
      <c r="F446" s="1081">
        <v>0.98078225891947368</v>
      </c>
      <c r="G446" s="1081">
        <v>1.0332017081787548</v>
      </c>
      <c r="H446" s="1081">
        <v>0.98235720228412626</v>
      </c>
      <c r="I446" s="1081">
        <v>1.0122953831139769</v>
      </c>
      <c r="K446">
        <v>2.4097707106602102</v>
      </c>
      <c r="L446">
        <v>0</v>
      </c>
      <c r="M446">
        <v>1.6529050932071821E-3</v>
      </c>
      <c r="N446">
        <v>0.15073552783602479</v>
      </c>
      <c r="O446">
        <v>2.1540811603176207E-2</v>
      </c>
      <c r="P446">
        <v>2.844589926858284E-2</v>
      </c>
      <c r="Q446">
        <v>5.6410688403755981E-3</v>
      </c>
      <c r="R446">
        <v>1.6306952903956604E-3</v>
      </c>
      <c r="S446">
        <v>0.26986693501738357</v>
      </c>
      <c r="T446">
        <v>1.3452948033346266</v>
      </c>
      <c r="U446">
        <v>0.21589515272561274</v>
      </c>
      <c r="V446">
        <v>0.25235179094757387</v>
      </c>
      <c r="W446">
        <v>9.89786319672636E-2</v>
      </c>
      <c r="X446">
        <v>1.6604083900500041E-2</v>
      </c>
      <c r="Y446">
        <v>4.4382150218989815E-3</v>
      </c>
    </row>
    <row r="447" spans="1:25" x14ac:dyDescent="0.2">
      <c r="A447" s="1077"/>
      <c r="B447" s="1444">
        <v>197</v>
      </c>
      <c r="C447" s="1081">
        <v>0.95631046742036763</v>
      </c>
      <c r="D447" s="1081">
        <v>0.99461714415562619</v>
      </c>
      <c r="E447" s="1081">
        <v>1.0041335333614723</v>
      </c>
      <c r="F447" s="1081">
        <v>1.0131451374420828</v>
      </c>
      <c r="G447" s="1081">
        <v>1.0189838033233332</v>
      </c>
      <c r="H447" s="1081">
        <v>1.0321775829634103</v>
      </c>
      <c r="I447" s="1081">
        <v>0.95858558497096114</v>
      </c>
      <c r="K447">
        <v>2.472876305914379</v>
      </c>
      <c r="L447">
        <v>0</v>
      </c>
      <c r="M447">
        <v>1.7590322649862493E-3</v>
      </c>
      <c r="N447">
        <v>0.16216613736554994</v>
      </c>
      <c r="O447">
        <v>2.1973279015646073E-2</v>
      </c>
      <c r="P447">
        <v>2.9097182668630706E-2</v>
      </c>
      <c r="Q447">
        <v>5.7738759960714878E-3</v>
      </c>
      <c r="R447">
        <v>1.7365372855123692E-3</v>
      </c>
      <c r="S447">
        <v>0.26271907364128338</v>
      </c>
      <c r="T447">
        <v>1.3897595914523375</v>
      </c>
      <c r="U447">
        <v>0.22167227705660961</v>
      </c>
      <c r="V447">
        <v>0.25160852930054828</v>
      </c>
      <c r="W447">
        <v>0.10627115262860953</v>
      </c>
      <c r="X447">
        <v>1.7131419726762964E-2</v>
      </c>
      <c r="Y447">
        <v>4.726282041802349E-3</v>
      </c>
    </row>
    <row r="448" spans="1:25" x14ac:dyDescent="0.2">
      <c r="A448" s="1077"/>
      <c r="B448" s="1444">
        <v>198</v>
      </c>
      <c r="C448" s="1081">
        <v>0.98987359292610322</v>
      </c>
      <c r="D448" s="1081">
        <v>0.98742329228405212</v>
      </c>
      <c r="E448" s="1081">
        <v>0.99490511623533739</v>
      </c>
      <c r="F448" s="1081">
        <v>0.97328266348365078</v>
      </c>
      <c r="G448" s="1081">
        <v>0.95410348359958264</v>
      </c>
      <c r="H448" s="1081">
        <v>1.0446843231724614</v>
      </c>
      <c r="I448" s="1081">
        <v>0.99183156938169292</v>
      </c>
      <c r="K448">
        <v>2.3887179333797093</v>
      </c>
      <c r="L448">
        <v>0</v>
      </c>
      <c r="M448">
        <v>1.756022521235604E-3</v>
      </c>
      <c r="N448">
        <v>0.15746164572939225</v>
      </c>
      <c r="O448">
        <v>2.1255966892820718E-2</v>
      </c>
      <c r="P448">
        <v>2.7893880410461591E-2</v>
      </c>
      <c r="Q448">
        <v>5.5338038399978685E-3</v>
      </c>
      <c r="R448">
        <v>1.7338348755362677E-3</v>
      </c>
      <c r="S448">
        <v>0.26455887782880039</v>
      </c>
      <c r="T448">
        <v>1.3348848752558236</v>
      </c>
      <c r="U448">
        <v>0.21412428610431164</v>
      </c>
      <c r="V448">
        <v>0.23834873680197918</v>
      </c>
      <c r="W448">
        <v>0.10375593837218533</v>
      </c>
      <c r="X448">
        <v>1.6203182816940036E-2</v>
      </c>
      <c r="Y448">
        <v>4.718926972696609E-3</v>
      </c>
    </row>
    <row r="449" spans="1:25" x14ac:dyDescent="0.2">
      <c r="A449" s="1077"/>
      <c r="B449" s="1444">
        <v>199</v>
      </c>
      <c r="C449" s="1081">
        <v>0.99608288518417532</v>
      </c>
      <c r="D449" s="1081">
        <v>0.96631871173088424</v>
      </c>
      <c r="E449" s="1081">
        <v>1.0267327206864707</v>
      </c>
      <c r="F449" s="1081">
        <v>1.0113030957061961</v>
      </c>
      <c r="G449" s="1081">
        <v>1.0225320609850184</v>
      </c>
      <c r="H449" s="1081">
        <v>1.0057879458171417</v>
      </c>
      <c r="I449" s="1081">
        <v>0.9947557558583936</v>
      </c>
      <c r="K449">
        <v>2.4486356933205586</v>
      </c>
      <c r="L449">
        <v>0</v>
      </c>
      <c r="M449">
        <v>1.5800839587881211E-3</v>
      </c>
      <c r="N449">
        <v>0.15589696449506457</v>
      </c>
      <c r="O449">
        <v>2.1245506971201963E-2</v>
      </c>
      <c r="P449">
        <v>2.9415929299796448E-2</v>
      </c>
      <c r="Q449">
        <v>5.7098089471325671E-3</v>
      </c>
      <c r="R449">
        <v>1.5593472439204559E-3</v>
      </c>
      <c r="S449">
        <v>0.26348377411408447</v>
      </c>
      <c r="T449">
        <v>1.387728621657919</v>
      </c>
      <c r="U449">
        <v>0.21289890012130194</v>
      </c>
      <c r="V449">
        <v>0.24952709671565135</v>
      </c>
      <c r="W449">
        <v>0.1008161235278741</v>
      </c>
      <c r="X449">
        <v>1.7689675026129455E-2</v>
      </c>
      <c r="Y449">
        <v>4.2440291592706729E-3</v>
      </c>
    </row>
    <row r="450" spans="1:25" x14ac:dyDescent="0.2">
      <c r="A450" s="1077"/>
      <c r="B450" s="1444">
        <v>200</v>
      </c>
      <c r="C450" s="1081">
        <v>0.99284121352924271</v>
      </c>
      <c r="D450" s="1081">
        <v>1.0148895423194899</v>
      </c>
      <c r="E450" s="1081">
        <v>0.99310145282943885</v>
      </c>
      <c r="F450" s="1081">
        <v>1.0219553018932805</v>
      </c>
      <c r="G450" s="1081">
        <v>0.98966526110682029</v>
      </c>
      <c r="H450" s="1081">
        <v>0.98775701477944</v>
      </c>
      <c r="I450" s="1081">
        <v>1.0106715074181962</v>
      </c>
      <c r="K450">
        <v>2.439869672243919</v>
      </c>
      <c r="L450">
        <v>0</v>
      </c>
      <c r="M450">
        <v>1.6515700859120422E-3</v>
      </c>
      <c r="N450">
        <v>0.14718165060936078</v>
      </c>
      <c r="O450">
        <v>2.1063700090605538E-2</v>
      </c>
      <c r="P450">
        <v>2.8774106378136398E-2</v>
      </c>
      <c r="Q450">
        <v>5.4737827943068893E-3</v>
      </c>
      <c r="R450">
        <v>1.629499538557098E-3</v>
      </c>
      <c r="S450">
        <v>0.26021357472123341</v>
      </c>
      <c r="T450">
        <v>1.4016009660725497</v>
      </c>
      <c r="U450">
        <v>0.21347806076595074</v>
      </c>
      <c r="V450">
        <v>0.24424054194768091</v>
      </c>
      <c r="W450">
        <v>9.7086673120451369E-2</v>
      </c>
      <c r="X450">
        <v>1.6343725711425172E-2</v>
      </c>
      <c r="Y450">
        <v>4.4349605795739027E-3</v>
      </c>
    </row>
    <row r="451" spans="1:25" x14ac:dyDescent="0.2">
      <c r="A451" s="1077"/>
      <c r="B451" s="1444">
        <v>201</v>
      </c>
      <c r="C451" s="1081">
        <v>1.0213749426835483</v>
      </c>
      <c r="D451" s="1081">
        <v>1.0141046490203671</v>
      </c>
      <c r="E451" s="1081">
        <v>0.9951017111834255</v>
      </c>
      <c r="F451" s="1081">
        <v>1.015376854587893</v>
      </c>
      <c r="G451" s="1081">
        <v>0.98603486832983034</v>
      </c>
      <c r="H451" s="1081">
        <v>1.0278652696093415</v>
      </c>
      <c r="I451" s="1081">
        <v>1.001934417553757</v>
      </c>
      <c r="K451">
        <v>2.4187473723736144</v>
      </c>
      <c r="L451">
        <v>0</v>
      </c>
      <c r="M451">
        <v>1.6639922502709533E-3</v>
      </c>
      <c r="N451">
        <v>0.14926675834474332</v>
      </c>
      <c r="O451">
        <v>2.0480032128259142E-2</v>
      </c>
      <c r="P451">
        <v>2.8500113641174607E-2</v>
      </c>
      <c r="Q451">
        <v>5.3328527129704022E-3</v>
      </c>
      <c r="R451">
        <v>1.6426233916502838E-3</v>
      </c>
      <c r="S451">
        <v>0.2542063967722914</v>
      </c>
      <c r="T451">
        <v>1.3926225694934806</v>
      </c>
      <c r="U451">
        <v>0.20752090054216957</v>
      </c>
      <c r="V451">
        <v>0.24185789426089843</v>
      </c>
      <c r="W451">
        <v>9.8344557744612829E-2</v>
      </c>
      <c r="X451">
        <v>1.6165986210218215E-2</v>
      </c>
      <c r="Y451">
        <v>4.4706793814165442E-3</v>
      </c>
    </row>
    <row r="452" spans="1:25" x14ac:dyDescent="0.2">
      <c r="A452" s="1077"/>
      <c r="B452" s="1444">
        <v>202</v>
      </c>
      <c r="C452" s="1081">
        <v>0.98166677264835667</v>
      </c>
      <c r="D452" s="1081">
        <v>1.0173821928345579</v>
      </c>
      <c r="E452" s="1081">
        <v>1.0227171194247158</v>
      </c>
      <c r="F452" s="1081">
        <v>0.99278157287835378</v>
      </c>
      <c r="G452" s="1081">
        <v>0.99195291224540294</v>
      </c>
      <c r="H452" s="1081">
        <v>1.0077617494991897</v>
      </c>
      <c r="I452" s="1081">
        <v>0.98832241823189249</v>
      </c>
      <c r="K452">
        <v>2.4174063006403554</v>
      </c>
      <c r="L452">
        <v>0</v>
      </c>
      <c r="M452">
        <v>1.6016740067910829E-3</v>
      </c>
      <c r="N452">
        <v>0.15612901721635156</v>
      </c>
      <c r="O452">
        <v>2.1311947876395974E-2</v>
      </c>
      <c r="P452">
        <v>2.8897448664434271E-2</v>
      </c>
      <c r="Q452">
        <v>5.7049045435187407E-3</v>
      </c>
      <c r="R452">
        <v>1.5806951182465328E-3</v>
      </c>
      <c r="S452">
        <v>0.25898968088940255</v>
      </c>
      <c r="T452">
        <v>1.3622264082534465</v>
      </c>
      <c r="U452">
        <v>0.21601135825408238</v>
      </c>
      <c r="V452">
        <v>0.24524300440325505</v>
      </c>
      <c r="W452">
        <v>0.10120279001068393</v>
      </c>
      <c r="X452">
        <v>1.7408588381467954E-2</v>
      </c>
      <c r="Y452">
        <v>4.3021310358613745E-3</v>
      </c>
    </row>
    <row r="453" spans="1:25" x14ac:dyDescent="0.2">
      <c r="A453" s="1077"/>
      <c r="B453" s="1444">
        <v>203</v>
      </c>
      <c r="C453" s="1081">
        <v>1.0348556778314579</v>
      </c>
      <c r="D453" s="1081">
        <v>0.978113978381843</v>
      </c>
      <c r="E453" s="1081">
        <v>0.98324325268622459</v>
      </c>
      <c r="F453" s="1081">
        <v>1.0233927601552326</v>
      </c>
      <c r="G453" s="1081">
        <v>1.0150500752945315</v>
      </c>
      <c r="H453" s="1081">
        <v>0.96501345345091027</v>
      </c>
      <c r="I453" s="1081">
        <v>1.0374933643218842</v>
      </c>
      <c r="K453">
        <v>2.4164356820704835</v>
      </c>
      <c r="L453">
        <v>0</v>
      </c>
      <c r="M453">
        <v>1.5928362695805292E-3</v>
      </c>
      <c r="N453">
        <v>0.13773457637694952</v>
      </c>
      <c r="O453">
        <v>2.0366946634691997E-2</v>
      </c>
      <c r="P453">
        <v>2.847633561052211E-2</v>
      </c>
      <c r="Q453">
        <v>5.2401892230229622E-3</v>
      </c>
      <c r="R453">
        <v>1.5710489408260983E-3</v>
      </c>
      <c r="S453">
        <v>0.25904171458073122</v>
      </c>
      <c r="T453">
        <v>1.4033547488964855</v>
      </c>
      <c r="U453">
        <v>0.2047784896647365</v>
      </c>
      <c r="V453">
        <v>0.24606205565838704</v>
      </c>
      <c r="W453">
        <v>9.1393949160951948E-2</v>
      </c>
      <c r="X453">
        <v>1.5732586271975334E-2</v>
      </c>
      <c r="Y453">
        <v>4.2758773207844832E-3</v>
      </c>
    </row>
    <row r="454" spans="1:25" x14ac:dyDescent="0.2">
      <c r="A454" s="1077"/>
      <c r="B454" s="1444">
        <v>204</v>
      </c>
      <c r="C454" s="1081">
        <v>1.0318185778942883</v>
      </c>
      <c r="D454" s="1081">
        <v>1.0354415399077908</v>
      </c>
      <c r="E454" s="1081">
        <v>0.9896174467307951</v>
      </c>
      <c r="F454" s="1081">
        <v>1.0201296302795799</v>
      </c>
      <c r="G454" s="1081">
        <v>1.0084760767172478</v>
      </c>
      <c r="H454" s="1081">
        <v>1.002123902673453</v>
      </c>
      <c r="I454" s="1081">
        <v>0.99370825455601042</v>
      </c>
      <c r="K454">
        <v>2.4051778810849358</v>
      </c>
      <c r="L454">
        <v>0</v>
      </c>
      <c r="M454">
        <v>1.6168272923210597E-3</v>
      </c>
      <c r="N454">
        <v>0.14260355661733357</v>
      </c>
      <c r="O454">
        <v>2.0176592333929582E-2</v>
      </c>
      <c r="P454">
        <v>2.835837813785385E-2</v>
      </c>
      <c r="Q454">
        <v>5.2248339877125349E-3</v>
      </c>
      <c r="R454">
        <v>1.5955307827956379E-3</v>
      </c>
      <c r="S454">
        <v>0.24487296156365201</v>
      </c>
      <c r="T454">
        <v>1.3990203419051443</v>
      </c>
      <c r="U454">
        <v>0.20540231452374441</v>
      </c>
      <c r="V454">
        <v>0.24509267400919948</v>
      </c>
      <c r="W454">
        <v>9.4263109810604498E-2</v>
      </c>
      <c r="X454">
        <v>1.5841905881097088E-2</v>
      </c>
      <c r="Y454">
        <v>4.3425088241885353E-3</v>
      </c>
    </row>
    <row r="455" spans="1:25" x14ac:dyDescent="0.2">
      <c r="A455" s="1077"/>
      <c r="B455" s="1444">
        <v>205</v>
      </c>
      <c r="C455" s="1081">
        <v>1.0293028514054499</v>
      </c>
      <c r="D455" s="1081">
        <v>0.99344992167986879</v>
      </c>
      <c r="E455" s="1081">
        <v>1.0344116015401148</v>
      </c>
      <c r="F455" s="1081">
        <v>0.99432424499274419</v>
      </c>
      <c r="G455" s="1081">
        <v>0.99075988578156493</v>
      </c>
      <c r="H455" s="1081">
        <v>1.012018768983564</v>
      </c>
      <c r="I455" s="1081">
        <v>0.98880389040218786</v>
      </c>
      <c r="K455">
        <v>2.3893797976342528</v>
      </c>
      <c r="L455">
        <v>0</v>
      </c>
      <c r="M455">
        <v>1.5049400530873843E-3</v>
      </c>
      <c r="N455">
        <v>0.15197253816708498</v>
      </c>
      <c r="O455">
        <v>2.0439940245028852E-2</v>
      </c>
      <c r="P455">
        <v>2.8874720228001249E-2</v>
      </c>
      <c r="Q455">
        <v>5.5351610449619164E-3</v>
      </c>
      <c r="R455">
        <v>1.4853111128753146E-3</v>
      </c>
      <c r="S455">
        <v>0.25052097255169004</v>
      </c>
      <c r="T455">
        <v>1.3645960510130262</v>
      </c>
      <c r="U455">
        <v>0.20605336851317113</v>
      </c>
      <c r="V455">
        <v>0.24205631908082714</v>
      </c>
      <c r="W455">
        <v>9.7841362464698906E-2</v>
      </c>
      <c r="X455">
        <v>1.7466466049404435E-2</v>
      </c>
      <c r="Y455">
        <v>4.0425272165698365E-3</v>
      </c>
    </row>
    <row r="456" spans="1:25" x14ac:dyDescent="0.2">
      <c r="A456" s="1077"/>
      <c r="B456" s="1444">
        <v>206</v>
      </c>
      <c r="C456" s="1081">
        <v>1.0089991507567286</v>
      </c>
      <c r="D456" s="1081">
        <v>0.96053196433943122</v>
      </c>
      <c r="E456" s="1081">
        <v>0.96445800563554107</v>
      </c>
      <c r="F456" s="1081">
        <v>0.96797284178858034</v>
      </c>
      <c r="G456" s="1081">
        <v>1.0407615209342351</v>
      </c>
      <c r="H456" s="1081">
        <v>1.0123484925953239</v>
      </c>
      <c r="I456" s="1081">
        <v>0.97733332917073057</v>
      </c>
      <c r="K456">
        <v>2.362847480609044</v>
      </c>
      <c r="L456">
        <v>0</v>
      </c>
      <c r="M456">
        <v>1.788722088703706E-3</v>
      </c>
      <c r="N456">
        <v>0.14621796210506927</v>
      </c>
      <c r="O456">
        <v>2.0959980021349425E-2</v>
      </c>
      <c r="P456">
        <v>2.7169520469121178E-2</v>
      </c>
      <c r="Q456">
        <v>5.2904339821763374E-3</v>
      </c>
      <c r="R456">
        <v>1.7653993767838636E-3</v>
      </c>
      <c r="S456">
        <v>0.25637234356716398</v>
      </c>
      <c r="T456">
        <v>1.3269675589238252</v>
      </c>
      <c r="U456">
        <v>0.20996275620548413</v>
      </c>
      <c r="V456">
        <v>0.25207257782156228</v>
      </c>
      <c r="W456">
        <v>9.8135360952862349E-2</v>
      </c>
      <c r="X456">
        <v>1.4917474132491918E-2</v>
      </c>
      <c r="Y456">
        <v>4.804835139857527E-3</v>
      </c>
    </row>
    <row r="457" spans="1:25" x14ac:dyDescent="0.2">
      <c r="A457" s="1077"/>
      <c r="B457" s="1444">
        <v>207</v>
      </c>
      <c r="C457" s="1081">
        <v>1.0208928644153281</v>
      </c>
      <c r="D457" s="1081">
        <v>1.006089708895437</v>
      </c>
      <c r="E457" s="1081">
        <v>0.96233674968475258</v>
      </c>
      <c r="F457" s="1081">
        <v>1.0135369145498112</v>
      </c>
      <c r="G457" s="1081">
        <v>1.0144620283720434</v>
      </c>
      <c r="H457" s="1081">
        <v>0.9970792750148908</v>
      </c>
      <c r="I457" s="1081">
        <v>0.98658397185040203</v>
      </c>
      <c r="K457">
        <v>2.400417870839632</v>
      </c>
      <c r="L457">
        <v>0</v>
      </c>
      <c r="M457">
        <v>1.7311134065438917E-3</v>
      </c>
      <c r="N457">
        <v>0.14057390434873751</v>
      </c>
      <c r="O457">
        <v>2.0504303835534289E-2</v>
      </c>
      <c r="P457">
        <v>2.7748707424479751E-2</v>
      </c>
      <c r="Q457">
        <v>5.1641684244055838E-3</v>
      </c>
      <c r="R457">
        <v>1.7081961804736063E-3</v>
      </c>
      <c r="S457">
        <v>0.2486353603378976</v>
      </c>
      <c r="T457">
        <v>1.3893839607022958</v>
      </c>
      <c r="U457">
        <v>0.20750956607852128</v>
      </c>
      <c r="V457">
        <v>0.24686492244226307</v>
      </c>
      <c r="W457">
        <v>9.4469835226951349E-2</v>
      </c>
      <c r="X457">
        <v>1.4936912348082872E-2</v>
      </c>
      <c r="Y457">
        <v>4.6491468965296004E-3</v>
      </c>
    </row>
    <row r="458" spans="1:25" x14ac:dyDescent="0.2">
      <c r="A458" s="1077"/>
      <c r="B458" s="1444">
        <v>208</v>
      </c>
      <c r="C458" s="1081">
        <v>1.0007022761074078</v>
      </c>
      <c r="D458" s="1081">
        <v>1.0043072747880954</v>
      </c>
      <c r="E458" s="1081">
        <v>0.98310637395756029</v>
      </c>
      <c r="F458" s="1081">
        <v>0.95347797506877963</v>
      </c>
      <c r="G458" s="1081">
        <v>0.98825633481976616</v>
      </c>
      <c r="H458" s="1081">
        <v>0.98737482387512965</v>
      </c>
      <c r="I458" s="1081">
        <v>0.96614148789710796</v>
      </c>
      <c r="K458">
        <v>2.325182570285373</v>
      </c>
      <c r="L458">
        <v>0</v>
      </c>
      <c r="M458">
        <v>1.6760722219150625E-3</v>
      </c>
      <c r="N458">
        <v>0.14491759839353999</v>
      </c>
      <c r="O458">
        <v>2.0939869813575582E-2</v>
      </c>
      <c r="P458">
        <v>2.7092791986026959E-2</v>
      </c>
      <c r="Q458">
        <v>5.3868478299051665E-3</v>
      </c>
      <c r="R458">
        <v>1.6536655736126052E-3</v>
      </c>
      <c r="S458">
        <v>0.24798360624467577</v>
      </c>
      <c r="T458">
        <v>1.3074794131886085</v>
      </c>
      <c r="U458">
        <v>0.21176699720139419</v>
      </c>
      <c r="V458">
        <v>0.24354197222071849</v>
      </c>
      <c r="W458">
        <v>9.6168180396255951E-2</v>
      </c>
      <c r="X458">
        <v>1.5426967098312101E-2</v>
      </c>
      <c r="Y458">
        <v>4.5007325606636764E-3</v>
      </c>
    </row>
    <row r="459" spans="1:25" x14ac:dyDescent="0.2">
      <c r="A459" s="1077"/>
      <c r="B459" s="1444">
        <v>209</v>
      </c>
      <c r="C459" s="1081">
        <v>1.0173702269899534</v>
      </c>
      <c r="D459" s="1081">
        <v>1.0211215282140624</v>
      </c>
      <c r="E459" s="1081">
        <v>0.98389496070780003</v>
      </c>
      <c r="F459" s="1081">
        <v>0.99636169968203558</v>
      </c>
      <c r="G459" s="1081">
        <v>1.0312031049913808</v>
      </c>
      <c r="H459" s="1081">
        <v>0.999817651368199</v>
      </c>
      <c r="I459" s="1081">
        <v>0.99319580008793396</v>
      </c>
      <c r="K459">
        <v>2.3874383094935498</v>
      </c>
      <c r="L459">
        <v>0</v>
      </c>
      <c r="M459">
        <v>1.6605899047427966E-3</v>
      </c>
      <c r="N459">
        <v>0.14394612514985897</v>
      </c>
      <c r="O459">
        <v>2.0522216632236634E-2</v>
      </c>
      <c r="P459">
        <v>2.7963620411699915E-2</v>
      </c>
      <c r="Q459">
        <v>5.2836302231776171E-3</v>
      </c>
      <c r="R459">
        <v>1.6386665095776925E-3</v>
      </c>
      <c r="S459">
        <v>0.24971085804879881</v>
      </c>
      <c r="T459">
        <v>1.3663016794577083</v>
      </c>
      <c r="U459">
        <v>0.20830018309930676</v>
      </c>
      <c r="V459">
        <v>0.24985530366263617</v>
      </c>
      <c r="W459">
        <v>9.5478156580878881E-2</v>
      </c>
      <c r="X459">
        <v>1.56385495696084E-2</v>
      </c>
      <c r="Y459">
        <v>4.459910052800776E-3</v>
      </c>
    </row>
    <row r="460" spans="1:25" x14ac:dyDescent="0.2">
      <c r="A460" s="1077"/>
      <c r="B460" s="1444">
        <v>210</v>
      </c>
      <c r="C460" s="1081">
        <v>0.97953427804903359</v>
      </c>
      <c r="D460" s="1081">
        <v>1.0099052823865258</v>
      </c>
      <c r="E460" s="1081">
        <v>0.99929427564180706</v>
      </c>
      <c r="F460" s="1081">
        <v>1.0001696257312682</v>
      </c>
      <c r="G460" s="1081">
        <v>0.99046564743106802</v>
      </c>
      <c r="H460" s="1081">
        <v>1.0228783820878362</v>
      </c>
      <c r="I460" s="1081">
        <v>0.97331004790799192</v>
      </c>
      <c r="K460">
        <v>2.4256679821091902</v>
      </c>
      <c r="L460">
        <v>0</v>
      </c>
      <c r="M460">
        <v>1.7132702346105797E-3</v>
      </c>
      <c r="N460">
        <v>0.15563680645632075</v>
      </c>
      <c r="O460">
        <v>2.1377170767058275E-2</v>
      </c>
      <c r="P460">
        <v>2.8519908089166417E-2</v>
      </c>
      <c r="Q460">
        <v>5.5900058484893355E-3</v>
      </c>
      <c r="R460">
        <v>1.691161286113043E-3</v>
      </c>
      <c r="S460">
        <v>0.25763702743380879</v>
      </c>
      <c r="T460">
        <v>1.3718559996341042</v>
      </c>
      <c r="U460">
        <v>0.21639974985575805</v>
      </c>
      <c r="V460">
        <v>0.24520902099795641</v>
      </c>
      <c r="W460">
        <v>0.1022857078594141</v>
      </c>
      <c r="X460">
        <v>1.6575910585979271E-2</v>
      </c>
      <c r="Y460">
        <v>4.6027835296315635E-3</v>
      </c>
    </row>
    <row r="461" spans="1:25" x14ac:dyDescent="0.2">
      <c r="A461" s="1077"/>
      <c r="B461" s="1444">
        <v>211</v>
      </c>
      <c r="C461" s="1081">
        <v>1.0117036631488383</v>
      </c>
      <c r="D461" s="1081">
        <v>1.0444523253153974</v>
      </c>
      <c r="E461" s="1081">
        <v>1.0115784752667907</v>
      </c>
      <c r="F461" s="1081">
        <v>1.0056540764855486</v>
      </c>
      <c r="G461" s="1081">
        <v>0.98736978230588868</v>
      </c>
      <c r="H461" s="1081">
        <v>0.9786139395148421</v>
      </c>
      <c r="I461" s="1081">
        <v>1.0050559384778501</v>
      </c>
      <c r="K461">
        <v>2.3960499491250595</v>
      </c>
      <c r="L461">
        <v>0</v>
      </c>
      <c r="M461">
        <v>1.5356427562379937E-3</v>
      </c>
      <c r="N461">
        <v>0.14468762320425843</v>
      </c>
      <c r="O461">
        <v>2.055282958618845E-2</v>
      </c>
      <c r="P461">
        <v>2.8649262488580841E-2</v>
      </c>
      <c r="Q461">
        <v>5.441018020198223E-3</v>
      </c>
      <c r="R461">
        <v>1.5149296603218219E-3</v>
      </c>
      <c r="S461">
        <v>0.24971748206422498</v>
      </c>
      <c r="T461">
        <v>1.3796460785539455</v>
      </c>
      <c r="U461">
        <v>0.20956037439598277</v>
      </c>
      <c r="V461">
        <v>0.24261177646008408</v>
      </c>
      <c r="W461">
        <v>9.4401039257456937E-2</v>
      </c>
      <c r="X461">
        <v>1.6680039051087885E-2</v>
      </c>
      <c r="Y461">
        <v>4.1231391389676894E-3</v>
      </c>
    </row>
    <row r="462" spans="1:25" x14ac:dyDescent="0.2">
      <c r="A462" s="1077"/>
      <c r="B462" s="1444">
        <v>212</v>
      </c>
      <c r="C462" s="1081">
        <v>0.9954390939579445</v>
      </c>
      <c r="D462" s="1081">
        <v>0.98599947548863254</v>
      </c>
      <c r="E462" s="1081">
        <v>0.97102414055999464</v>
      </c>
      <c r="F462" s="1081">
        <v>1.0164217964917774</v>
      </c>
      <c r="G462" s="1081">
        <v>1.0389790815233577</v>
      </c>
      <c r="H462" s="1081">
        <v>1.0393410554074165</v>
      </c>
      <c r="I462" s="1081">
        <v>0.99649174326534817</v>
      </c>
      <c r="K462">
        <v>2.4522112704017758</v>
      </c>
      <c r="L462">
        <v>0</v>
      </c>
      <c r="M462">
        <v>1.8258362012405105E-3</v>
      </c>
      <c r="N462">
        <v>0.15230161934547981</v>
      </c>
      <c r="O462">
        <v>2.1127908305359999E-2</v>
      </c>
      <c r="P462">
        <v>2.8340585152831742E-2</v>
      </c>
      <c r="Q462">
        <v>5.36877505584112E-3</v>
      </c>
      <c r="R462">
        <v>1.8026478457771875E-3</v>
      </c>
      <c r="S462">
        <v>0.26385074665539948</v>
      </c>
      <c r="T462">
        <v>1.3935282813893524</v>
      </c>
      <c r="U462">
        <v>0.21284533667997699</v>
      </c>
      <c r="V462">
        <v>0.25258421730053804</v>
      </c>
      <c r="W462">
        <v>0.10181003770723766</v>
      </c>
      <c r="X462">
        <v>1.5570737971716731E-2</v>
      </c>
      <c r="Y462">
        <v>4.9062131935028504E-3</v>
      </c>
    </row>
    <row r="463" spans="1:25" x14ac:dyDescent="0.2">
      <c r="A463" s="1077"/>
      <c r="B463" s="1444">
        <v>213</v>
      </c>
      <c r="C463" s="1081">
        <v>0.98510139560549215</v>
      </c>
      <c r="D463" s="1081">
        <v>1.0007290713105761</v>
      </c>
      <c r="E463" s="1081">
        <v>1.0387328876052262</v>
      </c>
      <c r="F463" s="1081">
        <v>1.0261102671644815</v>
      </c>
      <c r="G463" s="1081">
        <v>1.0162449298172713</v>
      </c>
      <c r="H463" s="1081">
        <v>1.0073258558853875</v>
      </c>
      <c r="I463" s="1081">
        <v>0.99423272080155389</v>
      </c>
      <c r="K463">
        <v>2.4743098988244454</v>
      </c>
      <c r="L463">
        <v>0</v>
      </c>
      <c r="M463">
        <v>1.548641466712447E-3</v>
      </c>
      <c r="N463">
        <v>0.15842540212455117</v>
      </c>
      <c r="O463">
        <v>2.1325732263121202E-2</v>
      </c>
      <c r="P463">
        <v>2.9967069383596983E-2</v>
      </c>
      <c r="Q463">
        <v>5.7996717056082543E-3</v>
      </c>
      <c r="R463">
        <v>1.5283484262769993E-3</v>
      </c>
      <c r="S463">
        <v>0.26187250995512606</v>
      </c>
      <c r="T463">
        <v>1.408315301862112</v>
      </c>
      <c r="U463">
        <v>0.2153140505184768</v>
      </c>
      <c r="V463">
        <v>0.24911054237135008</v>
      </c>
      <c r="W463">
        <v>0.10174156344895059</v>
      </c>
      <c r="X463">
        <v>1.829868763558521E-2</v>
      </c>
      <c r="Y463">
        <v>4.1596605964026746E-3</v>
      </c>
    </row>
    <row r="464" spans="1:25" x14ac:dyDescent="0.2">
      <c r="A464" s="1077"/>
      <c r="B464" s="1444">
        <v>214</v>
      </c>
      <c r="C464" s="1081">
        <v>0.98070128832684489</v>
      </c>
      <c r="D464" s="1081">
        <v>0.98350743052929379</v>
      </c>
      <c r="E464" s="1081">
        <v>1.0076670518742408</v>
      </c>
      <c r="F464" s="1081">
        <v>0.98027977049243642</v>
      </c>
      <c r="G464" s="1081">
        <v>1.0216468700217465</v>
      </c>
      <c r="H464" s="1081">
        <v>0.9908879327362603</v>
      </c>
      <c r="I464" s="1081">
        <v>0.96916181994039585</v>
      </c>
      <c r="K464">
        <v>2.3974722892834452</v>
      </c>
      <c r="L464">
        <v>0</v>
      </c>
      <c r="M464">
        <v>1.6386764126051527E-3</v>
      </c>
      <c r="N464">
        <v>0.15260873521706245</v>
      </c>
      <c r="O464">
        <v>2.1482203509334462E-2</v>
      </c>
      <c r="P464">
        <v>2.8385800645327624E-2</v>
      </c>
      <c r="Q464">
        <v>5.6648565834749717E-3</v>
      </c>
      <c r="R464">
        <v>1.6168473603075364E-3</v>
      </c>
      <c r="S464">
        <v>0.25701282611601522</v>
      </c>
      <c r="T464">
        <v>1.3447522513749799</v>
      </c>
      <c r="U464">
        <v>0.21617143862481941</v>
      </c>
      <c r="V464">
        <v>0.25042758794606079</v>
      </c>
      <c r="W464">
        <v>9.9799133999430537E-2</v>
      </c>
      <c r="X464">
        <v>1.6788758798067384E-2</v>
      </c>
      <c r="Y464">
        <v>4.4005255211680338E-3</v>
      </c>
    </row>
    <row r="465" spans="1:25" x14ac:dyDescent="0.2">
      <c r="A465" s="1077"/>
      <c r="B465" s="1444">
        <v>215</v>
      </c>
      <c r="C465" s="1081">
        <v>0.98764262127070968</v>
      </c>
      <c r="D465" s="1081">
        <v>0.98475923393012632</v>
      </c>
      <c r="E465" s="1081">
        <v>1.0018162292923984</v>
      </c>
      <c r="F465" s="1081">
        <v>1.0231605865152416</v>
      </c>
      <c r="G465" s="1081">
        <v>1.0303725780221196</v>
      </c>
      <c r="H465" s="1081">
        <v>1.0156136485227367</v>
      </c>
      <c r="I465" s="1081">
        <v>1.0013037252068322</v>
      </c>
      <c r="K465">
        <v>2.4684538292765446</v>
      </c>
      <c r="L465">
        <v>0</v>
      </c>
      <c r="M465">
        <v>1.6876687891011711E-3</v>
      </c>
      <c r="N465">
        <v>0.15446922191776011</v>
      </c>
      <c r="O465">
        <v>2.1321306355016854E-2</v>
      </c>
      <c r="P465">
        <v>2.9175583415899636E-2</v>
      </c>
      <c r="Q465">
        <v>5.5895449261863803E-3</v>
      </c>
      <c r="R465">
        <v>1.6657344320530542E-3</v>
      </c>
      <c r="S465">
        <v>0.26559239433873777</v>
      </c>
      <c r="T465">
        <v>1.4034467530449604</v>
      </c>
      <c r="U465">
        <v>0.21463188156915297</v>
      </c>
      <c r="V465">
        <v>0.25149180350170364</v>
      </c>
      <c r="W465">
        <v>0.10136637584746203</v>
      </c>
      <c r="X465">
        <v>1.6857318701870318E-2</v>
      </c>
      <c r="Y465">
        <v>4.5335800148404637E-3</v>
      </c>
    </row>
    <row r="466" spans="1:25" x14ac:dyDescent="0.2">
      <c r="A466" s="1077"/>
      <c r="B466" s="1444">
        <v>216</v>
      </c>
      <c r="C466" s="1081">
        <v>1.0263982607493478</v>
      </c>
      <c r="D466" s="1081">
        <v>0.99823364311792318</v>
      </c>
      <c r="E466" s="1081">
        <v>1.0348439503762077</v>
      </c>
      <c r="F466" s="1081">
        <v>1.0030492127119277</v>
      </c>
      <c r="G466" s="1081">
        <v>0.97268094820620188</v>
      </c>
      <c r="H466" s="1081">
        <v>1.0284960098499469</v>
      </c>
      <c r="I466" s="1081">
        <v>1.0183596059210829</v>
      </c>
      <c r="K466">
        <v>2.4132167467179904</v>
      </c>
      <c r="L466">
        <v>0</v>
      </c>
      <c r="M466">
        <v>1.5307702439312529E-3</v>
      </c>
      <c r="N466">
        <v>0.15481524026364707</v>
      </c>
      <c r="O466">
        <v>2.0476413152212297E-2</v>
      </c>
      <c r="P466">
        <v>2.9144831559170529E-2</v>
      </c>
      <c r="Q466">
        <v>5.5474027351137371E-3</v>
      </c>
      <c r="R466">
        <v>1.5111242674954314E-3</v>
      </c>
      <c r="S466">
        <v>0.25951455041426091</v>
      </c>
      <c r="T466">
        <v>1.3765795113801564</v>
      </c>
      <c r="U466">
        <v>0.20663792350479748</v>
      </c>
      <c r="V466">
        <v>0.23914208677798351</v>
      </c>
      <c r="W466">
        <v>9.9646600435448915E-2</v>
      </c>
      <c r="X466">
        <v>1.7619050357491096E-2</v>
      </c>
      <c r="Y466">
        <v>4.1127821141416629E-3</v>
      </c>
    </row>
    <row r="467" spans="1:25" x14ac:dyDescent="0.2">
      <c r="A467" s="1077"/>
      <c r="B467" s="1444">
        <v>217</v>
      </c>
      <c r="C467" s="1081">
        <v>0.9902935905536151</v>
      </c>
      <c r="D467" s="1081">
        <v>1.0227502549888348</v>
      </c>
      <c r="E467" s="1081">
        <v>1.0175027637313927</v>
      </c>
      <c r="F467" s="1081">
        <v>0.96916665280494796</v>
      </c>
      <c r="G467" s="1081">
        <v>0.96738139230788411</v>
      </c>
      <c r="H467" s="1081">
        <v>0.99755326876762485</v>
      </c>
      <c r="I467" s="1081">
        <v>0.99465416831083364</v>
      </c>
      <c r="K467">
        <v>2.3684758018955319</v>
      </c>
      <c r="L467">
        <v>0</v>
      </c>
      <c r="M467">
        <v>1.5869438098298641E-3</v>
      </c>
      <c r="N467">
        <v>0.15225810070863582</v>
      </c>
      <c r="O467">
        <v>2.1098358820743957E-2</v>
      </c>
      <c r="P467">
        <v>2.8215887420449313E-2</v>
      </c>
      <c r="Q467">
        <v>5.6185304821648723E-3</v>
      </c>
      <c r="R467">
        <v>1.5659451454665314E-3</v>
      </c>
      <c r="S467">
        <v>0.25679169892504633</v>
      </c>
      <c r="T467">
        <v>1.3297139109156511</v>
      </c>
      <c r="U467">
        <v>0.21411154866204465</v>
      </c>
      <c r="V467">
        <v>0.24051310008273727</v>
      </c>
      <c r="W467">
        <v>9.8995179045846038E-2</v>
      </c>
      <c r="X467">
        <v>1.6918499024291725E-2</v>
      </c>
      <c r="Y467">
        <v>4.2619864722814324E-3</v>
      </c>
    </row>
    <row r="468" spans="1:25" x14ac:dyDescent="0.2">
      <c r="A468" s="1077"/>
      <c r="B468" s="1444">
        <v>218</v>
      </c>
      <c r="C468" s="1081">
        <v>1.0438707694623195</v>
      </c>
      <c r="D468" s="1081">
        <v>1.0049333933295945</v>
      </c>
      <c r="E468" s="1081">
        <v>0.99723451315305389</v>
      </c>
      <c r="F468" s="1081">
        <v>1.0042694340368239</v>
      </c>
      <c r="G468" s="1081">
        <v>0.95545078705167441</v>
      </c>
      <c r="H468" s="1081">
        <v>0.99025930189720879</v>
      </c>
      <c r="I468" s="1081">
        <v>1.0171150399687743</v>
      </c>
      <c r="K468">
        <v>2.3740493463705663</v>
      </c>
      <c r="L468">
        <v>0</v>
      </c>
      <c r="M468">
        <v>1.5647692369421026E-3</v>
      </c>
      <c r="N468">
        <v>0.1412039111295946</v>
      </c>
      <c r="O468">
        <v>2.008012373507501E-2</v>
      </c>
      <c r="P468">
        <v>2.8138951072752768E-2</v>
      </c>
      <c r="Q468">
        <v>5.2399649188708463E-3</v>
      </c>
      <c r="R468">
        <v>1.5439114807241992E-3</v>
      </c>
      <c r="S468">
        <v>0.25054324326832744</v>
      </c>
      <c r="T468">
        <v>1.377434668739592</v>
      </c>
      <c r="U468">
        <v>0.20305572309807762</v>
      </c>
      <c r="V468">
        <v>0.23531062457743376</v>
      </c>
      <c r="W468">
        <v>9.2914130524325025E-2</v>
      </c>
      <c r="X468">
        <v>1.5946844962483098E-2</v>
      </c>
      <c r="Y468">
        <v>4.2020181002484329E-3</v>
      </c>
    </row>
    <row r="469" spans="1:25" x14ac:dyDescent="0.2">
      <c r="A469" s="1077"/>
      <c r="B469" s="1444">
        <v>219</v>
      </c>
      <c r="C469" s="1081">
        <v>0.99061276012450006</v>
      </c>
      <c r="D469" s="1081">
        <v>0.98592486307824168</v>
      </c>
      <c r="E469" s="1081">
        <v>0.9966098551147865</v>
      </c>
      <c r="F469" s="1081">
        <v>0.97073897920173768</v>
      </c>
      <c r="G469" s="1081">
        <v>0.98555152386409461</v>
      </c>
      <c r="H469" s="1081">
        <v>0.9804889914149999</v>
      </c>
      <c r="I469" s="1081">
        <v>1.0241185489754503</v>
      </c>
      <c r="K469">
        <v>2.3771491420631925</v>
      </c>
      <c r="L469">
        <v>0</v>
      </c>
      <c r="M469">
        <v>1.641624898702212E-3</v>
      </c>
      <c r="N469">
        <v>0.14784004669838943</v>
      </c>
      <c r="O469">
        <v>2.1248348863854311E-2</v>
      </c>
      <c r="P469">
        <v>2.7993136111691547E-2</v>
      </c>
      <c r="Q469">
        <v>5.5413301661361601E-3</v>
      </c>
      <c r="R469">
        <v>1.6195246364659214E-3</v>
      </c>
      <c r="S469">
        <v>0.26752611229529849</v>
      </c>
      <c r="T469">
        <v>1.3314319008214117</v>
      </c>
      <c r="U469">
        <v>0.21397039110808896</v>
      </c>
      <c r="V469">
        <v>0.24366689237318101</v>
      </c>
      <c r="W469">
        <v>9.7317011048884641E-2</v>
      </c>
      <c r="X469">
        <v>1.6228260654185093E-2</v>
      </c>
      <c r="Y469">
        <v>4.4078121843073095E-3</v>
      </c>
    </row>
    <row r="470" spans="1:25" x14ac:dyDescent="0.2">
      <c r="A470" s="1077"/>
      <c r="B470" s="1444">
        <v>220</v>
      </c>
      <c r="C470" s="1081">
        <v>0.99782122081337865</v>
      </c>
      <c r="D470" s="1081">
        <v>1.0236274046043989</v>
      </c>
      <c r="E470" s="1081">
        <v>0.96711808950543166</v>
      </c>
      <c r="F470" s="1081">
        <v>1.0311515006814713</v>
      </c>
      <c r="G470" s="1081">
        <v>1.0005840304264491</v>
      </c>
      <c r="H470" s="1081">
        <v>0.99008777846824514</v>
      </c>
      <c r="I470" s="1081">
        <v>1.002940082454234</v>
      </c>
      <c r="K470">
        <v>2.4408813120905881</v>
      </c>
      <c r="L470">
        <v>0</v>
      </c>
      <c r="M470">
        <v>1.7348527419046721E-3</v>
      </c>
      <c r="N470">
        <v>0.14291918690948716</v>
      </c>
      <c r="O470">
        <v>2.0901944071996251E-2</v>
      </c>
      <c r="P470">
        <v>2.8320615109643118E-2</v>
      </c>
      <c r="Q470">
        <v>5.2901825650079875E-3</v>
      </c>
      <c r="R470">
        <v>1.7117238335354345E-3</v>
      </c>
      <c r="S470">
        <v>0.25582485047021353</v>
      </c>
      <c r="T470">
        <v>1.4136363584753913</v>
      </c>
      <c r="U470">
        <v>0.21232389146795394</v>
      </c>
      <c r="V470">
        <v>0.24588694933266547</v>
      </c>
      <c r="W470">
        <v>9.5765669171975903E-2</v>
      </c>
      <c r="X470">
        <v>1.5376045419348056E-2</v>
      </c>
      <c r="Y470">
        <v>4.6587480052733788E-3</v>
      </c>
    </row>
    <row r="471" spans="1:25" x14ac:dyDescent="0.2">
      <c r="A471" s="1077"/>
      <c r="B471" s="1444">
        <v>221</v>
      </c>
      <c r="C471" s="1081">
        <v>1.0271091456828341</v>
      </c>
      <c r="D471" s="1081">
        <v>0.99057845847545078</v>
      </c>
      <c r="E471" s="1081">
        <v>0.97635404899292622</v>
      </c>
      <c r="F471" s="1081">
        <v>1.0101543575467009</v>
      </c>
      <c r="G471" s="1081">
        <v>1.0296037780106049</v>
      </c>
      <c r="H471" s="1081">
        <v>1.0200840382749836</v>
      </c>
      <c r="I471" s="1081">
        <v>0.98784555838288368</v>
      </c>
      <c r="K471">
        <v>2.4078414030161799</v>
      </c>
      <c r="L471">
        <v>0</v>
      </c>
      <c r="M471">
        <v>1.715985186781913E-3</v>
      </c>
      <c r="N471">
        <v>0.14543122620906174</v>
      </c>
      <c r="O471">
        <v>2.0459022051351434E-2</v>
      </c>
      <c r="P471">
        <v>2.8039848957226984E-2</v>
      </c>
      <c r="Q471">
        <v>5.2271452268451268E-3</v>
      </c>
      <c r="R471">
        <v>1.6937805434866957E-3</v>
      </c>
      <c r="S471">
        <v>0.25137619998456112</v>
      </c>
      <c r="T471">
        <v>1.3850513471362322</v>
      </c>
      <c r="U471">
        <v>0.20630009108561534</v>
      </c>
      <c r="V471">
        <v>0.24902956587637862</v>
      </c>
      <c r="W471">
        <v>9.6903402936793864E-2</v>
      </c>
      <c r="X471">
        <v>1.5435845910643512E-2</v>
      </c>
      <c r="Y471">
        <v>4.6099122847646857E-3</v>
      </c>
    </row>
    <row r="472" spans="1:25" x14ac:dyDescent="0.2">
      <c r="A472" s="1077"/>
      <c r="B472" s="1444">
        <v>222</v>
      </c>
      <c r="C472" s="1081">
        <v>1.0230578222740272</v>
      </c>
      <c r="D472" s="1081">
        <v>0.95816908677038504</v>
      </c>
      <c r="E472" s="1081">
        <v>1.0182030703746974</v>
      </c>
      <c r="F472" s="1081">
        <v>0.9888133922522494</v>
      </c>
      <c r="G472" s="1081">
        <v>1.0109625394556845</v>
      </c>
      <c r="H472" s="1081">
        <v>1.0002007310886945</v>
      </c>
      <c r="I472" s="1081">
        <v>1.0160675699962756</v>
      </c>
      <c r="K472">
        <v>2.3960321133354312</v>
      </c>
      <c r="L472">
        <v>0</v>
      </c>
      <c r="M472">
        <v>1.5601840723110569E-3</v>
      </c>
      <c r="N472">
        <v>0.15001261444296279</v>
      </c>
      <c r="O472">
        <v>2.0718301007297827E-2</v>
      </c>
      <c r="P472">
        <v>2.8663949430606676E-2</v>
      </c>
      <c r="Q472">
        <v>5.5211674842269264E-3</v>
      </c>
      <c r="R472">
        <v>1.5395941413371009E-3</v>
      </c>
      <c r="S472">
        <v>0.26260816320024094</v>
      </c>
      <c r="T472">
        <v>1.356684617127504</v>
      </c>
      <c r="U472">
        <v>0.20725680410571065</v>
      </c>
      <c r="V472">
        <v>0.24593099060954293</v>
      </c>
      <c r="W472">
        <v>9.7495187568103117E-2</v>
      </c>
      <c r="X472">
        <v>1.6970640564560654E-2</v>
      </c>
      <c r="Y472">
        <v>4.1902677256472984E-3</v>
      </c>
    </row>
    <row r="473" spans="1:25" x14ac:dyDescent="0.2">
      <c r="A473" s="1077"/>
      <c r="B473" s="1444">
        <v>223</v>
      </c>
      <c r="C473" s="1081">
        <v>0.97933973400070584</v>
      </c>
      <c r="D473" s="1081">
        <v>1.0121694005405191</v>
      </c>
      <c r="E473" s="1081">
        <v>1.0153637203022738</v>
      </c>
      <c r="F473" s="1081">
        <v>0.95310035289132067</v>
      </c>
      <c r="G473" s="1081">
        <v>0.99113802120342442</v>
      </c>
      <c r="H473" s="1081">
        <v>1.0305647469715915</v>
      </c>
      <c r="I473" s="1081">
        <v>1.010472929922003</v>
      </c>
      <c r="K473">
        <v>2.3768422809459646</v>
      </c>
      <c r="L473">
        <v>0</v>
      </c>
      <c r="M473">
        <v>1.669001690419124E-3</v>
      </c>
      <c r="N473">
        <v>0.15916914850948155</v>
      </c>
      <c r="O473">
        <v>2.1381759263331582E-2</v>
      </c>
      <c r="P473">
        <v>2.8120720855496842E-2</v>
      </c>
      <c r="Q473">
        <v>5.6818812422324855E-3</v>
      </c>
      <c r="R473">
        <v>1.6476246433895704E-3</v>
      </c>
      <c r="S473">
        <v>0.26803860099976939</v>
      </c>
      <c r="T473">
        <v>1.3076264240135216</v>
      </c>
      <c r="U473">
        <v>0.21649888874973411</v>
      </c>
      <c r="V473">
        <v>0.24528037627408836</v>
      </c>
      <c r="W473">
        <v>0.10361856104989155</v>
      </c>
      <c r="X473">
        <v>1.6963005895455272E-2</v>
      </c>
      <c r="Y473">
        <v>4.4842911399886887E-3</v>
      </c>
    </row>
    <row r="474" spans="1:25" x14ac:dyDescent="0.2">
      <c r="A474" s="1077"/>
      <c r="B474" s="1444">
        <v>224</v>
      </c>
      <c r="C474" s="1081">
        <v>1.0385093628448874</v>
      </c>
      <c r="D474" s="1081">
        <v>0.97951882157986503</v>
      </c>
      <c r="E474" s="1081">
        <v>1.0124466210014578</v>
      </c>
      <c r="F474" s="1081">
        <v>0.96074962316640555</v>
      </c>
      <c r="G474" s="1081">
        <v>0.97156569040855212</v>
      </c>
      <c r="H474" s="1081">
        <v>1.0456077328967779</v>
      </c>
      <c r="I474" s="1081">
        <v>0.95847779314857051</v>
      </c>
      <c r="K474">
        <v>2.3321804712892602</v>
      </c>
      <c r="L474">
        <v>0</v>
      </c>
      <c r="M474">
        <v>1.6182277704141956E-3</v>
      </c>
      <c r="N474">
        <v>0.1530027413511087</v>
      </c>
      <c r="O474">
        <v>2.030762581792098E-2</v>
      </c>
      <c r="P474">
        <v>2.7619165752256175E-2</v>
      </c>
      <c r="Q474">
        <v>5.3807668204498222E-3</v>
      </c>
      <c r="R474">
        <v>1.5977992420574969E-3</v>
      </c>
      <c r="S474">
        <v>0.2448766586366708</v>
      </c>
      <c r="T474">
        <v>1.3180602215631361</v>
      </c>
      <c r="U474">
        <v>0.20415412613294159</v>
      </c>
      <c r="V474">
        <v>0.23831862264431722</v>
      </c>
      <c r="W474">
        <v>9.9775205548412293E-2</v>
      </c>
      <c r="X474">
        <v>1.6357082727897557E-2</v>
      </c>
      <c r="Y474">
        <v>4.3486828225019203E-3</v>
      </c>
    </row>
    <row r="475" spans="1:25" x14ac:dyDescent="0.2">
      <c r="A475" s="1077"/>
      <c r="B475" s="1444">
        <v>225</v>
      </c>
      <c r="C475" s="1081">
        <v>0.9832585323454236</v>
      </c>
      <c r="D475" s="1081">
        <v>1.0045502103399442</v>
      </c>
      <c r="E475" s="1081">
        <v>1.0039149870662243</v>
      </c>
      <c r="F475" s="1081">
        <v>0.99692360100172306</v>
      </c>
      <c r="G475" s="1081">
        <v>1.0043028079959517</v>
      </c>
      <c r="H475" s="1081">
        <v>0.99638057474723918</v>
      </c>
      <c r="I475" s="1081">
        <v>0.99101296464539579</v>
      </c>
      <c r="K475">
        <v>2.418165922161541</v>
      </c>
      <c r="L475">
        <v>0</v>
      </c>
      <c r="M475">
        <v>1.6486306399306214E-3</v>
      </c>
      <c r="N475">
        <v>0.15181717240807921</v>
      </c>
      <c r="O475">
        <v>2.1324241735939647E-2</v>
      </c>
      <c r="P475">
        <v>2.8605860673785434E-2</v>
      </c>
      <c r="Q475">
        <v>5.6021016686858896E-3</v>
      </c>
      <c r="R475">
        <v>1.6267900515816319E-3</v>
      </c>
      <c r="S475">
        <v>0.2597904502858559</v>
      </c>
      <c r="T475">
        <v>1.3675033390588103</v>
      </c>
      <c r="U475">
        <v>0.21559616764218786</v>
      </c>
      <c r="V475">
        <v>0.24731424799274784</v>
      </c>
      <c r="W475">
        <v>9.950212357544129E-2</v>
      </c>
      <c r="X475">
        <v>1.6704471459147954E-2</v>
      </c>
      <c r="Y475">
        <v>4.4275862492088253E-3</v>
      </c>
    </row>
    <row r="476" spans="1:25" x14ac:dyDescent="0.2">
      <c r="A476" s="1077"/>
      <c r="B476" s="1444">
        <v>226</v>
      </c>
      <c r="C476" s="1081">
        <v>0.99291155812104648</v>
      </c>
      <c r="D476" s="1081">
        <v>0.9898460351994538</v>
      </c>
      <c r="E476" s="1081">
        <v>0.98492662978030188</v>
      </c>
      <c r="F476" s="1081">
        <v>1.0116554990431572</v>
      </c>
      <c r="G476" s="1081">
        <v>0.96316357387620344</v>
      </c>
      <c r="H476" s="1081">
        <v>0.99662675464148598</v>
      </c>
      <c r="I476" s="1081">
        <v>1.0413336647931934</v>
      </c>
      <c r="K476">
        <v>2.4347839603685837</v>
      </c>
      <c r="L476">
        <v>0</v>
      </c>
      <c r="M476">
        <v>1.7040707719151403E-3</v>
      </c>
      <c r="N476">
        <v>0.14817052214865908</v>
      </c>
      <c r="O476">
        <v>2.1172835314443538E-2</v>
      </c>
      <c r="P476">
        <v>2.8504931044269065E-2</v>
      </c>
      <c r="Q476">
        <v>5.4568428538387514E-3</v>
      </c>
      <c r="R476">
        <v>1.6815013048473108E-3</v>
      </c>
      <c r="S476">
        <v>0.27219308318850827</v>
      </c>
      <c r="T476">
        <v>1.3872964276542159</v>
      </c>
      <c r="U476">
        <v>0.21343484273977154</v>
      </c>
      <c r="V476">
        <v>0.23973760424343704</v>
      </c>
      <c r="W476">
        <v>9.8219170006110815E-2</v>
      </c>
      <c r="X476">
        <v>1.6043778397357711E-2</v>
      </c>
      <c r="Y476">
        <v>4.5764922450382091E-3</v>
      </c>
    </row>
    <row r="477" spans="1:25" x14ac:dyDescent="0.2">
      <c r="A477" s="1077"/>
      <c r="B477" s="1444">
        <v>227</v>
      </c>
      <c r="C477" s="1081">
        <v>1.0003902713396768</v>
      </c>
      <c r="D477" s="1081">
        <v>1.0163654330268364</v>
      </c>
      <c r="E477" s="1081">
        <v>1.0297131248713338</v>
      </c>
      <c r="F477" s="1081">
        <v>1.0433697788658722</v>
      </c>
      <c r="G477" s="1081">
        <v>0.98908526290461063</v>
      </c>
      <c r="H477" s="1081">
        <v>1.0361246921973954</v>
      </c>
      <c r="I477" s="1081">
        <v>0.97111039417216138</v>
      </c>
      <c r="K477">
        <v>2.4791556408798572</v>
      </c>
      <c r="L477">
        <v>0</v>
      </c>
      <c r="M477">
        <v>1.5929084460879577E-3</v>
      </c>
      <c r="N477">
        <v>0.15864261694303011</v>
      </c>
      <c r="O477">
        <v>2.0922313294660082E-2</v>
      </c>
      <c r="P477">
        <v>2.9841314854400617E-2</v>
      </c>
      <c r="Q477">
        <v>5.6395593036969015E-3</v>
      </c>
      <c r="R477">
        <v>1.5726155042884813E-3</v>
      </c>
      <c r="S477">
        <v>0.25223214198527683</v>
      </c>
      <c r="T477">
        <v>1.4317987378456984</v>
      </c>
      <c r="U477">
        <v>0.21199244727047636</v>
      </c>
      <c r="V477">
        <v>0.24353955198822974</v>
      </c>
      <c r="W477">
        <v>0.10241411107454253</v>
      </c>
      <c r="X477">
        <v>1.787299827153142E-2</v>
      </c>
      <c r="Y477">
        <v>4.280140990111583E-3</v>
      </c>
    </row>
    <row r="478" spans="1:25" x14ac:dyDescent="0.2">
      <c r="A478" s="1077"/>
      <c r="B478" s="1444">
        <v>228</v>
      </c>
      <c r="C478" s="1081">
        <v>0.97224823287544715</v>
      </c>
      <c r="D478" s="1081">
        <v>0.97946286678440775</v>
      </c>
      <c r="E478" s="1081">
        <v>1.0135942842265888</v>
      </c>
      <c r="F478" s="1081">
        <v>0.99570603194192042</v>
      </c>
      <c r="G478" s="1081">
        <v>1.0074539058218799</v>
      </c>
      <c r="H478" s="1081">
        <v>0.99902255577835741</v>
      </c>
      <c r="I478" s="1081">
        <v>0.96749219942333653</v>
      </c>
      <c r="K478">
        <v>2.4286764051058896</v>
      </c>
      <c r="L478">
        <v>0</v>
      </c>
      <c r="M478">
        <v>1.6475891132382251E-3</v>
      </c>
      <c r="N478">
        <v>0.15622620460757969</v>
      </c>
      <c r="O478">
        <v>2.1692702119767336E-2</v>
      </c>
      <c r="P478">
        <v>2.8846168142106075E-2</v>
      </c>
      <c r="Q478">
        <v>5.754347515145088E-3</v>
      </c>
      <c r="R478">
        <v>1.625820045124586E-3</v>
      </c>
      <c r="S478">
        <v>0.26007960171577299</v>
      </c>
      <c r="T478">
        <v>1.3660419822905114</v>
      </c>
      <c r="U478">
        <v>0.21807177954694518</v>
      </c>
      <c r="V478">
        <v>0.24853653207065099</v>
      </c>
      <c r="W478">
        <v>0.10180851219755456</v>
      </c>
      <c r="X478">
        <v>1.7215397756575809E-2</v>
      </c>
      <c r="Y478">
        <v>4.4249462113952875E-3</v>
      </c>
    </row>
    <row r="479" spans="1:25" x14ac:dyDescent="0.2">
      <c r="A479" s="1077"/>
      <c r="B479" s="1444">
        <v>229</v>
      </c>
      <c r="C479" s="1081">
        <v>0.95943076212776202</v>
      </c>
      <c r="D479" s="1081">
        <v>1.0391984079185892</v>
      </c>
      <c r="E479" s="1081">
        <v>1.0183022162446544</v>
      </c>
      <c r="F479" s="1081">
        <v>1.0040821840197278</v>
      </c>
      <c r="G479" s="1081">
        <v>1.006528519593975</v>
      </c>
      <c r="H479" s="1081">
        <v>0.98328325429144203</v>
      </c>
      <c r="I479" s="1081">
        <v>1.0404639430471361</v>
      </c>
      <c r="K479">
        <v>2.4550913028951276</v>
      </c>
      <c r="L479">
        <v>0</v>
      </c>
      <c r="M479">
        <v>1.6062306176159991E-3</v>
      </c>
      <c r="N479">
        <v>0.15445067652374514</v>
      </c>
      <c r="O479">
        <v>2.1701295197179459E-2</v>
      </c>
      <c r="P479">
        <v>2.9345868861788658E-2</v>
      </c>
      <c r="Q479">
        <v>5.7836937044288758E-3</v>
      </c>
      <c r="R479">
        <v>1.5846682981883159E-3</v>
      </c>
      <c r="S479">
        <v>0.27377006814182836</v>
      </c>
      <c r="T479">
        <v>1.3776360643463332</v>
      </c>
      <c r="U479">
        <v>0.22100191371827896</v>
      </c>
      <c r="V479">
        <v>0.24921955553342073</v>
      </c>
      <c r="W479">
        <v>0.10037371255877289</v>
      </c>
      <c r="X479">
        <v>1.7517071906874258E-2</v>
      </c>
      <c r="Y479">
        <v>4.3129447219044919E-3</v>
      </c>
    </row>
    <row r="480" spans="1:25" x14ac:dyDescent="0.2">
      <c r="A480" s="1077"/>
      <c r="B480" s="1444">
        <v>230</v>
      </c>
      <c r="C480" s="1081">
        <v>1.0433606519375762</v>
      </c>
      <c r="D480" s="1081">
        <v>1.0224957700287447</v>
      </c>
      <c r="E480" s="1081">
        <v>0.99440563280302485</v>
      </c>
      <c r="F480" s="1081">
        <v>0.9692008803224178</v>
      </c>
      <c r="G480" s="1081">
        <v>1.0232870844174391</v>
      </c>
      <c r="H480" s="1081">
        <v>0.9821838598703645</v>
      </c>
      <c r="I480" s="1081">
        <v>0.96588395747683653</v>
      </c>
      <c r="K480">
        <v>2.3179651665295453</v>
      </c>
      <c r="L480">
        <v>0</v>
      </c>
      <c r="M480">
        <v>1.555958028824805E-3</v>
      </c>
      <c r="N480">
        <v>0.13919805170393387</v>
      </c>
      <c r="O480">
        <v>2.0011723800311708E-2</v>
      </c>
      <c r="P480">
        <v>2.7377446797433862E-2</v>
      </c>
      <c r="Q480">
        <v>5.2072532868580011E-3</v>
      </c>
      <c r="R480">
        <v>1.5350471972900804E-3</v>
      </c>
      <c r="S480">
        <v>0.23533314646666054</v>
      </c>
      <c r="T480">
        <v>1.3292761345686543</v>
      </c>
      <c r="U480">
        <v>0.20314573883292886</v>
      </c>
      <c r="V480">
        <v>0.24693584040610417</v>
      </c>
      <c r="W480">
        <v>9.1748887207695293E-2</v>
      </c>
      <c r="X480">
        <v>1.557396184764607E-2</v>
      </c>
      <c r="Y480">
        <v>4.1778924428510101E-3</v>
      </c>
    </row>
    <row r="481" spans="1:25" x14ac:dyDescent="0.2">
      <c r="A481" s="1077"/>
      <c r="B481" s="1444">
        <v>231</v>
      </c>
      <c r="C481" s="1081">
        <v>1.0135288732076562</v>
      </c>
      <c r="D481" s="1081">
        <v>1.0019237664761946</v>
      </c>
      <c r="E481" s="1081">
        <v>0.990390978054285</v>
      </c>
      <c r="F481" s="1081">
        <v>1.0023198495904508</v>
      </c>
      <c r="G481" s="1081">
        <v>1.0020523475051351</v>
      </c>
      <c r="H481" s="1081">
        <v>0.98012493786877208</v>
      </c>
      <c r="I481" s="1081">
        <v>0.98548030662819963</v>
      </c>
      <c r="K481">
        <v>2.3903971593233448</v>
      </c>
      <c r="L481">
        <v>0</v>
      </c>
      <c r="M481">
        <v>1.6189711564400032E-3</v>
      </c>
      <c r="N481">
        <v>0.14308410861817622</v>
      </c>
      <c r="O481">
        <v>2.0690436215308118E-2</v>
      </c>
      <c r="P481">
        <v>2.8157067650135235E-2</v>
      </c>
      <c r="Q481">
        <v>5.3620872918708823E-3</v>
      </c>
      <c r="R481">
        <v>1.5971677730986843E-3</v>
      </c>
      <c r="S481">
        <v>0.24950236913160451</v>
      </c>
      <c r="T481">
        <v>1.3746124891553029</v>
      </c>
      <c r="U481">
        <v>0.20911152073476005</v>
      </c>
      <c r="V481">
        <v>0.24508357546615273</v>
      </c>
      <c r="W481">
        <v>9.4536944258089325E-2</v>
      </c>
      <c r="X481">
        <v>1.593140001312434E-2</v>
      </c>
      <c r="Y481">
        <v>4.3469641721597171E-3</v>
      </c>
    </row>
    <row r="482" spans="1:25" x14ac:dyDescent="0.2">
      <c r="A482" s="1077"/>
      <c r="B482" s="1444">
        <v>232</v>
      </c>
      <c r="C482" s="1081">
        <v>0.98759654600124458</v>
      </c>
      <c r="D482" s="1081">
        <v>0.9639939674240442</v>
      </c>
      <c r="E482" s="1081">
        <v>1.0050626704503434</v>
      </c>
      <c r="F482" s="1081">
        <v>0.97896189981785986</v>
      </c>
      <c r="G482" s="1081">
        <v>1.0141566553181327</v>
      </c>
      <c r="H482" s="1081">
        <v>0.99158348488636849</v>
      </c>
      <c r="I482" s="1081">
        <v>1.0054550240308426</v>
      </c>
      <c r="K482">
        <v>2.4017870844587699</v>
      </c>
      <c r="L482">
        <v>0</v>
      </c>
      <c r="M482">
        <v>1.6444412198158953E-3</v>
      </c>
      <c r="N482">
        <v>0.15194732299990912</v>
      </c>
      <c r="O482">
        <v>2.1424709582578055E-2</v>
      </c>
      <c r="P482">
        <v>2.840506119070162E-2</v>
      </c>
      <c r="Q482">
        <v>5.63497643801536E-3</v>
      </c>
      <c r="R482">
        <v>1.6225507396501746E-3</v>
      </c>
      <c r="S482">
        <v>0.26750803883784313</v>
      </c>
      <c r="T482">
        <v>1.3428891769653424</v>
      </c>
      <c r="U482">
        <v>0.2146531374852646</v>
      </c>
      <c r="V482">
        <v>0.24871391126467446</v>
      </c>
      <c r="W482">
        <v>9.9519757869514142E-2</v>
      </c>
      <c r="X482">
        <v>1.6696834065471705E-2</v>
      </c>
      <c r="Y482">
        <v>4.4160482396201992E-3</v>
      </c>
    </row>
    <row r="483" spans="1:25" x14ac:dyDescent="0.2">
      <c r="A483" s="1077"/>
      <c r="B483" s="1444">
        <v>233</v>
      </c>
      <c r="C483" s="1081">
        <v>0.96759916693692427</v>
      </c>
      <c r="D483" s="1081">
        <v>0.99875388672228371</v>
      </c>
      <c r="E483" s="1081">
        <v>0.99927170828353284</v>
      </c>
      <c r="F483" s="1081">
        <v>0.98775155137546622</v>
      </c>
      <c r="G483" s="1081">
        <v>0.99895314561480675</v>
      </c>
      <c r="H483" s="1081">
        <v>1.0028743250755638</v>
      </c>
      <c r="I483" s="1081">
        <v>1.0126720172630215</v>
      </c>
      <c r="K483">
        <v>2.4260940635311692</v>
      </c>
      <c r="L483">
        <v>0</v>
      </c>
      <c r="M483">
        <v>1.7047226772202262E-3</v>
      </c>
      <c r="N483">
        <v>0.15480939108667668</v>
      </c>
      <c r="O483">
        <v>2.1693765670166648E-2</v>
      </c>
      <c r="P483">
        <v>2.8537454301279602E-2</v>
      </c>
      <c r="Q483">
        <v>5.6726648420425234E-3</v>
      </c>
      <c r="R483">
        <v>1.6822852300223336E-3</v>
      </c>
      <c r="S483">
        <v>0.27108622694643925</v>
      </c>
      <c r="T483">
        <v>1.3548225970017187</v>
      </c>
      <c r="U483">
        <v>0.2190689108219657</v>
      </c>
      <c r="V483">
        <v>0.24744423279728445</v>
      </c>
      <c r="W483">
        <v>0.10174328953220967</v>
      </c>
      <c r="X483">
        <v>1.6659342147639859E-2</v>
      </c>
      <c r="Y483">
        <v>4.5786258309437567E-3</v>
      </c>
    </row>
    <row r="484" spans="1:25" x14ac:dyDescent="0.2">
      <c r="A484" s="1077"/>
      <c r="B484" s="1444">
        <v>234</v>
      </c>
      <c r="C484" s="1081">
        <v>0.97088908614055569</v>
      </c>
      <c r="D484" s="1081">
        <v>0.98686997678534571</v>
      </c>
      <c r="E484" s="1081">
        <v>0.99414142684937312</v>
      </c>
      <c r="F484" s="1081">
        <v>0.97953653415484543</v>
      </c>
      <c r="G484" s="1081">
        <v>1.0035905475568978</v>
      </c>
      <c r="H484" s="1081">
        <v>0.97177399214933236</v>
      </c>
      <c r="I484" s="1081">
        <v>0.97867223415348492</v>
      </c>
      <c r="K484">
        <v>2.3933462680871722</v>
      </c>
      <c r="L484">
        <v>0</v>
      </c>
      <c r="M484">
        <v>1.6682507937347154E-3</v>
      </c>
      <c r="N484">
        <v>0.14910301663002162</v>
      </c>
      <c r="O484">
        <v>2.1673749887953574E-2</v>
      </c>
      <c r="P484">
        <v>2.8120070852565616E-2</v>
      </c>
      <c r="Q484">
        <v>5.6382269886643081E-3</v>
      </c>
      <c r="R484">
        <v>1.6455906694869975E-3</v>
      </c>
      <c r="S484">
        <v>0.25995230558994442</v>
      </c>
      <c r="T484">
        <v>1.3434460755604887</v>
      </c>
      <c r="U484">
        <v>0.21830852898766537</v>
      </c>
      <c r="V484">
        <v>0.2480360602521447</v>
      </c>
      <c r="W484">
        <v>9.8292998839538931E-2</v>
      </c>
      <c r="X484">
        <v>1.6319139288907217E-2</v>
      </c>
      <c r="Y484">
        <v>4.4787553335252023E-3</v>
      </c>
    </row>
    <row r="485" spans="1:25" x14ac:dyDescent="0.2">
      <c r="A485" s="1077"/>
      <c r="B485" s="1444">
        <v>235</v>
      </c>
      <c r="C485" s="1081">
        <v>0.98421150716010197</v>
      </c>
      <c r="D485" s="1081">
        <v>1.009922704380914</v>
      </c>
      <c r="E485" s="1081">
        <v>1.0448043267882035</v>
      </c>
      <c r="F485" s="1081">
        <v>0.96945903283949408</v>
      </c>
      <c r="G485" s="1081">
        <v>0.96851886417800825</v>
      </c>
      <c r="H485" s="1081">
        <v>1.0041849799178471</v>
      </c>
      <c r="I485" s="1081">
        <v>1.0244070561409251</v>
      </c>
      <c r="K485">
        <v>2.3943300776642475</v>
      </c>
      <c r="L485">
        <v>0</v>
      </c>
      <c r="M485">
        <v>1.5226824174705918E-3</v>
      </c>
      <c r="N485">
        <v>0.15863798476676108</v>
      </c>
      <c r="O485">
        <v>2.1306223968131824E-2</v>
      </c>
      <c r="P485">
        <v>2.898733250115702E-2</v>
      </c>
      <c r="Q485">
        <v>5.8290284126310214E-3</v>
      </c>
      <c r="R485">
        <v>1.5026671300858161E-3</v>
      </c>
      <c r="S485">
        <v>0.26860741454586107</v>
      </c>
      <c r="T485">
        <v>1.3306909680705741</v>
      </c>
      <c r="U485">
        <v>0.21552994696314168</v>
      </c>
      <c r="V485">
        <v>0.2410065108536554</v>
      </c>
      <c r="W485">
        <v>0.10152295011401402</v>
      </c>
      <c r="X485">
        <v>1.8141968181699122E-2</v>
      </c>
      <c r="Y485">
        <v>4.0897645740072888E-3</v>
      </c>
    </row>
    <row r="486" spans="1:25" x14ac:dyDescent="0.2">
      <c r="A486" s="1077"/>
      <c r="B486" s="1444">
        <v>236</v>
      </c>
      <c r="C486" s="1081">
        <v>0.97745807111144201</v>
      </c>
      <c r="D486" s="1081">
        <v>1.0047316166736013</v>
      </c>
      <c r="E486" s="1081">
        <v>0.99356417211640502</v>
      </c>
      <c r="F486" s="1081">
        <v>0.98247346522163315</v>
      </c>
      <c r="G486" s="1081">
        <v>0.97481108588365095</v>
      </c>
      <c r="H486" s="1081">
        <v>1.0350766595699754</v>
      </c>
      <c r="I486" s="1081">
        <v>1.0036900270423497</v>
      </c>
      <c r="K486">
        <v>2.4119654247011328</v>
      </c>
      <c r="L486">
        <v>0</v>
      </c>
      <c r="M486">
        <v>1.7601341316048971E-3</v>
      </c>
      <c r="N486">
        <v>0.15717326890877933</v>
      </c>
      <c r="O486">
        <v>2.1442913228091078E-2</v>
      </c>
      <c r="P486">
        <v>2.8178423776267544E-2</v>
      </c>
      <c r="Q486">
        <v>5.5749301504885683E-3</v>
      </c>
      <c r="R486">
        <v>1.737688105304895E-3</v>
      </c>
      <c r="S486">
        <v>0.26794038138028148</v>
      </c>
      <c r="T486">
        <v>1.3474618607460105</v>
      </c>
      <c r="U486">
        <v>0.21683937469377423</v>
      </c>
      <c r="V486">
        <v>0.24269070108557989</v>
      </c>
      <c r="W486">
        <v>0.10364886904857867</v>
      </c>
      <c r="X486">
        <v>1.6307733515668919E-2</v>
      </c>
      <c r="Y486">
        <v>4.7294141939099622E-3</v>
      </c>
    </row>
    <row r="487" spans="1:25" x14ac:dyDescent="0.2">
      <c r="A487" s="1077"/>
      <c r="B487" s="1444">
        <v>237</v>
      </c>
      <c r="C487" s="1081">
        <v>1.0071859364598574</v>
      </c>
      <c r="D487" s="1081">
        <v>0.9883419317515264</v>
      </c>
      <c r="E487" s="1081">
        <v>1.0284785382187513</v>
      </c>
      <c r="F487" s="1081">
        <v>0.97980007525750012</v>
      </c>
      <c r="G487" s="1081">
        <v>0.96578463729554342</v>
      </c>
      <c r="H487" s="1081">
        <v>1.0044420506598031</v>
      </c>
      <c r="I487" s="1081">
        <v>0.98133092995813043</v>
      </c>
      <c r="K487">
        <v>2.3774391655149802</v>
      </c>
      <c r="L487">
        <v>0</v>
      </c>
      <c r="M487">
        <v>1.5472197095255313E-3</v>
      </c>
      <c r="N487">
        <v>0.15345738465571179</v>
      </c>
      <c r="O487">
        <v>2.090854820253648E-2</v>
      </c>
      <c r="P487">
        <v>2.854295069214606E-2</v>
      </c>
      <c r="Q487">
        <v>5.6289704605408369E-3</v>
      </c>
      <c r="R487">
        <v>1.5268870905853322E-3</v>
      </c>
      <c r="S487">
        <v>0.25406605074209565</v>
      </c>
      <c r="T487">
        <v>1.3445367957203314</v>
      </c>
      <c r="U487">
        <v>0.210557887607769</v>
      </c>
      <c r="V487">
        <v>0.23914683880802692</v>
      </c>
      <c r="W487">
        <v>9.9137778701299126E-2</v>
      </c>
      <c r="X487">
        <v>1.7320609221081956E-2</v>
      </c>
      <c r="Y487">
        <v>4.1556833223791367E-3</v>
      </c>
    </row>
    <row r="488" spans="1:25" x14ac:dyDescent="0.2">
      <c r="A488" s="1077"/>
      <c r="B488" s="1444">
        <v>238</v>
      </c>
      <c r="C488" s="1081">
        <v>1.0118393973404578</v>
      </c>
      <c r="D488" s="1081">
        <v>1.0303526642951768</v>
      </c>
      <c r="E488" s="1081">
        <v>1.0138007275046932</v>
      </c>
      <c r="F488" s="1081">
        <v>0.98678177910126896</v>
      </c>
      <c r="G488" s="1081">
        <v>1.0093412897461029</v>
      </c>
      <c r="H488" s="1081">
        <v>1.0168285126482342</v>
      </c>
      <c r="I488" s="1081">
        <v>1.0422305477730291</v>
      </c>
      <c r="K488">
        <v>2.3990955089686534</v>
      </c>
      <c r="L488">
        <v>0</v>
      </c>
      <c r="M488">
        <v>1.592799099079976E-3</v>
      </c>
      <c r="N488">
        <v>0.15116052366028185</v>
      </c>
      <c r="O488">
        <v>2.0613062832014237E-2</v>
      </c>
      <c r="P488">
        <v>2.8588380120030562E-2</v>
      </c>
      <c r="Q488">
        <v>5.4690815941066334E-3</v>
      </c>
      <c r="R488">
        <v>1.5721224810865116E-3</v>
      </c>
      <c r="S488">
        <v>0.26402399296013385</v>
      </c>
      <c r="T488">
        <v>1.3538029231063071</v>
      </c>
      <c r="U488">
        <v>0.20953978469443454</v>
      </c>
      <c r="V488">
        <v>0.24634640480666745</v>
      </c>
      <c r="W488">
        <v>9.8495384879035683E-2</v>
      </c>
      <c r="X488">
        <v>1.6797847790150661E-2</v>
      </c>
      <c r="Y488">
        <v>4.2787991434808771E-3</v>
      </c>
    </row>
    <row r="489" spans="1:25" x14ac:dyDescent="0.2">
      <c r="A489" s="1077"/>
      <c r="B489" s="1444">
        <v>239</v>
      </c>
      <c r="C489" s="1081">
        <v>1.0289157516356942</v>
      </c>
      <c r="D489" s="1081">
        <v>0.96420128496210433</v>
      </c>
      <c r="E489" s="1081">
        <v>1.0029015232996765</v>
      </c>
      <c r="F489" s="1081">
        <v>0.98167806898624144</v>
      </c>
      <c r="G489" s="1081">
        <v>0.99955715551749247</v>
      </c>
      <c r="H489" s="1081">
        <v>0.97627296185228218</v>
      </c>
      <c r="I489" s="1081">
        <v>0.97769846774488667</v>
      </c>
      <c r="K489">
        <v>2.3561639158314964</v>
      </c>
      <c r="L489">
        <v>0</v>
      </c>
      <c r="M489">
        <v>1.5609450776165384E-3</v>
      </c>
      <c r="N489">
        <v>0.14326351991882583</v>
      </c>
      <c r="O489">
        <v>2.0561957012956773E-2</v>
      </c>
      <c r="P489">
        <v>2.7961623485947541E-2</v>
      </c>
      <c r="Q489">
        <v>5.3963517199496318E-3</v>
      </c>
      <c r="R489">
        <v>1.5398402125737125E-3</v>
      </c>
      <c r="S489">
        <v>0.24838529895465991</v>
      </c>
      <c r="T489">
        <v>1.3465691548760359</v>
      </c>
      <c r="U489">
        <v>0.20602591119828123</v>
      </c>
      <c r="V489">
        <v>0.24369157463480512</v>
      </c>
      <c r="W489">
        <v>9.3952418032943893E-2</v>
      </c>
      <c r="X489">
        <v>1.6186273411697288E-2</v>
      </c>
      <c r="Y489">
        <v>4.1909374504359937E-3</v>
      </c>
    </row>
    <row r="490" spans="1:25" x14ac:dyDescent="0.2">
      <c r="A490" s="1077"/>
      <c r="B490" s="1444">
        <v>240</v>
      </c>
      <c r="C490" s="1081">
        <v>1.0318540325484775</v>
      </c>
      <c r="D490" s="1081">
        <v>0.99922299212936072</v>
      </c>
      <c r="E490" s="1081">
        <v>1.0393124391402804</v>
      </c>
      <c r="F490" s="1081">
        <v>1.0179615065642782</v>
      </c>
      <c r="G490" s="1081">
        <v>1.0295456648962495</v>
      </c>
      <c r="H490" s="1081">
        <v>1.0388175199988376</v>
      </c>
      <c r="I490" s="1081">
        <v>1.0018062896670914</v>
      </c>
      <c r="K490">
        <v>2.4398066971838808</v>
      </c>
      <c r="L490">
        <v>0</v>
      </c>
      <c r="M490">
        <v>1.5233565338103232E-3</v>
      </c>
      <c r="N490">
        <v>0.1561739242274644</v>
      </c>
      <c r="O490">
        <v>2.0366599297499614E-2</v>
      </c>
      <c r="P490">
        <v>2.9576579681772061E-2</v>
      </c>
      <c r="Q490">
        <v>5.5419882397717331E-3</v>
      </c>
      <c r="R490">
        <v>1.5039999589056084E-3</v>
      </c>
      <c r="S490">
        <v>0.25471066368426337</v>
      </c>
      <c r="T490">
        <v>1.3971441506497289</v>
      </c>
      <c r="U490">
        <v>0.20556024159344596</v>
      </c>
      <c r="V490">
        <v>0.24850582624271067</v>
      </c>
      <c r="W490">
        <v>0.1002621557840562</v>
      </c>
      <c r="X490">
        <v>1.7890532263384214E-2</v>
      </c>
      <c r="Y490">
        <v>4.0933920946878595E-3</v>
      </c>
    </row>
    <row r="491" spans="1:25" x14ac:dyDescent="0.2">
      <c r="A491" s="1077"/>
      <c r="B491" s="1444">
        <v>241</v>
      </c>
      <c r="C491" s="1081">
        <v>0.99619657350176971</v>
      </c>
      <c r="D491" s="1081">
        <v>0.95791762873038167</v>
      </c>
      <c r="E491" s="1081">
        <v>0.98578037357210402</v>
      </c>
      <c r="F491" s="1081">
        <v>1.0190682755355502</v>
      </c>
      <c r="G491" s="1081">
        <v>1.0228923955026286</v>
      </c>
      <c r="H491" s="1081">
        <v>1.011557734615417</v>
      </c>
      <c r="I491" s="1081">
        <v>1.0297792929171323</v>
      </c>
      <c r="K491">
        <v>2.461696961488876</v>
      </c>
      <c r="L491">
        <v>0</v>
      </c>
      <c r="M491">
        <v>1.7333115492116989E-3</v>
      </c>
      <c r="N491">
        <v>0.15113263291925855</v>
      </c>
      <c r="O491">
        <v>2.1256361733602402E-2</v>
      </c>
      <c r="P491">
        <v>2.881186538130687E-2</v>
      </c>
      <c r="Q491">
        <v>5.4831117321521997E-3</v>
      </c>
      <c r="R491">
        <v>1.7106936547104678E-3</v>
      </c>
      <c r="S491">
        <v>0.27409229057359807</v>
      </c>
      <c r="T491">
        <v>1.3974804257164386</v>
      </c>
      <c r="U491">
        <v>0.21273395168412176</v>
      </c>
      <c r="V491">
        <v>0.24973153372333359</v>
      </c>
      <c r="W491">
        <v>0.10013127842345092</v>
      </c>
      <c r="X491">
        <v>1.6210183298000551E-2</v>
      </c>
      <c r="Y491">
        <v>4.6559441981101771E-3</v>
      </c>
    </row>
    <row r="492" spans="1:25" x14ac:dyDescent="0.2">
      <c r="A492" s="1077"/>
      <c r="B492" s="1444">
        <v>242</v>
      </c>
      <c r="C492" s="1081">
        <v>1.0120877579521461</v>
      </c>
      <c r="D492" s="1081">
        <v>0.96698144572563749</v>
      </c>
      <c r="E492" s="1081">
        <v>1.02848214486322</v>
      </c>
      <c r="F492" s="1081">
        <v>1.0131363195969112</v>
      </c>
      <c r="G492" s="1081">
        <v>1.0054778734570353</v>
      </c>
      <c r="H492" s="1081">
        <v>1.0325014277121316</v>
      </c>
      <c r="I492" s="1081">
        <v>0.99096730103010833</v>
      </c>
      <c r="K492">
        <v>2.4434569914926043</v>
      </c>
      <c r="L492">
        <v>0</v>
      </c>
      <c r="M492">
        <v>1.5903531729609126E-3</v>
      </c>
      <c r="N492">
        <v>0.15779427512318314</v>
      </c>
      <c r="O492">
        <v>2.0907543401731857E-2</v>
      </c>
      <c r="P492">
        <v>2.9346088852621657E-2</v>
      </c>
      <c r="Q492">
        <v>5.6287200374549639E-3</v>
      </c>
      <c r="R492">
        <v>1.5700216862374388E-3</v>
      </c>
      <c r="S492">
        <v>0.2604979938280923</v>
      </c>
      <c r="T492">
        <v>1.3902827454714262</v>
      </c>
      <c r="U492">
        <v>0.20953810963955588</v>
      </c>
      <c r="V492">
        <v>0.24561975506444078</v>
      </c>
      <c r="W492">
        <v>0.10193931802666981</v>
      </c>
      <c r="X492">
        <v>1.7649692061720922E-2</v>
      </c>
      <c r="Y492">
        <v>4.2730814724285379E-3</v>
      </c>
    </row>
    <row r="493" spans="1:25" x14ac:dyDescent="0.2">
      <c r="A493" s="1077"/>
      <c r="B493" s="1444">
        <v>243</v>
      </c>
      <c r="C493" s="1081">
        <v>1.0348202213563369</v>
      </c>
      <c r="D493" s="1081">
        <v>0.99766783374944401</v>
      </c>
      <c r="E493" s="1081">
        <v>1.0240274574149311</v>
      </c>
      <c r="F493" s="1081">
        <v>0.99877143547700165</v>
      </c>
      <c r="G493" s="1081">
        <v>0.98072067873000079</v>
      </c>
      <c r="H493" s="1081">
        <v>0.98798069394419286</v>
      </c>
      <c r="I493" s="1081">
        <v>1.0312760835614758</v>
      </c>
      <c r="K493">
        <v>2.3887273433391036</v>
      </c>
      <c r="L493">
        <v>0</v>
      </c>
      <c r="M493">
        <v>1.4919313734685928E-3</v>
      </c>
      <c r="N493">
        <v>0.14596854212115692</v>
      </c>
      <c r="O493">
        <v>2.0305326322220568E-2</v>
      </c>
      <c r="P493">
        <v>2.8788861040896625E-2</v>
      </c>
      <c r="Q493">
        <v>5.4425183434401699E-3</v>
      </c>
      <c r="R493">
        <v>1.4719986515954518E-3</v>
      </c>
      <c r="S493">
        <v>0.25721243264901489</v>
      </c>
      <c r="T493">
        <v>1.3704737198117549</v>
      </c>
      <c r="U493">
        <v>0.20492029774362788</v>
      </c>
      <c r="V493">
        <v>0.24005566657290939</v>
      </c>
      <c r="W493">
        <v>9.4544457392610401E-2</v>
      </c>
      <c r="X493">
        <v>1.7029158977924706E-2</v>
      </c>
      <c r="Y493">
        <v>4.0062950854177336E-3</v>
      </c>
    </row>
    <row r="494" spans="1:25" x14ac:dyDescent="0.2">
      <c r="A494" s="1077"/>
      <c r="B494" s="1444">
        <v>244</v>
      </c>
      <c r="C494" s="1081">
        <v>1.0258815187847958</v>
      </c>
      <c r="D494" s="1081">
        <v>1.0041447798205547</v>
      </c>
      <c r="E494" s="1081">
        <v>1.0131031917150626</v>
      </c>
      <c r="F494" s="1081">
        <v>0.98898350871129459</v>
      </c>
      <c r="G494" s="1081">
        <v>1.0084552220146912</v>
      </c>
      <c r="H494" s="1081">
        <v>0.9913048232064241</v>
      </c>
      <c r="I494" s="1081">
        <v>0.96403159752224532</v>
      </c>
      <c r="K494">
        <v>2.3668017983200622</v>
      </c>
      <c r="L494">
        <v>0</v>
      </c>
      <c r="M494">
        <v>1.5425038997759169E-3</v>
      </c>
      <c r="N494">
        <v>0.14603005015129408</v>
      </c>
      <c r="O494">
        <v>2.0446030954108893E-2</v>
      </c>
      <c r="P494">
        <v>2.8257419154054365E-2</v>
      </c>
      <c r="Q494">
        <v>5.4209904134142556E-3</v>
      </c>
      <c r="R494">
        <v>1.5219646172023548E-3</v>
      </c>
      <c r="S494">
        <v>0.24193146020740672</v>
      </c>
      <c r="T494">
        <v>1.3568085984191001</v>
      </c>
      <c r="U494">
        <v>0.20666930469240019</v>
      </c>
      <c r="V494">
        <v>0.24535342618654449</v>
      </c>
      <c r="W494">
        <v>9.5191435756261822E-2</v>
      </c>
      <c r="X494">
        <v>1.657133569552844E-2</v>
      </c>
      <c r="Y494">
        <v>4.1422859725235885E-3</v>
      </c>
    </row>
    <row r="495" spans="1:25" x14ac:dyDescent="0.2">
      <c r="A495" s="1077"/>
      <c r="B495" s="1444">
        <v>245</v>
      </c>
      <c r="C495" s="1081">
        <v>0.96794412543253194</v>
      </c>
      <c r="D495" s="1081">
        <v>1.0286806763681826</v>
      </c>
      <c r="E495" s="1081">
        <v>0.97652759370855569</v>
      </c>
      <c r="F495" s="1081">
        <v>0.98991604796389598</v>
      </c>
      <c r="G495" s="1081">
        <v>1.0376818664457437</v>
      </c>
      <c r="H495" s="1081">
        <v>1.0269773642646827</v>
      </c>
      <c r="I495" s="1081">
        <v>0.97173309884023096</v>
      </c>
      <c r="K495">
        <v>2.4208487999543555</v>
      </c>
      <c r="L495">
        <v>0</v>
      </c>
      <c r="M495">
        <v>1.8173677961439087E-3</v>
      </c>
      <c r="N495">
        <v>0.15411796841002087</v>
      </c>
      <c r="O495">
        <v>2.1530166092337998E-2</v>
      </c>
      <c r="P495">
        <v>2.7998975086649679E-2</v>
      </c>
      <c r="Q495">
        <v>5.5017877680116241E-3</v>
      </c>
      <c r="R495">
        <v>1.7940091227076219E-3</v>
      </c>
      <c r="S495">
        <v>0.25809314030778435</v>
      </c>
      <c r="T495">
        <v>1.3573057232156616</v>
      </c>
      <c r="U495">
        <v>0.21891067438920955</v>
      </c>
      <c r="V495">
        <v>0.25412104016390052</v>
      </c>
      <c r="W495">
        <v>0.1026807422596126</v>
      </c>
      <c r="X495">
        <v>1.5729239497538895E-2</v>
      </c>
      <c r="Y495">
        <v>4.8827014370617875E-3</v>
      </c>
    </row>
    <row r="496" spans="1:25" x14ac:dyDescent="0.2">
      <c r="A496" s="1077"/>
      <c r="B496" s="1444">
        <v>246</v>
      </c>
      <c r="C496" s="1081">
        <v>1.0033997217038089</v>
      </c>
      <c r="D496" s="1081">
        <v>1.0358399847071282</v>
      </c>
      <c r="E496" s="1081">
        <v>1.0027982404088411</v>
      </c>
      <c r="F496" s="1081">
        <v>0.98138831083838285</v>
      </c>
      <c r="G496" s="1081">
        <v>1.0035617092024345</v>
      </c>
      <c r="H496" s="1081">
        <v>1.0116169203889502</v>
      </c>
      <c r="I496" s="1081">
        <v>0.99664507682403369</v>
      </c>
      <c r="K496">
        <v>2.3800007237318166</v>
      </c>
      <c r="L496">
        <v>0</v>
      </c>
      <c r="M496">
        <v>1.6329913244265346E-3</v>
      </c>
      <c r="N496">
        <v>0.14990092015738332</v>
      </c>
      <c r="O496">
        <v>2.075493487824014E-2</v>
      </c>
      <c r="P496">
        <v>2.8124754089449644E-2</v>
      </c>
      <c r="Q496">
        <v>5.446432928835912E-3</v>
      </c>
      <c r="R496">
        <v>1.6116837501470929E-3</v>
      </c>
      <c r="S496">
        <v>0.25340559183570271</v>
      </c>
      <c r="T496">
        <v>1.346169499716537</v>
      </c>
      <c r="U496">
        <v>0.21126471085211684</v>
      </c>
      <c r="V496">
        <v>0.24591788203686729</v>
      </c>
      <c r="W496">
        <v>9.831125561387416E-2</v>
      </c>
      <c r="X496">
        <v>1.6339577320591651E-2</v>
      </c>
      <c r="Y496">
        <v>4.3864718764949368E-3</v>
      </c>
    </row>
    <row r="497" spans="1:25" x14ac:dyDescent="0.2">
      <c r="A497" s="1077"/>
      <c r="B497" s="1444">
        <v>247</v>
      </c>
      <c r="C497" s="1081">
        <v>0.97187389931732704</v>
      </c>
      <c r="D497" s="1081">
        <v>0.97953632869061402</v>
      </c>
      <c r="E497" s="1081">
        <v>1.0240700094695834</v>
      </c>
      <c r="F497" s="1081">
        <v>1.0203887882968794</v>
      </c>
      <c r="G497" s="1081">
        <v>0.97638084627838206</v>
      </c>
      <c r="H497" s="1081">
        <v>1.0067661237174836</v>
      </c>
      <c r="I497" s="1081">
        <v>1.0057877704841849</v>
      </c>
      <c r="K497">
        <v>2.4742195488224419</v>
      </c>
      <c r="L497">
        <v>0</v>
      </c>
      <c r="M497">
        <v>1.6251666018264035E-3</v>
      </c>
      <c r="N497">
        <v>0.15906468336376334</v>
      </c>
      <c r="O497">
        <v>2.1707906394931212E-2</v>
      </c>
      <c r="P497">
        <v>2.9625060454232601E-2</v>
      </c>
      <c r="Q497">
        <v>5.8187031207549041E-3</v>
      </c>
      <c r="R497">
        <v>1.6038589538393208E-3</v>
      </c>
      <c r="S497">
        <v>0.27124322583919686</v>
      </c>
      <c r="T497">
        <v>1.4001371194989534</v>
      </c>
      <c r="U497">
        <v>0.21819272439015874</v>
      </c>
      <c r="V497">
        <v>0.24322155877243271</v>
      </c>
      <c r="W497">
        <v>0.10302432814163401</v>
      </c>
      <c r="X497">
        <v>1.7840371133983294E-2</v>
      </c>
      <c r="Y497">
        <v>4.3651753603885929E-3</v>
      </c>
    </row>
    <row r="498" spans="1:25" x14ac:dyDescent="0.2">
      <c r="A498" s="1077"/>
      <c r="B498" s="1444">
        <v>248</v>
      </c>
      <c r="C498" s="1081">
        <v>1.0109665884638506</v>
      </c>
      <c r="D498" s="1081">
        <v>1.0204494356834042</v>
      </c>
      <c r="E498" s="1081">
        <v>1.014652113482976</v>
      </c>
      <c r="F498" s="1081">
        <v>0.95183519910543923</v>
      </c>
      <c r="G498" s="1081">
        <v>0.96654172036106722</v>
      </c>
      <c r="H498" s="1081">
        <v>0.99690909188783527</v>
      </c>
      <c r="I498" s="1081">
        <v>1.0005902065531935</v>
      </c>
      <c r="K498">
        <v>2.3280714818441841</v>
      </c>
      <c r="L498">
        <v>0</v>
      </c>
      <c r="M498">
        <v>1.5634994665299775E-3</v>
      </c>
      <c r="N498">
        <v>0.14872258113807091</v>
      </c>
      <c r="O498">
        <v>2.0675298734010885E-2</v>
      </c>
      <c r="P498">
        <v>2.7698979235055876E-2</v>
      </c>
      <c r="Q498">
        <v>5.4902538722474553E-3</v>
      </c>
      <c r="R498">
        <v>1.5427976526859251E-3</v>
      </c>
      <c r="S498">
        <v>0.25324903727116244</v>
      </c>
      <c r="T498">
        <v>1.3058759761558711</v>
      </c>
      <c r="U498">
        <v>0.209723573943638</v>
      </c>
      <c r="V498">
        <v>0.23909065798886023</v>
      </c>
      <c r="W498">
        <v>9.6858357130661557E-2</v>
      </c>
      <c r="X498">
        <v>1.650848156094728E-2</v>
      </c>
      <c r="Y498">
        <v>4.1989866275015655E-3</v>
      </c>
    </row>
    <row r="499" spans="1:25" x14ac:dyDescent="0.2">
      <c r="A499" s="1077"/>
      <c r="B499" s="1444">
        <v>249</v>
      </c>
      <c r="C499" s="1081">
        <v>0.98783473077134776</v>
      </c>
      <c r="D499" s="1081">
        <v>1.0055067022257533</v>
      </c>
      <c r="E499" s="1081">
        <v>1.0346667388940503</v>
      </c>
      <c r="F499" s="1081">
        <v>0.99058639929436643</v>
      </c>
      <c r="G499" s="1081">
        <v>1.0037571442072193</v>
      </c>
      <c r="H499" s="1081">
        <v>1.036567444210734</v>
      </c>
      <c r="I499" s="1081">
        <v>1.0039598210504226</v>
      </c>
      <c r="K499">
        <v>2.4310195497062965</v>
      </c>
      <c r="L499">
        <v>0</v>
      </c>
      <c r="M499">
        <v>1.6010447003076357E-3</v>
      </c>
      <c r="N499">
        <v>0.16185241855762866</v>
      </c>
      <c r="O499">
        <v>2.1241708623135572E-2</v>
      </c>
      <c r="P499">
        <v>2.9206746698541088E-2</v>
      </c>
      <c r="Q499">
        <v>5.7537285145281801E-3</v>
      </c>
      <c r="R499">
        <v>1.580656818320625E-3</v>
      </c>
      <c r="S499">
        <v>0.26556974496231339</v>
      </c>
      <c r="T499">
        <v>1.3594717889936412</v>
      </c>
      <c r="U499">
        <v>0.21470412993079738</v>
      </c>
      <c r="V499">
        <v>0.24681894440972396</v>
      </c>
      <c r="W499">
        <v>0.10418674676707784</v>
      </c>
      <c r="X499">
        <v>1.7931953334807915E-2</v>
      </c>
      <c r="Y499">
        <v>4.30202679608862E-3</v>
      </c>
    </row>
    <row r="500" spans="1:25" x14ac:dyDescent="0.2">
      <c r="A500" s="1077"/>
      <c r="B500" s="1444">
        <v>250</v>
      </c>
      <c r="C500" s="1081">
        <v>0.96534831684645339</v>
      </c>
      <c r="D500" s="1081">
        <v>0.99069323056779723</v>
      </c>
      <c r="E500" s="1081">
        <v>1.0236476544517208</v>
      </c>
      <c r="F500" s="1081">
        <v>1.0042442483842153</v>
      </c>
      <c r="G500" s="1081">
        <v>1.0042138320226663</v>
      </c>
      <c r="H500" s="1081">
        <v>1.0118129316747264</v>
      </c>
      <c r="I500" s="1081">
        <v>1.0393134035701797</v>
      </c>
      <c r="K500">
        <v>2.4709522594168618</v>
      </c>
      <c r="L500">
        <v>0</v>
      </c>
      <c r="M500">
        <v>1.6417051609758486E-3</v>
      </c>
      <c r="N500">
        <v>0.16048949715726091</v>
      </c>
      <c r="O500">
        <v>2.1799969965628673E-2</v>
      </c>
      <c r="P500">
        <v>2.95366702099422E-2</v>
      </c>
      <c r="Q500">
        <v>5.8409325191633591E-3</v>
      </c>
      <c r="R500">
        <v>1.6202880367279932E-3</v>
      </c>
      <c r="S500">
        <v>0.28103880410483961</v>
      </c>
      <c r="T500">
        <v>1.3779750042044572</v>
      </c>
      <c r="U500">
        <v>0.21966616734383218</v>
      </c>
      <c r="V500">
        <v>0.24840706341347799</v>
      </c>
      <c r="W500">
        <v>0.1039727740349517</v>
      </c>
      <c r="X500">
        <v>1.7836903679388259E-2</v>
      </c>
      <c r="Y500">
        <v>4.4098899081658404E-3</v>
      </c>
    </row>
    <row r="501" spans="1:25" x14ac:dyDescent="0.2">
      <c r="A501" s="1077"/>
      <c r="B501" s="1444">
        <v>251</v>
      </c>
      <c r="C501" s="1081">
        <v>1.0074942682700638</v>
      </c>
      <c r="D501" s="1081">
        <v>0.96110072791582124</v>
      </c>
      <c r="E501" s="1081">
        <v>1.0119516677251283</v>
      </c>
      <c r="F501" s="1081">
        <v>0.99889841218344078</v>
      </c>
      <c r="G501" s="1081">
        <v>1.0086886701373494</v>
      </c>
      <c r="H501" s="1081">
        <v>1.0001903760127497</v>
      </c>
      <c r="I501" s="1081">
        <v>1.0195038490388033</v>
      </c>
      <c r="K501">
        <v>2.4211290585694885</v>
      </c>
      <c r="L501">
        <v>0</v>
      </c>
      <c r="M501">
        <v>1.6039164499794605E-3</v>
      </c>
      <c r="N501">
        <v>0.15133530181820021</v>
      </c>
      <c r="O501">
        <v>2.1020054131228011E-2</v>
      </c>
      <c r="P501">
        <v>2.8834691839960194E-2</v>
      </c>
      <c r="Q501">
        <v>5.5667822295839909E-3</v>
      </c>
      <c r="R501">
        <v>1.5827491585773854E-3</v>
      </c>
      <c r="S501">
        <v>0.26709960254876108</v>
      </c>
      <c r="T501">
        <v>1.3703861363713625</v>
      </c>
      <c r="U501">
        <v>0.21043720354535853</v>
      </c>
      <c r="V501">
        <v>0.24650762922970873</v>
      </c>
      <c r="W501">
        <v>9.8716602728670569E-2</v>
      </c>
      <c r="X501">
        <v>1.693849996152702E-2</v>
      </c>
      <c r="Y501">
        <v>4.3077214565277432E-3</v>
      </c>
    </row>
    <row r="502" spans="1:25" x14ac:dyDescent="0.2">
      <c r="A502" s="1077"/>
      <c r="B502" s="1444">
        <v>252</v>
      </c>
      <c r="C502" s="1081">
        <v>1.0040746507832397</v>
      </c>
      <c r="D502" s="1081">
        <v>1.0106528524449323</v>
      </c>
      <c r="E502" s="1081">
        <v>1.0239425765837338</v>
      </c>
      <c r="F502" s="1081">
        <v>0.99128153108499095</v>
      </c>
      <c r="G502" s="1081">
        <v>1.0069047981723596</v>
      </c>
      <c r="H502" s="1081">
        <v>0.95944382941307305</v>
      </c>
      <c r="I502" s="1081">
        <v>0.99922635520605407</v>
      </c>
      <c r="K502">
        <v>2.3868190897958268</v>
      </c>
      <c r="L502">
        <v>0</v>
      </c>
      <c r="M502">
        <v>1.4892241301142177E-3</v>
      </c>
      <c r="N502">
        <v>0.14560770632982092</v>
      </c>
      <c r="O502">
        <v>2.0867584463811477E-2</v>
      </c>
      <c r="P502">
        <v>2.8757554841098862E-2</v>
      </c>
      <c r="Q502">
        <v>5.5927517324249783E-3</v>
      </c>
      <c r="R502">
        <v>1.4687357921749273E-3</v>
      </c>
      <c r="S502">
        <v>0.25277750212980843</v>
      </c>
      <c r="T502">
        <v>1.360194547930637</v>
      </c>
      <c r="U502">
        <v>0.21119483148612841</v>
      </c>
      <c r="V502">
        <v>0.24637144819503501</v>
      </c>
      <c r="W502">
        <v>9.4315411408010252E-2</v>
      </c>
      <c r="X502">
        <v>1.7162824959312362E-2</v>
      </c>
      <c r="Y502">
        <v>3.9974146576763859E-3</v>
      </c>
    </row>
    <row r="503" spans="1:25" x14ac:dyDescent="0.2">
      <c r="A503" s="1077"/>
      <c r="B503" s="1444">
        <v>253</v>
      </c>
      <c r="C503" s="1081">
        <v>0.98510929481173637</v>
      </c>
      <c r="D503" s="1081">
        <v>1.0005760601103648</v>
      </c>
      <c r="E503" s="1081">
        <v>0.98723105123743282</v>
      </c>
      <c r="F503" s="1081">
        <v>0.99695021694170205</v>
      </c>
      <c r="G503" s="1081">
        <v>1.032080317300978</v>
      </c>
      <c r="H503" s="1081">
        <v>0.96723762227478727</v>
      </c>
      <c r="I503" s="1081">
        <v>1.0181783642439046</v>
      </c>
      <c r="K503">
        <v>2.4149520748756581</v>
      </c>
      <c r="L503">
        <v>0</v>
      </c>
      <c r="M503">
        <v>1.6550565574699795E-3</v>
      </c>
      <c r="N503">
        <v>0.14485603349333759</v>
      </c>
      <c r="O503">
        <v>2.129151780725496E-2</v>
      </c>
      <c r="P503">
        <v>2.8363762714668669E-2</v>
      </c>
      <c r="Q503">
        <v>5.5002550217309295E-3</v>
      </c>
      <c r="R503">
        <v>1.632470216663934E-3</v>
      </c>
      <c r="S503">
        <v>0.26423807598539339</v>
      </c>
      <c r="T503">
        <v>1.3671804288680993</v>
      </c>
      <c r="U503">
        <v>0.21513326789336823</v>
      </c>
      <c r="V503">
        <v>0.25200047378265417</v>
      </c>
      <c r="W503">
        <v>9.5889186783043465E-2</v>
      </c>
      <c r="X503">
        <v>1.6078613080816505E-2</v>
      </c>
      <c r="Y503">
        <v>4.4430457860969337E-3</v>
      </c>
    </row>
    <row r="504" spans="1:25" x14ac:dyDescent="0.2">
      <c r="A504" s="1077"/>
      <c r="B504" s="1444">
        <v>254</v>
      </c>
      <c r="C504" s="1081">
        <v>1.0143515661756211</v>
      </c>
      <c r="D504" s="1081">
        <v>0.97311227418034718</v>
      </c>
      <c r="E504" s="1081">
        <v>1.0190429381442465</v>
      </c>
      <c r="F504" s="1081">
        <v>0.99693057804939189</v>
      </c>
      <c r="G504" s="1081">
        <v>1.0187785004896983</v>
      </c>
      <c r="H504" s="1081">
        <v>1.0407354946639131</v>
      </c>
      <c r="I504" s="1081">
        <v>1.0199818607573503</v>
      </c>
      <c r="K504">
        <v>2.4280108470625588</v>
      </c>
      <c r="L504">
        <v>0</v>
      </c>
      <c r="M504">
        <v>1.6289335797432449E-3</v>
      </c>
      <c r="N504">
        <v>0.15710208708927367</v>
      </c>
      <c r="O504">
        <v>2.0825661310820174E-2</v>
      </c>
      <c r="P504">
        <v>2.8951368082858298E-2</v>
      </c>
      <c r="Q504">
        <v>5.5544168953310276E-3</v>
      </c>
      <c r="R504">
        <v>1.608273631557394E-3</v>
      </c>
      <c r="S504">
        <v>0.26730894543499112</v>
      </c>
      <c r="T504">
        <v>1.3678398396093723</v>
      </c>
      <c r="U504">
        <v>0.20903854321715956</v>
      </c>
      <c r="V504">
        <v>0.24778563096505068</v>
      </c>
      <c r="W504">
        <v>0.10205251791958048</v>
      </c>
      <c r="X504">
        <v>1.7195305828463552E-2</v>
      </c>
      <c r="Y504">
        <v>4.3771906578390692E-3</v>
      </c>
    </row>
    <row r="505" spans="1:25" x14ac:dyDescent="0.2">
      <c r="A505" s="1077"/>
      <c r="B505" s="1444">
        <v>255</v>
      </c>
      <c r="C505" s="1081">
        <v>1.0041736331610949</v>
      </c>
      <c r="D505" s="1081">
        <v>0.99088512089211278</v>
      </c>
      <c r="E505" s="1081">
        <v>0.99873625478233774</v>
      </c>
      <c r="F505" s="1081">
        <v>1.0077437111892502</v>
      </c>
      <c r="G505" s="1081">
        <v>0.99449974367638816</v>
      </c>
      <c r="H505" s="1081">
        <v>0.96034608122229703</v>
      </c>
      <c r="I505" s="1081">
        <v>1.0043289403689137</v>
      </c>
      <c r="K505">
        <v>2.4065680618925809</v>
      </c>
      <c r="L505">
        <v>0</v>
      </c>
      <c r="M505">
        <v>1.5774648779674572E-3</v>
      </c>
      <c r="N505">
        <v>0.14293680037423478</v>
      </c>
      <c r="O505">
        <v>2.0939678136007257E-2</v>
      </c>
      <c r="P505">
        <v>2.8549140466188495E-2</v>
      </c>
      <c r="Q505">
        <v>5.4725319306400781E-3</v>
      </c>
      <c r="R505">
        <v>1.5557829374628629E-3</v>
      </c>
      <c r="S505">
        <v>0.25645985185223596</v>
      </c>
      <c r="T505">
        <v>1.3822326319294103</v>
      </c>
      <c r="U505">
        <v>0.21108806146052242</v>
      </c>
      <c r="V505">
        <v>0.2443370090824695</v>
      </c>
      <c r="W505">
        <v>9.3970351045496447E-2</v>
      </c>
      <c r="X505">
        <v>1.6369359263810824E-2</v>
      </c>
      <c r="Y505">
        <v>4.2343282920664143E-3</v>
      </c>
    </row>
    <row r="506" spans="1:25" x14ac:dyDescent="0.2">
      <c r="A506" s="1077"/>
      <c r="B506" s="1444">
        <v>256</v>
      </c>
      <c r="C506" s="1081">
        <v>0.98679459948947945</v>
      </c>
      <c r="D506" s="1081">
        <v>1.0115337135044518</v>
      </c>
      <c r="E506" s="1081">
        <v>0.98842052052410145</v>
      </c>
      <c r="F506" s="1081">
        <v>1.0240180128621437</v>
      </c>
      <c r="G506" s="1081">
        <v>1.0172668244940868</v>
      </c>
      <c r="H506" s="1081">
        <v>1.0132834388910974</v>
      </c>
      <c r="I506" s="1081">
        <v>0.99621256780997403</v>
      </c>
      <c r="K506">
        <v>2.4570066521746372</v>
      </c>
      <c r="L506">
        <v>0</v>
      </c>
      <c r="M506">
        <v>1.7224954969193003E-3</v>
      </c>
      <c r="N506">
        <v>0.15139687343911815</v>
      </c>
      <c r="O506">
        <v>2.1205080749286377E-2</v>
      </c>
      <c r="P506">
        <v>2.8802345926473256E-2</v>
      </c>
      <c r="Q506">
        <v>5.48452356115993E-3</v>
      </c>
      <c r="R506">
        <v>1.7000570202838018E-3</v>
      </c>
      <c r="S506">
        <v>0.26063807253677868</v>
      </c>
      <c r="T506">
        <v>1.4043264754785503</v>
      </c>
      <c r="U506">
        <v>0.21476996321452768</v>
      </c>
      <c r="V506">
        <v>0.24935729972967235</v>
      </c>
      <c r="W506">
        <v>0.10014746422945225</v>
      </c>
      <c r="X506">
        <v>1.6273997000688458E-2</v>
      </c>
      <c r="Y506">
        <v>4.6269947855663894E-3</v>
      </c>
    </row>
    <row r="507" spans="1:25" x14ac:dyDescent="0.2">
      <c r="A507" s="1077"/>
      <c r="B507" s="1444">
        <v>257</v>
      </c>
      <c r="C507" s="1081">
        <v>0.9696783702907158</v>
      </c>
      <c r="D507" s="1081">
        <v>0.95950044199380102</v>
      </c>
      <c r="E507" s="1081">
        <v>0.97040645963168237</v>
      </c>
      <c r="F507" s="1081">
        <v>0.98940321504209616</v>
      </c>
      <c r="G507" s="1081">
        <v>0.98478497006529264</v>
      </c>
      <c r="H507" s="1081">
        <v>0.99351769140456458</v>
      </c>
      <c r="I507" s="1081">
        <v>0.97061870468669231</v>
      </c>
      <c r="K507">
        <v>2.4095969313384975</v>
      </c>
      <c r="L507">
        <v>0</v>
      </c>
      <c r="M507">
        <v>1.8047752171611526E-3</v>
      </c>
      <c r="N507">
        <v>0.15017439137882851</v>
      </c>
      <c r="O507">
        <v>2.1819157027489149E-2</v>
      </c>
      <c r="P507">
        <v>2.7802314262174131E-2</v>
      </c>
      <c r="Q507">
        <v>5.5409292419957455E-3</v>
      </c>
      <c r="R507">
        <v>1.780797174300091E-3</v>
      </c>
      <c r="S507">
        <v>0.26351240911320811</v>
      </c>
      <c r="T507">
        <v>1.3564722969838561</v>
      </c>
      <c r="U507">
        <v>0.21849767331660847</v>
      </c>
      <c r="V507">
        <v>0.24498843177241597</v>
      </c>
      <c r="W507">
        <v>0.10042576167016667</v>
      </c>
      <c r="X507">
        <v>1.554080174580289E-2</v>
      </c>
      <c r="Y507">
        <v>4.846742868814112E-3</v>
      </c>
    </row>
    <row r="508" spans="1:25" x14ac:dyDescent="0.2">
      <c r="A508" s="1077"/>
      <c r="B508" s="1444">
        <v>258</v>
      </c>
      <c r="C508" s="1081">
        <v>1.0105722496323204</v>
      </c>
      <c r="D508" s="1081">
        <v>1.0179629986244829</v>
      </c>
      <c r="E508" s="1081">
        <v>1.0054835629956713</v>
      </c>
      <c r="F508" s="1081">
        <v>1.0171968705678904</v>
      </c>
      <c r="G508" s="1081">
        <v>0.98975651127969233</v>
      </c>
      <c r="H508" s="1081">
        <v>0.98497703198956543</v>
      </c>
      <c r="I508" s="1081">
        <v>0.95983914223640265</v>
      </c>
      <c r="K508">
        <v>2.4073157583370595</v>
      </c>
      <c r="L508">
        <v>0</v>
      </c>
      <c r="M508">
        <v>1.5759527918544729E-3</v>
      </c>
      <c r="N508">
        <v>0.14579097481831096</v>
      </c>
      <c r="O508">
        <v>2.0688463314260587E-2</v>
      </c>
      <c r="P508">
        <v>2.864356142997115E-2</v>
      </c>
      <c r="Q508">
        <v>5.4436299811092036E-3</v>
      </c>
      <c r="R508">
        <v>1.5548333070958915E-3</v>
      </c>
      <c r="S508">
        <v>0.2422944981092317</v>
      </c>
      <c r="T508">
        <v>1.395347196937343</v>
      </c>
      <c r="U508">
        <v>0.20977435026122951</v>
      </c>
      <c r="V508">
        <v>0.24310970149544781</v>
      </c>
      <c r="W508">
        <v>9.5463797725187774E-2</v>
      </c>
      <c r="X508">
        <v>1.6548960038470707E-2</v>
      </c>
      <c r="Y508">
        <v>4.2317437112530812E-3</v>
      </c>
    </row>
    <row r="509" spans="1:25" x14ac:dyDescent="0.2">
      <c r="A509" s="1077"/>
      <c r="B509" s="1444">
        <v>259</v>
      </c>
      <c r="C509" s="1081">
        <v>0.98144081288637808</v>
      </c>
      <c r="D509" s="1081">
        <v>0.99558632213704623</v>
      </c>
      <c r="E509" s="1081">
        <v>0.99236119156599756</v>
      </c>
      <c r="F509" s="1081">
        <v>1.0150419164586566</v>
      </c>
      <c r="G509" s="1081">
        <v>1.0014204779961344</v>
      </c>
      <c r="H509" s="1081">
        <v>0.98854538968075045</v>
      </c>
      <c r="I509" s="1081">
        <v>0.97092281286427229</v>
      </c>
      <c r="K509">
        <v>2.4351081358351805</v>
      </c>
      <c r="L509">
        <v>0</v>
      </c>
      <c r="M509">
        <v>1.6817446989946055E-3</v>
      </c>
      <c r="N509">
        <v>0.14953732449309712</v>
      </c>
      <c r="O509">
        <v>2.1398087330849604E-2</v>
      </c>
      <c r="P509">
        <v>2.86345887038819E-2</v>
      </c>
      <c r="Q509">
        <v>5.5565265371840707E-3</v>
      </c>
      <c r="R509">
        <v>1.6592888400925299E-3</v>
      </c>
      <c r="S509">
        <v>0.25538988491851594</v>
      </c>
      <c r="T509">
        <v>1.3921031031294728</v>
      </c>
      <c r="U509">
        <v>0.21595524320184323</v>
      </c>
      <c r="V509">
        <v>0.24698095600840217</v>
      </c>
      <c r="W509">
        <v>9.8684224714439411E-2</v>
      </c>
      <c r="X509">
        <v>1.6374615418080933E-2</v>
      </c>
      <c r="Y509">
        <v>4.5160372383127347E-3</v>
      </c>
    </row>
    <row r="510" spans="1:25" x14ac:dyDescent="0.2">
      <c r="A510" s="1077"/>
      <c r="B510" s="1444">
        <v>260</v>
      </c>
      <c r="C510" s="1081">
        <v>0.98126197573472795</v>
      </c>
      <c r="D510" s="1081">
        <v>0.96234790334734499</v>
      </c>
      <c r="E510" s="1081">
        <v>1.0062284386392397</v>
      </c>
      <c r="F510" s="1081">
        <v>1.0028641262218552</v>
      </c>
      <c r="G510" s="1081">
        <v>0.98837225768434001</v>
      </c>
      <c r="H510" s="1081">
        <v>0.97487490271277399</v>
      </c>
      <c r="I510" s="1081">
        <v>1.0008084493396654</v>
      </c>
      <c r="K510">
        <v>2.4296303077081571</v>
      </c>
      <c r="L510">
        <v>0</v>
      </c>
      <c r="M510">
        <v>1.6238455809184974E-3</v>
      </c>
      <c r="N510">
        <v>0.15053862999512782</v>
      </c>
      <c r="O510">
        <v>2.1571922196967283E-2</v>
      </c>
      <c r="P510">
        <v>2.8833616987778109E-2</v>
      </c>
      <c r="Q510">
        <v>5.6803268814969964E-3</v>
      </c>
      <c r="R510">
        <v>1.6018587793878204E-3</v>
      </c>
      <c r="S510">
        <v>0.26677041395217171</v>
      </c>
      <c r="T510">
        <v>1.3757023262056471</v>
      </c>
      <c r="U510">
        <v>0.21604290268953705</v>
      </c>
      <c r="V510">
        <v>0.24471511671863225</v>
      </c>
      <c r="W510">
        <v>9.8529129376674421E-2</v>
      </c>
      <c r="X510">
        <v>1.6908177960764794E-2</v>
      </c>
      <c r="Y510">
        <v>4.359731544888939E-3</v>
      </c>
    </row>
    <row r="511" spans="1:25" x14ac:dyDescent="0.2">
      <c r="A511" s="1077"/>
      <c r="B511" s="1444">
        <v>261</v>
      </c>
      <c r="C511" s="1081">
        <v>0.97583727128702735</v>
      </c>
      <c r="D511" s="1081">
        <v>0.9855022213686585</v>
      </c>
      <c r="E511" s="1081">
        <v>0.98908988439393541</v>
      </c>
      <c r="F511" s="1081">
        <v>1.0081914756418842</v>
      </c>
      <c r="G511" s="1081">
        <v>1.0064149711452426</v>
      </c>
      <c r="H511" s="1081">
        <v>1.0138002449879611</v>
      </c>
      <c r="I511" s="1081">
        <v>0.97837271793482927</v>
      </c>
      <c r="K511">
        <v>2.4431180237190238</v>
      </c>
      <c r="L511">
        <v>0</v>
      </c>
      <c r="M511">
        <v>1.7503220653436629E-3</v>
      </c>
      <c r="N511">
        <v>0.15415538401745904</v>
      </c>
      <c r="O511">
        <v>2.1566987140797519E-2</v>
      </c>
      <c r="P511">
        <v>2.8562820526639419E-2</v>
      </c>
      <c r="Q511">
        <v>5.5819056187041615E-3</v>
      </c>
      <c r="R511">
        <v>1.7275327229037086E-3</v>
      </c>
      <c r="S511">
        <v>0.26228951442030141</v>
      </c>
      <c r="T511">
        <v>1.382636707410668</v>
      </c>
      <c r="U511">
        <v>0.2171838789331976</v>
      </c>
      <c r="V511">
        <v>0.24821092236623821</v>
      </c>
      <c r="W511">
        <v>0.10193126854269237</v>
      </c>
      <c r="X511">
        <v>1.6319649494025437E-2</v>
      </c>
      <c r="Y511">
        <v>4.701774590734841E-3</v>
      </c>
    </row>
    <row r="512" spans="1:25" x14ac:dyDescent="0.2">
      <c r="A512" s="1077"/>
      <c r="B512" s="1444">
        <v>262</v>
      </c>
      <c r="C512" s="1081">
        <v>0.99867699333806048</v>
      </c>
      <c r="D512" s="1081">
        <v>0.99592868631006137</v>
      </c>
      <c r="E512" s="1081">
        <v>1.0005103740733297</v>
      </c>
      <c r="F512" s="1081">
        <v>1.0049078697904597</v>
      </c>
      <c r="G512" s="1081">
        <v>0.97239677039069794</v>
      </c>
      <c r="H512" s="1081">
        <v>1.0076651454131165</v>
      </c>
      <c r="I512" s="1081">
        <v>0.97814282500976224</v>
      </c>
      <c r="K512">
        <v>2.4120656776463649</v>
      </c>
      <c r="L512">
        <v>0</v>
      </c>
      <c r="M512">
        <v>1.6563370271763381E-3</v>
      </c>
      <c r="N512">
        <v>0.15098891899595221</v>
      </c>
      <c r="O512">
        <v>2.1032604283541749E-2</v>
      </c>
      <c r="P512">
        <v>2.8476132947973236E-2</v>
      </c>
      <c r="Q512">
        <v>5.5066312565780423E-3</v>
      </c>
      <c r="R512">
        <v>1.6346400769775519E-3</v>
      </c>
      <c r="S512">
        <v>0.25446436859986649</v>
      </c>
      <c r="T512">
        <v>1.3783815164469966</v>
      </c>
      <c r="U512">
        <v>0.21225594562033928</v>
      </c>
      <c r="V512">
        <v>0.24089817974151478</v>
      </c>
      <c r="W512">
        <v>9.9159378339030893E-2</v>
      </c>
      <c r="X512">
        <v>1.6474746934194998E-2</v>
      </c>
      <c r="Y512">
        <v>4.4489514305763424E-3</v>
      </c>
    </row>
    <row r="513" spans="1:25" x14ac:dyDescent="0.2">
      <c r="A513" s="1077"/>
      <c r="B513" s="1444">
        <v>263</v>
      </c>
      <c r="C513" s="1081">
        <v>0.98061205226527925</v>
      </c>
      <c r="D513" s="1081">
        <v>0.99410073690245448</v>
      </c>
      <c r="E513" s="1081">
        <v>0.97229137038951163</v>
      </c>
      <c r="F513" s="1081">
        <v>0.98033270887450541</v>
      </c>
      <c r="G513" s="1081">
        <v>0.99038713740828932</v>
      </c>
      <c r="H513" s="1081">
        <v>0.97974453412238294</v>
      </c>
      <c r="I513" s="1081">
        <v>1.0201573987013524</v>
      </c>
      <c r="K513">
        <v>2.3905998410442018</v>
      </c>
      <c r="L513">
        <v>0</v>
      </c>
      <c r="M513">
        <v>1.7394652058632613E-3</v>
      </c>
      <c r="N513">
        <v>0.14554077919068795</v>
      </c>
      <c r="O513">
        <v>2.1409646343423485E-2</v>
      </c>
      <c r="P513">
        <v>2.7704986051069799E-2</v>
      </c>
      <c r="Q513">
        <v>5.4474114466317404E-3</v>
      </c>
      <c r="R513">
        <v>1.7160299815277137E-3</v>
      </c>
      <c r="S513">
        <v>0.26781955232491889</v>
      </c>
      <c r="T513">
        <v>1.3440763556487736</v>
      </c>
      <c r="U513">
        <v>0.21606799585743708</v>
      </c>
      <c r="V513">
        <v>0.2452219994803875</v>
      </c>
      <c r="W513">
        <v>9.7215665103964718E-2</v>
      </c>
      <c r="X513">
        <v>1.5448416900653265E-2</v>
      </c>
      <c r="Y513">
        <v>4.6704679205870564E-3</v>
      </c>
    </row>
    <row r="514" spans="1:25" x14ac:dyDescent="0.2">
      <c r="A514" s="1077"/>
      <c r="B514" s="1444">
        <v>264</v>
      </c>
      <c r="C514" s="1081">
        <v>0.9900890886534589</v>
      </c>
      <c r="D514" s="1081">
        <v>1.0129615651281423</v>
      </c>
      <c r="E514" s="1081">
        <v>0.97126248229059431</v>
      </c>
      <c r="F514" s="1081">
        <v>1.0016225328995927</v>
      </c>
      <c r="G514" s="1081">
        <v>1.0026806422818053</v>
      </c>
      <c r="H514" s="1081">
        <v>0.9922327585552172</v>
      </c>
      <c r="I514" s="1081">
        <v>0.9751508206760825</v>
      </c>
      <c r="K514">
        <v>2.4029058623042254</v>
      </c>
      <c r="L514">
        <v>0</v>
      </c>
      <c r="M514">
        <v>1.7412711118950524E-3</v>
      </c>
      <c r="N514">
        <v>0.14526372623854863</v>
      </c>
      <c r="O514">
        <v>2.1116532282836702E-2</v>
      </c>
      <c r="P514">
        <v>2.7856442306139796E-2</v>
      </c>
      <c r="Q514">
        <v>5.3671907890738306E-3</v>
      </c>
      <c r="R514">
        <v>1.718106818752355E-3</v>
      </c>
      <c r="S514">
        <v>0.25220564609788593</v>
      </c>
      <c r="T514">
        <v>1.3732434194320053</v>
      </c>
      <c r="U514">
        <v>0.2139962781259562</v>
      </c>
      <c r="V514">
        <v>0.24671805723135362</v>
      </c>
      <c r="W514">
        <v>9.7091299718412821E-2</v>
      </c>
      <c r="X514">
        <v>1.5394313988272266E-2</v>
      </c>
      <c r="Y514">
        <v>4.6761203868833255E-3</v>
      </c>
    </row>
    <row r="515" spans="1:25" x14ac:dyDescent="0.2">
      <c r="A515" s="1077"/>
      <c r="B515" s="1444">
        <v>265</v>
      </c>
      <c r="C515" s="1081">
        <v>1.0023058800897227</v>
      </c>
      <c r="D515" s="1081">
        <v>1.0174962260827882</v>
      </c>
      <c r="E515" s="1081">
        <v>1.0147365805879145</v>
      </c>
      <c r="F515" s="1081">
        <v>0.98773049605512098</v>
      </c>
      <c r="G515" s="1081">
        <v>0.98463010262333051</v>
      </c>
      <c r="H515" s="1081">
        <v>1.0202509616377922</v>
      </c>
      <c r="I515" s="1081">
        <v>0.96302322114969596</v>
      </c>
      <c r="K515">
        <v>2.387190159225248</v>
      </c>
      <c r="L515">
        <v>0</v>
      </c>
      <c r="M515">
        <v>1.6146796180618746E-3</v>
      </c>
      <c r="N515">
        <v>0.15367724079948139</v>
      </c>
      <c r="O515">
        <v>2.0867306274950453E-2</v>
      </c>
      <c r="P515">
        <v>2.8384077517072712E-2</v>
      </c>
      <c r="Q515">
        <v>5.5417075019971512E-3</v>
      </c>
      <c r="R515">
        <v>1.5937892751525531E-3</v>
      </c>
      <c r="S515">
        <v>0.24810457207391959</v>
      </c>
      <c r="T515">
        <v>1.355124552523127</v>
      </c>
      <c r="U515">
        <v>0.211536038710994</v>
      </c>
      <c r="V515">
        <v>0.2427114855901612</v>
      </c>
      <c r="W515">
        <v>0.10008020517511484</v>
      </c>
      <c r="X515">
        <v>1.6846094386866385E-2</v>
      </c>
      <c r="Y515">
        <v>4.3377690144718976E-3</v>
      </c>
    </row>
    <row r="516" spans="1:25" x14ac:dyDescent="0.2">
      <c r="A516" s="1077"/>
      <c r="B516" s="1444">
        <v>266</v>
      </c>
      <c r="C516" s="1081">
        <v>1.0257305971098689</v>
      </c>
      <c r="D516" s="1081">
        <v>1.0326741860661701</v>
      </c>
      <c r="E516" s="1081">
        <v>0.95414713450585253</v>
      </c>
      <c r="F516" s="1081">
        <v>1.0075547005371686</v>
      </c>
      <c r="G516" s="1081">
        <v>0.99297441643359607</v>
      </c>
      <c r="H516" s="1081">
        <v>1.0140020681776152</v>
      </c>
      <c r="I516" s="1081">
        <v>0.99706349132268224</v>
      </c>
      <c r="K516">
        <v>2.3858342858111379</v>
      </c>
      <c r="L516">
        <v>0</v>
      </c>
      <c r="M516">
        <v>1.7718145632464103E-3</v>
      </c>
      <c r="N516">
        <v>0.1403834954698833</v>
      </c>
      <c r="O516">
        <v>2.0285614942915593E-2</v>
      </c>
      <c r="P516">
        <v>2.7391937400639409E-2</v>
      </c>
      <c r="Q516">
        <v>5.0662236335284293E-3</v>
      </c>
      <c r="R516">
        <v>1.7487499782552005E-3</v>
      </c>
      <c r="S516">
        <v>0.24818395490601078</v>
      </c>
      <c r="T516">
        <v>1.3810064896934895</v>
      </c>
      <c r="U516">
        <v>0.20650376911207804</v>
      </c>
      <c r="V516">
        <v>0.24293399522374773</v>
      </c>
      <c r="W516">
        <v>9.4817733201768659E-2</v>
      </c>
      <c r="X516">
        <v>1.4524615846531549E-2</v>
      </c>
      <c r="Y516">
        <v>4.7595209655352548E-3</v>
      </c>
    </row>
    <row r="517" spans="1:25" x14ac:dyDescent="0.2">
      <c r="A517" s="1077"/>
      <c r="B517" s="1444">
        <v>267</v>
      </c>
      <c r="C517" s="1081">
        <v>1.0206562392299681</v>
      </c>
      <c r="D517" s="1081">
        <v>1.0253227442836113</v>
      </c>
      <c r="E517" s="1081">
        <v>1.0136806377710377</v>
      </c>
      <c r="F517" s="1081">
        <v>0.98864932414284579</v>
      </c>
      <c r="G517" s="1081">
        <v>1.0075024404909239</v>
      </c>
      <c r="H517" s="1081">
        <v>1.0119303051487571</v>
      </c>
      <c r="I517" s="1081">
        <v>1.0021263606348607</v>
      </c>
      <c r="K517">
        <v>2.3831855518249467</v>
      </c>
      <c r="L517">
        <v>0</v>
      </c>
      <c r="M517">
        <v>1.5735188821533524E-3</v>
      </c>
      <c r="N517">
        <v>0.1492671654518076</v>
      </c>
      <c r="O517">
        <v>2.0456933480641783E-2</v>
      </c>
      <c r="P517">
        <v>2.8417014200182202E-2</v>
      </c>
      <c r="Q517">
        <v>5.4270069863128264E-3</v>
      </c>
      <c r="R517">
        <v>1.55299367377538E-3</v>
      </c>
      <c r="S517">
        <v>0.25187486585370211</v>
      </c>
      <c r="T517">
        <v>1.356362503327661</v>
      </c>
      <c r="U517">
        <v>0.20772929214726221</v>
      </c>
      <c r="V517">
        <v>0.2455001394354682</v>
      </c>
      <c r="W517">
        <v>9.7268550319604338E-2</v>
      </c>
      <c r="X517">
        <v>1.6675868994890052E-2</v>
      </c>
      <c r="Y517">
        <v>4.226736835789612E-3</v>
      </c>
    </row>
    <row r="518" spans="1:25" x14ac:dyDescent="0.2">
      <c r="A518" s="1077"/>
      <c r="B518" s="1444">
        <v>268</v>
      </c>
      <c r="C518" s="1081">
        <v>1.0377393263020975</v>
      </c>
      <c r="D518" s="1081">
        <v>0.98771053868760084</v>
      </c>
      <c r="E518" s="1081">
        <v>1.0063279827727896</v>
      </c>
      <c r="F518" s="1081">
        <v>0.99888422669057408</v>
      </c>
      <c r="G518" s="1081">
        <v>0.9806473528510451</v>
      </c>
      <c r="H518" s="1081">
        <v>0.98281422768774784</v>
      </c>
      <c r="I518" s="1081">
        <v>0.99096071309709655</v>
      </c>
      <c r="K518">
        <v>2.3720412302934624</v>
      </c>
      <c r="L518">
        <v>0</v>
      </c>
      <c r="M518">
        <v>1.5388232414662139E-3</v>
      </c>
      <c r="N518">
        <v>0.14271534492623611</v>
      </c>
      <c r="O518">
        <v>2.0281563902532055E-2</v>
      </c>
      <c r="P518">
        <v>2.8265121495761394E-2</v>
      </c>
      <c r="Q518">
        <v>5.3410817854593028E-3</v>
      </c>
      <c r="R518">
        <v>1.518155952083053E-3</v>
      </c>
      <c r="S518">
        <v>0.24714862162204693</v>
      </c>
      <c r="T518">
        <v>1.3702449591836428</v>
      </c>
      <c r="U518">
        <v>0.20428543157288107</v>
      </c>
      <c r="V518">
        <v>0.23993493146004147</v>
      </c>
      <c r="W518">
        <v>9.3403207430122676E-2</v>
      </c>
      <c r="X518">
        <v>1.6309714162526908E-2</v>
      </c>
      <c r="Y518">
        <v>4.1319200415949678E-3</v>
      </c>
    </row>
    <row r="519" spans="1:25" x14ac:dyDescent="0.2">
      <c r="A519" s="1077"/>
      <c r="B519" s="1444">
        <v>269</v>
      </c>
      <c r="C519" s="1081">
        <v>0.9845749963353353</v>
      </c>
      <c r="D519" s="1081">
        <v>0.98981114815362659</v>
      </c>
      <c r="E519" s="1081">
        <v>0.97056826795303031</v>
      </c>
      <c r="F519" s="1081">
        <v>1.0058068032308118</v>
      </c>
      <c r="G519" s="1081">
        <v>0.98158120694031625</v>
      </c>
      <c r="H519" s="1081">
        <v>1.0069233770979473</v>
      </c>
      <c r="I519" s="1081">
        <v>1.0406668151985181</v>
      </c>
      <c r="K519">
        <v>2.436558391272118</v>
      </c>
      <c r="L519">
        <v>0</v>
      </c>
      <c r="M519">
        <v>1.7885709859829823E-3</v>
      </c>
      <c r="N519">
        <v>0.14892566871415486</v>
      </c>
      <c r="O519">
        <v>2.1342609183204127E-2</v>
      </c>
      <c r="P519">
        <v>2.8196598275661858E-2</v>
      </c>
      <c r="Q519">
        <v>5.4208070928069571E-3</v>
      </c>
      <c r="R519">
        <v>1.7651245964445466E-3</v>
      </c>
      <c r="S519">
        <v>0.27512969235762763</v>
      </c>
      <c r="T519">
        <v>1.3789651228001309</v>
      </c>
      <c r="U519">
        <v>0.21519236117741791</v>
      </c>
      <c r="V519">
        <v>0.24346720809492708</v>
      </c>
      <c r="W519">
        <v>9.958090274189943E-2</v>
      </c>
      <c r="X519">
        <v>1.5556779945468575E-2</v>
      </c>
      <c r="Y519">
        <v>4.8040872783552202E-3</v>
      </c>
    </row>
    <row r="520" spans="1:25" x14ac:dyDescent="0.2">
      <c r="A520" s="1077"/>
      <c r="B520" s="1444">
        <v>270</v>
      </c>
      <c r="C520" s="1081">
        <v>1.0028631258532623</v>
      </c>
      <c r="D520" s="1081">
        <v>1.0201623097630332</v>
      </c>
      <c r="E520" s="1081">
        <v>1.002965675030246</v>
      </c>
      <c r="F520" s="1081">
        <v>0.97794576075342765</v>
      </c>
      <c r="G520" s="1081">
        <v>1.0001380390940215</v>
      </c>
      <c r="H520" s="1081">
        <v>0.99575688512999883</v>
      </c>
      <c r="I520" s="1081">
        <v>0.98982081564546986</v>
      </c>
      <c r="K520">
        <v>2.3708229801964391</v>
      </c>
      <c r="L520">
        <v>0</v>
      </c>
      <c r="M520">
        <v>1.6130939736468829E-3</v>
      </c>
      <c r="N520">
        <v>0.14811814799485995</v>
      </c>
      <c r="O520">
        <v>2.0835941817692671E-2</v>
      </c>
      <c r="P520">
        <v>2.8043885245104351E-2</v>
      </c>
      <c r="Q520">
        <v>5.4686093023051741E-3</v>
      </c>
      <c r="R520">
        <v>1.5917107799923085E-3</v>
      </c>
      <c r="S520">
        <v>0.2523932907100766</v>
      </c>
      <c r="T520">
        <v>1.3414509002400246</v>
      </c>
      <c r="U520">
        <v>0.21137832192472808</v>
      </c>
      <c r="V520">
        <v>0.24536593824450947</v>
      </c>
      <c r="W520">
        <v>9.7132394963063348E-2</v>
      </c>
      <c r="X520">
        <v>1.6324820911907796E-2</v>
      </c>
      <c r="Y520">
        <v>4.3321120358214569E-3</v>
      </c>
    </row>
    <row r="521" spans="1:25" x14ac:dyDescent="0.2">
      <c r="A521" s="1077"/>
      <c r="B521" s="1444">
        <v>271</v>
      </c>
      <c r="C521" s="1081">
        <v>1.0071571495423448</v>
      </c>
      <c r="D521" s="1081">
        <v>1.018037984161575</v>
      </c>
      <c r="E521" s="1081">
        <v>1.0366854198543285</v>
      </c>
      <c r="F521" s="1081">
        <v>1.000864244570898</v>
      </c>
      <c r="G521" s="1081">
        <v>1.0022401475627012</v>
      </c>
      <c r="H521" s="1081">
        <v>0.99330110734107691</v>
      </c>
      <c r="I521" s="1081">
        <v>1.0127236359827065</v>
      </c>
      <c r="K521">
        <v>2.4140190389035574</v>
      </c>
      <c r="L521">
        <v>0</v>
      </c>
      <c r="M521">
        <v>1.4943835949688354E-3</v>
      </c>
      <c r="N521">
        <v>0.15190621510266961</v>
      </c>
      <c r="O521">
        <v>2.0778823701294379E-2</v>
      </c>
      <c r="P521">
        <v>2.9255708014447386E-2</v>
      </c>
      <c r="Q521">
        <v>5.6395567805836077E-3</v>
      </c>
      <c r="R521">
        <v>1.4745250515809467E-3</v>
      </c>
      <c r="S521">
        <v>0.25746556707711948</v>
      </c>
      <c r="T521">
        <v>1.3736210100342316</v>
      </c>
      <c r="U521">
        <v>0.21059189585628163</v>
      </c>
      <c r="V521">
        <v>0.24534068027239375</v>
      </c>
      <c r="W521">
        <v>9.767022380362822E-2</v>
      </c>
      <c r="X521">
        <v>1.7756045690945778E-2</v>
      </c>
      <c r="Y521">
        <v>4.0131711133507188E-3</v>
      </c>
    </row>
    <row r="522" spans="1:25" x14ac:dyDescent="0.2">
      <c r="A522" s="1077"/>
      <c r="B522" s="1444">
        <v>272</v>
      </c>
      <c r="C522" s="1081">
        <v>0.98393613754747999</v>
      </c>
      <c r="D522" s="1081">
        <v>0.98427895699715795</v>
      </c>
      <c r="E522" s="1081">
        <v>1.0172394323936431</v>
      </c>
      <c r="F522" s="1081">
        <v>0.99234379258574745</v>
      </c>
      <c r="G522" s="1081">
        <v>0.95567987382240149</v>
      </c>
      <c r="H522" s="1081">
        <v>1.0218170192987559</v>
      </c>
      <c r="I522" s="1081">
        <v>0.99727691916597627</v>
      </c>
      <c r="K522">
        <v>2.4209904274095635</v>
      </c>
      <c r="L522">
        <v>0</v>
      </c>
      <c r="M522">
        <v>1.6508089186613117E-3</v>
      </c>
      <c r="N522">
        <v>0.15831018442321143</v>
      </c>
      <c r="O522">
        <v>2.1414375492653858E-2</v>
      </c>
      <c r="P522">
        <v>2.8777790599895832E-2</v>
      </c>
      <c r="Q522">
        <v>5.7011914152998912E-3</v>
      </c>
      <c r="R522">
        <v>1.6294838767711825E-3</v>
      </c>
      <c r="S522">
        <v>0.26625244302446333</v>
      </c>
      <c r="T522">
        <v>1.3615076883617852</v>
      </c>
      <c r="U522">
        <v>0.21549405869774918</v>
      </c>
      <c r="V522">
        <v>0.23892386836636167</v>
      </c>
      <c r="W522">
        <v>0.10294601487054317</v>
      </c>
      <c r="X522">
        <v>1.7249219246131205E-2</v>
      </c>
      <c r="Y522">
        <v>4.4349179533555456E-3</v>
      </c>
    </row>
    <row r="523" spans="1:25" x14ac:dyDescent="0.2">
      <c r="A523" s="1077"/>
      <c r="B523" s="1444">
        <v>273</v>
      </c>
      <c r="C523" s="1081">
        <v>1.0191918817909351</v>
      </c>
      <c r="D523" s="1081">
        <v>1.0003730877912096</v>
      </c>
      <c r="E523" s="1081">
        <v>1.0112400138291366</v>
      </c>
      <c r="F523" s="1081">
        <v>1.0011803824925303</v>
      </c>
      <c r="G523" s="1081">
        <v>1.0143522384853703</v>
      </c>
      <c r="H523" s="1081">
        <v>0.96168030211812572</v>
      </c>
      <c r="I523" s="1081">
        <v>0.98519058725233433</v>
      </c>
      <c r="K523">
        <v>2.3857767661896405</v>
      </c>
      <c r="L523">
        <v>0</v>
      </c>
      <c r="M523">
        <v>1.5133249218107986E-3</v>
      </c>
      <c r="N523">
        <v>0.14240494761907022</v>
      </c>
      <c r="O523">
        <v>2.0596061956113774E-2</v>
      </c>
      <c r="P523">
        <v>2.855448222442044E-2</v>
      </c>
      <c r="Q523">
        <v>5.4506200311527468E-3</v>
      </c>
      <c r="R523">
        <v>1.4925534303209275E-3</v>
      </c>
      <c r="S523">
        <v>0.24688291410529387</v>
      </c>
      <c r="T523">
        <v>1.3735013199828527</v>
      </c>
      <c r="U523">
        <v>0.20801955278152795</v>
      </c>
      <c r="V523">
        <v>0.24676613660154526</v>
      </c>
      <c r="W523">
        <v>9.2930238725679348E-2</v>
      </c>
      <c r="X523">
        <v>1.6629025236246504E-2</v>
      </c>
      <c r="Y523">
        <v>4.0622384172274923E-3</v>
      </c>
    </row>
    <row r="524" spans="1:25" x14ac:dyDescent="0.2">
      <c r="A524" s="1077"/>
      <c r="B524" s="1444">
        <v>274</v>
      </c>
      <c r="C524" s="1081">
        <v>1.0036625165309991</v>
      </c>
      <c r="D524" s="1081">
        <v>0.99709290086637081</v>
      </c>
      <c r="E524" s="1081">
        <v>1.0010078289780533</v>
      </c>
      <c r="F524" s="1081">
        <v>1.0070590214413173</v>
      </c>
      <c r="G524" s="1081">
        <v>0.98774821774996768</v>
      </c>
      <c r="H524" s="1081">
        <v>0.99126318204445729</v>
      </c>
      <c r="I524" s="1081">
        <v>1.0370703468685067</v>
      </c>
      <c r="K524">
        <v>2.4234013882595793</v>
      </c>
      <c r="L524">
        <v>0</v>
      </c>
      <c r="M524">
        <v>1.6191943342569412E-3</v>
      </c>
      <c r="N524">
        <v>0.14779257664634537</v>
      </c>
      <c r="O524">
        <v>2.0923079246463954E-2</v>
      </c>
      <c r="P524">
        <v>2.871356099140333E-2</v>
      </c>
      <c r="Q524">
        <v>5.4806947468743787E-3</v>
      </c>
      <c r="R524">
        <v>1.5976329709129254E-3</v>
      </c>
      <c r="S524">
        <v>0.26685886496242578</v>
      </c>
      <c r="T524">
        <v>1.38134297952982</v>
      </c>
      <c r="U524">
        <v>0.21120329465149823</v>
      </c>
      <c r="V524">
        <v>0.24320762844022686</v>
      </c>
      <c r="W524">
        <v>9.7031560022759672E-2</v>
      </c>
      <c r="X524">
        <v>1.6520480097844611E-2</v>
      </c>
      <c r="Y524">
        <v>4.3482302872576645E-3</v>
      </c>
    </row>
    <row r="525" spans="1:25" x14ac:dyDescent="0.2">
      <c r="A525" s="1077"/>
      <c r="B525" s="1444">
        <v>275</v>
      </c>
      <c r="C525" s="1081">
        <v>1.0276979064844738</v>
      </c>
      <c r="D525" s="1081">
        <v>1.0385880105817362</v>
      </c>
      <c r="E525" s="1081">
        <v>1.0056616205287605</v>
      </c>
      <c r="F525" s="1081">
        <v>0.98961145629761371</v>
      </c>
      <c r="G525" s="1081">
        <v>1.0067840859700232</v>
      </c>
      <c r="H525" s="1081">
        <v>1.0142193470599348</v>
      </c>
      <c r="I525" s="1081">
        <v>0.99332034985874784</v>
      </c>
      <c r="K525">
        <v>2.3728823266930914</v>
      </c>
      <c r="L525">
        <v>0</v>
      </c>
      <c r="M525">
        <v>1.5880854097801819E-3</v>
      </c>
      <c r="N525">
        <v>0.14704994813537189</v>
      </c>
      <c r="O525">
        <v>2.0254246380520695E-2</v>
      </c>
      <c r="P525">
        <v>2.8164306343558425E-2</v>
      </c>
      <c r="Q525">
        <v>5.3303281108263243E-3</v>
      </c>
      <c r="R525">
        <v>1.5674169467027508E-3</v>
      </c>
      <c r="S525">
        <v>0.24650024386394681</v>
      </c>
      <c r="T525">
        <v>1.3575105198308401</v>
      </c>
      <c r="U525">
        <v>0.20627924304505416</v>
      </c>
      <c r="V525">
        <v>0.24498747841953852</v>
      </c>
      <c r="W525">
        <v>9.6278027599302762E-2</v>
      </c>
      <c r="X525">
        <v>1.628266119714292E-2</v>
      </c>
      <c r="Y525">
        <v>4.2659922300672714E-3</v>
      </c>
    </row>
    <row r="526" spans="1:25" x14ac:dyDescent="0.2">
      <c r="A526" s="1077"/>
      <c r="B526" s="1444">
        <v>276</v>
      </c>
      <c r="C526" s="1081">
        <v>1.0053248374494392</v>
      </c>
      <c r="D526" s="1081">
        <v>0.98977193018997345</v>
      </c>
      <c r="E526" s="1081">
        <v>1.0043393874025091</v>
      </c>
      <c r="F526" s="1081">
        <v>1.0200980907570143</v>
      </c>
      <c r="G526" s="1081">
        <v>0.97198564444852509</v>
      </c>
      <c r="H526" s="1081">
        <v>1.0392165711840078</v>
      </c>
      <c r="I526" s="1081">
        <v>1.021887432992084</v>
      </c>
      <c r="K526">
        <v>2.4523783871678604</v>
      </c>
      <c r="L526">
        <v>0</v>
      </c>
      <c r="M526">
        <v>1.6857724565037674E-3</v>
      </c>
      <c r="N526">
        <v>0.1555225759836821</v>
      </c>
      <c r="O526">
        <v>2.0924581180564172E-2</v>
      </c>
      <c r="P526">
        <v>2.8998784073077308E-2</v>
      </c>
      <c r="Q526">
        <v>5.4994468617293474E-3</v>
      </c>
      <c r="R526">
        <v>1.6643603641056039E-3</v>
      </c>
      <c r="S526">
        <v>0.26767518153056075</v>
      </c>
      <c r="T526">
        <v>1.3993016980681077</v>
      </c>
      <c r="U526">
        <v>0.21086539903440119</v>
      </c>
      <c r="V526">
        <v>0.24040164192390875</v>
      </c>
      <c r="W526">
        <v>0.10190504891825368</v>
      </c>
      <c r="X526">
        <v>1.6775601431122913E-2</v>
      </c>
      <c r="Y526">
        <v>4.529840254848881E-3</v>
      </c>
    </row>
    <row r="527" spans="1:25" x14ac:dyDescent="0.2">
      <c r="A527" s="1077"/>
      <c r="B527" s="1444">
        <v>277</v>
      </c>
      <c r="C527" s="1081">
        <v>0.9562704750592762</v>
      </c>
      <c r="D527" s="1081">
        <v>1.020312768341497</v>
      </c>
      <c r="E527" s="1081">
        <v>1.0366986648737879</v>
      </c>
      <c r="F527" s="1081">
        <v>1.0260456673061127</v>
      </c>
      <c r="G527" s="1081">
        <v>0.99468617595435349</v>
      </c>
      <c r="H527" s="1081">
        <v>1.0009309275735701</v>
      </c>
      <c r="I527" s="1081">
        <v>0.99975759845936518</v>
      </c>
      <c r="K527">
        <v>2.490758491838045</v>
      </c>
      <c r="L527">
        <v>0</v>
      </c>
      <c r="M527">
        <v>1.5851724667553758E-3</v>
      </c>
      <c r="N527">
        <v>0.16115800660737603</v>
      </c>
      <c r="O527">
        <v>2.1873807173400525E-2</v>
      </c>
      <c r="P527">
        <v>3.0074461024695413E-2</v>
      </c>
      <c r="Q527">
        <v>5.9368224517141613E-3</v>
      </c>
      <c r="R527">
        <v>1.5642680223170587E-3</v>
      </c>
      <c r="S527">
        <v>0.26807296011269743</v>
      </c>
      <c r="T527">
        <v>1.4081811692003248</v>
      </c>
      <c r="U527">
        <v>0.22179831397285205</v>
      </c>
      <c r="V527">
        <v>0.24735050883524393</v>
      </c>
      <c r="W527">
        <v>0.10361799994864858</v>
      </c>
      <c r="X527">
        <v>1.8457925059598344E-2</v>
      </c>
      <c r="Y527">
        <v>4.2574218959320637E-3</v>
      </c>
    </row>
    <row r="528" spans="1:25" x14ac:dyDescent="0.2">
      <c r="A528" s="1077"/>
      <c r="B528" s="1444">
        <v>278</v>
      </c>
      <c r="C528" s="1081">
        <v>0.98154996939375838</v>
      </c>
      <c r="D528" s="1081">
        <v>1.0044399838058859</v>
      </c>
      <c r="E528" s="1081">
        <v>0.97648160362784897</v>
      </c>
      <c r="F528" s="1081">
        <v>1.0026635095325913</v>
      </c>
      <c r="G528" s="1081">
        <v>1.0089262863056427</v>
      </c>
      <c r="H528" s="1081">
        <v>1.0095138625830635</v>
      </c>
      <c r="I528" s="1081">
        <v>0.95665132138213604</v>
      </c>
      <c r="K528">
        <v>2.4164985504712981</v>
      </c>
      <c r="L528">
        <v>0</v>
      </c>
      <c r="M528">
        <v>1.7711357332992452E-3</v>
      </c>
      <c r="N528">
        <v>0.15014262827412836</v>
      </c>
      <c r="O528">
        <v>2.1343374001647604E-2</v>
      </c>
      <c r="P528">
        <v>2.8033470028063574E-2</v>
      </c>
      <c r="Q528">
        <v>5.4537997488731454E-3</v>
      </c>
      <c r="R528">
        <v>1.7479774812404218E-3</v>
      </c>
      <c r="S528">
        <v>0.2521023810032334</v>
      </c>
      <c r="T528">
        <v>1.3747831851712202</v>
      </c>
      <c r="U528">
        <v>0.2158760646610324</v>
      </c>
      <c r="V528">
        <v>0.24831414571849511</v>
      </c>
      <c r="W528">
        <v>0.10003496666084703</v>
      </c>
      <c r="X528">
        <v>1.5680274972497597E-2</v>
      </c>
      <c r="Y528">
        <v>4.7574184833146013E-3</v>
      </c>
    </row>
    <row r="529" spans="1:25" x14ac:dyDescent="0.2">
      <c r="A529" s="1077"/>
      <c r="B529" s="1444">
        <v>279</v>
      </c>
      <c r="C529" s="1081">
        <v>1.0066938131866496</v>
      </c>
      <c r="D529" s="1081">
        <v>1.0399657724741043</v>
      </c>
      <c r="E529" s="1081">
        <v>0.97109723060114339</v>
      </c>
      <c r="F529" s="1081">
        <v>0.9785992348195669</v>
      </c>
      <c r="G529" s="1081">
        <v>0.9694489500303084</v>
      </c>
      <c r="H529" s="1081">
        <v>0.98880732468651145</v>
      </c>
      <c r="I529" s="1081">
        <v>0.99984448869762099</v>
      </c>
      <c r="K529">
        <v>2.351758289365582</v>
      </c>
      <c r="L529">
        <v>0</v>
      </c>
      <c r="M529">
        <v>1.697367321094166E-3</v>
      </c>
      <c r="N529">
        <v>0.14152365982236911</v>
      </c>
      <c r="O529">
        <v>2.0648260802663427E-2</v>
      </c>
      <c r="P529">
        <v>2.7274893469317808E-2</v>
      </c>
      <c r="Q529">
        <v>5.2472844300337235E-3</v>
      </c>
      <c r="R529">
        <v>1.6747088615752693E-3</v>
      </c>
      <c r="S529">
        <v>0.2507273902477421</v>
      </c>
      <c r="T529">
        <v>1.3416745660896168</v>
      </c>
      <c r="U529">
        <v>0.21046599769092195</v>
      </c>
      <c r="V529">
        <v>0.24000004514102602</v>
      </c>
      <c r="W529">
        <v>9.4601021282314984E-2</v>
      </c>
      <c r="X529">
        <v>1.5059823395513235E-2</v>
      </c>
      <c r="Y529">
        <v>4.5580054535800359E-3</v>
      </c>
    </row>
    <row r="530" spans="1:25" x14ac:dyDescent="0.2">
      <c r="A530" s="1077"/>
      <c r="B530" s="1444">
        <v>280</v>
      </c>
      <c r="C530" s="1081">
        <v>1.0174083463969472</v>
      </c>
      <c r="D530" s="1081">
        <v>1.0023835207650196</v>
      </c>
      <c r="E530" s="1081">
        <v>0.99739759548040252</v>
      </c>
      <c r="F530" s="1081">
        <v>0.95639171284093027</v>
      </c>
      <c r="G530" s="1081">
        <v>0.98066735146393569</v>
      </c>
      <c r="H530" s="1081">
        <v>1.0191266339661553</v>
      </c>
      <c r="I530" s="1081">
        <v>0.99629220305350652</v>
      </c>
      <c r="K530">
        <v>2.337045410004726</v>
      </c>
      <c r="L530">
        <v>0</v>
      </c>
      <c r="M530">
        <v>1.6526346229265288E-3</v>
      </c>
      <c r="N530">
        <v>0.14926344306373052</v>
      </c>
      <c r="O530">
        <v>2.0614025237695819E-2</v>
      </c>
      <c r="P530">
        <v>2.7454000144708762E-2</v>
      </c>
      <c r="Q530">
        <v>5.3801712158981245E-3</v>
      </c>
      <c r="R530">
        <v>1.6312296386175493E-3</v>
      </c>
      <c r="S530">
        <v>0.25452247945829298</v>
      </c>
      <c r="T530">
        <v>1.3117699727329364</v>
      </c>
      <c r="U530">
        <v>0.20833767668911177</v>
      </c>
      <c r="V530">
        <v>0.24117121298212074</v>
      </c>
      <c r="W530">
        <v>9.8207874562259212E-2</v>
      </c>
      <c r="X530">
        <v>1.5906289560669754E-2</v>
      </c>
      <c r="Y530">
        <v>4.4396693416111199E-3</v>
      </c>
    </row>
    <row r="531" spans="1:25" x14ac:dyDescent="0.2">
      <c r="A531" s="1077"/>
      <c r="B531" s="1444">
        <v>281</v>
      </c>
      <c r="C531" s="1081">
        <v>1.0030433317263443</v>
      </c>
      <c r="D531" s="1081">
        <v>0.99093542549038394</v>
      </c>
      <c r="E531" s="1081">
        <v>0.98346496795569294</v>
      </c>
      <c r="F531" s="1081">
        <v>0.99344061605535217</v>
      </c>
      <c r="G531" s="1081">
        <v>1.0044540369132997</v>
      </c>
      <c r="H531" s="1081">
        <v>1.0031696650695328</v>
      </c>
      <c r="I531" s="1081">
        <v>1.0231591552016925</v>
      </c>
      <c r="K531">
        <v>2.4048761813321011</v>
      </c>
      <c r="L531">
        <v>0</v>
      </c>
      <c r="M531">
        <v>1.7026631721493101E-3</v>
      </c>
      <c r="N531">
        <v>0.14740793857195258</v>
      </c>
      <c r="O531">
        <v>2.0952929914610154E-2</v>
      </c>
      <c r="P531">
        <v>2.809888486090837E-2</v>
      </c>
      <c r="Q531">
        <v>5.3921689436411168E-3</v>
      </c>
      <c r="R531">
        <v>1.6802594297780681E-3</v>
      </c>
      <c r="S531">
        <v>0.26515114412178126</v>
      </c>
      <c r="T531">
        <v>1.3622868161719015</v>
      </c>
      <c r="U531">
        <v>0.21127396183210911</v>
      </c>
      <c r="V531">
        <v>0.24616259181180322</v>
      </c>
      <c r="W531">
        <v>9.779966142376699E-2</v>
      </c>
      <c r="X531">
        <v>1.5799375151512893E-2</v>
      </c>
      <c r="Y531">
        <v>4.5731122704837385E-3</v>
      </c>
    </row>
    <row r="532" spans="1:25" x14ac:dyDescent="0.2">
      <c r="A532" s="1077"/>
      <c r="B532" s="1444">
        <v>282</v>
      </c>
      <c r="C532" s="1081">
        <v>1.0332967187652358</v>
      </c>
      <c r="D532" s="1081">
        <v>0.98310824749273129</v>
      </c>
      <c r="E532" s="1081">
        <v>1.0088709661577653</v>
      </c>
      <c r="F532" s="1081">
        <v>0.98871288672961632</v>
      </c>
      <c r="G532" s="1081">
        <v>1.0249245731604149</v>
      </c>
      <c r="H532" s="1081">
        <v>1.0015605998983745</v>
      </c>
      <c r="I532" s="1081">
        <v>1.0017906434169188</v>
      </c>
      <c r="K532">
        <v>2.3795142046328568</v>
      </c>
      <c r="L532">
        <v>0</v>
      </c>
      <c r="M532">
        <v>1.5682324457430687E-3</v>
      </c>
      <c r="N532">
        <v>0.14660129120100154</v>
      </c>
      <c r="O532">
        <v>2.0391344492307256E-2</v>
      </c>
      <c r="P532">
        <v>2.8328472516292173E-2</v>
      </c>
      <c r="Q532">
        <v>5.3836785217183988E-3</v>
      </c>
      <c r="R532">
        <v>1.5475643996379158E-3</v>
      </c>
      <c r="S532">
        <v>0.25308807755288903</v>
      </c>
      <c r="T532">
        <v>1.3563466257796912</v>
      </c>
      <c r="U532">
        <v>0.2051721688890886</v>
      </c>
      <c r="V532">
        <v>0.24774396770428875</v>
      </c>
      <c r="W532">
        <v>9.5802411282046834E-2</v>
      </c>
      <c r="X532">
        <v>1.6464874598293149E-2</v>
      </c>
      <c r="Y532">
        <v>4.2119601413471725E-3</v>
      </c>
    </row>
    <row r="533" spans="1:25" x14ac:dyDescent="0.2">
      <c r="A533" s="1077"/>
      <c r="B533" s="1444">
        <v>283</v>
      </c>
      <c r="C533" s="1081">
        <v>0.9845220850276154</v>
      </c>
      <c r="D533" s="1081">
        <v>1.0429666472904171</v>
      </c>
      <c r="E533" s="1081">
        <v>0.96579349027543526</v>
      </c>
      <c r="F533" s="1081">
        <v>0.99246099016102829</v>
      </c>
      <c r="G533" s="1081">
        <v>0.99323483036525617</v>
      </c>
      <c r="H533" s="1081">
        <v>1.013086369011351</v>
      </c>
      <c r="I533" s="1081">
        <v>0.98972224472134263</v>
      </c>
      <c r="K533">
        <v>2.3970047786215214</v>
      </c>
      <c r="L533">
        <v>0</v>
      </c>
      <c r="M533">
        <v>1.7966410605766245E-3</v>
      </c>
      <c r="N533">
        <v>0.14746200751363492</v>
      </c>
      <c r="O533">
        <v>2.1096361970980713E-2</v>
      </c>
      <c r="P533">
        <v>2.7613518774268323E-2</v>
      </c>
      <c r="Q533">
        <v>5.3321507175607564E-3</v>
      </c>
      <c r="R533">
        <v>1.7732321572954835E-3</v>
      </c>
      <c r="S533">
        <v>0.25542804853309065</v>
      </c>
      <c r="T533">
        <v>1.3605661501563724</v>
      </c>
      <c r="U533">
        <v>0.21518743444499339</v>
      </c>
      <c r="V533">
        <v>0.24547981639595967</v>
      </c>
      <c r="W533">
        <v>9.8889587721029307E-2</v>
      </c>
      <c r="X533">
        <v>1.5146957910574795E-2</v>
      </c>
      <c r="Y533">
        <v>4.8261533863347529E-3</v>
      </c>
    </row>
    <row r="534" spans="1:25" x14ac:dyDescent="0.2">
      <c r="A534" s="1077"/>
      <c r="B534" s="1444">
        <v>284</v>
      </c>
      <c r="C534" s="1081">
        <v>1.0123860964206919</v>
      </c>
      <c r="D534" s="1081">
        <v>1.0161820718585333</v>
      </c>
      <c r="E534" s="1081">
        <v>1.009348063783883</v>
      </c>
      <c r="F534" s="1081">
        <v>1.014309704242822</v>
      </c>
      <c r="G534" s="1081">
        <v>0.98423426000943093</v>
      </c>
      <c r="H534" s="1081">
        <v>1.0046334031706829</v>
      </c>
      <c r="I534" s="1081">
        <v>1.0155136880044182</v>
      </c>
      <c r="K534">
        <v>2.4232046649503536</v>
      </c>
      <c r="L534">
        <v>0</v>
      </c>
      <c r="M534">
        <v>1.5923108397571158E-3</v>
      </c>
      <c r="N534">
        <v>0.1490728422812678</v>
      </c>
      <c r="O534">
        <v>2.0661881117862452E-2</v>
      </c>
      <c r="P534">
        <v>2.8866056493979581E-2</v>
      </c>
      <c r="Q534">
        <v>5.4577085923808201E-3</v>
      </c>
      <c r="R534">
        <v>1.5713896462690707E-3</v>
      </c>
      <c r="S534">
        <v>0.25781656497617478</v>
      </c>
      <c r="T534">
        <v>1.3914716096270834</v>
      </c>
      <c r="U534">
        <v>0.2094115701278256</v>
      </c>
      <c r="V534">
        <v>0.24204267870639076</v>
      </c>
      <c r="W534">
        <v>9.7390121921946723E-2</v>
      </c>
      <c r="X534">
        <v>1.6757747690241648E-2</v>
      </c>
      <c r="Y534">
        <v>4.2768046086867351E-3</v>
      </c>
    </row>
    <row r="535" spans="1:25" x14ac:dyDescent="0.2">
      <c r="A535" s="1077"/>
      <c r="B535" s="1444">
        <v>285</v>
      </c>
      <c r="C535" s="1081">
        <v>0.98023957909242243</v>
      </c>
      <c r="D535" s="1081">
        <v>1.0227370617929648</v>
      </c>
      <c r="E535" s="1081">
        <v>0.96637589014878833</v>
      </c>
      <c r="F535" s="1081">
        <v>0.99427336484604423</v>
      </c>
      <c r="G535" s="1081">
        <v>0.97039844541134801</v>
      </c>
      <c r="H535" s="1081">
        <v>0.99477586062021739</v>
      </c>
      <c r="I535" s="1081">
        <v>0.9924798151670694</v>
      </c>
      <c r="K535">
        <v>2.3975952875552369</v>
      </c>
      <c r="L535">
        <v>0</v>
      </c>
      <c r="M535">
        <v>1.7773906475253398E-3</v>
      </c>
      <c r="N535">
        <v>0.14610404597231097</v>
      </c>
      <c r="O535">
        <v>2.1280418978493285E-2</v>
      </c>
      <c r="P535">
        <v>2.7660323581783969E-2</v>
      </c>
      <c r="Q535">
        <v>5.3818811764437336E-3</v>
      </c>
      <c r="R535">
        <v>1.7538062997171384E-3</v>
      </c>
      <c r="S535">
        <v>0.25820453208734767</v>
      </c>
      <c r="T535">
        <v>1.36306317229578</v>
      </c>
      <c r="U535">
        <v>0.21612957269480698</v>
      </c>
      <c r="V535">
        <v>0.24185089102951218</v>
      </c>
      <c r="W535">
        <v>9.79440918982597E-2</v>
      </c>
      <c r="X535">
        <v>1.5226659582565997E-2</v>
      </c>
      <c r="Y535">
        <v>4.7732826057387285E-3</v>
      </c>
    </row>
    <row r="536" spans="1:25" x14ac:dyDescent="0.2">
      <c r="A536" s="1077"/>
      <c r="B536" s="1444">
        <v>286</v>
      </c>
      <c r="C536" s="1081">
        <v>0.97630215982338964</v>
      </c>
      <c r="D536" s="1081">
        <v>0.99047044793416972</v>
      </c>
      <c r="E536" s="1081">
        <v>1.0049462612400921</v>
      </c>
      <c r="F536" s="1081">
        <v>0.97802098220188705</v>
      </c>
      <c r="G536" s="1081">
        <v>0.99938789954705975</v>
      </c>
      <c r="H536" s="1081">
        <v>0.96687321512047486</v>
      </c>
      <c r="I536" s="1081">
        <v>0.98395017969683818</v>
      </c>
      <c r="K536">
        <v>2.3876621839913224</v>
      </c>
      <c r="L536">
        <v>0</v>
      </c>
      <c r="M536">
        <v>1.6127612324246881E-3</v>
      </c>
      <c r="N536">
        <v>0.1489163285009294</v>
      </c>
      <c r="O536">
        <v>2.1543679063242033E-2</v>
      </c>
      <c r="P536">
        <v>2.8279157083247627E-2</v>
      </c>
      <c r="Q536">
        <v>5.6656058034604958E-3</v>
      </c>
      <c r="R536">
        <v>1.5907437953206652E-3</v>
      </c>
      <c r="S536">
        <v>0.25909524458567396</v>
      </c>
      <c r="T536">
        <v>1.3415960101028364</v>
      </c>
      <c r="U536">
        <v>0.21713595203270972</v>
      </c>
      <c r="V536">
        <v>0.24692353337189019</v>
      </c>
      <c r="W536">
        <v>9.7541292731719173E-2</v>
      </c>
      <c r="X536">
        <v>1.6657917930403627E-2</v>
      </c>
      <c r="Y536">
        <v>4.3294802223116562E-3</v>
      </c>
    </row>
    <row r="537" spans="1:25" x14ac:dyDescent="0.2">
      <c r="A537" s="1077"/>
      <c r="B537" s="1444">
        <v>287</v>
      </c>
      <c r="C537" s="1081">
        <v>1.0348124383659318</v>
      </c>
      <c r="D537" s="1081">
        <v>0.98317374329564167</v>
      </c>
      <c r="E537" s="1081">
        <v>0.99422224564155115</v>
      </c>
      <c r="F537" s="1081">
        <v>0.99268525361498572</v>
      </c>
      <c r="G537" s="1081">
        <v>1.0282163078509925</v>
      </c>
      <c r="H537" s="1081">
        <v>1.020428431985168</v>
      </c>
      <c r="I537" s="1081">
        <v>0.98682088019781988</v>
      </c>
      <c r="K537">
        <v>2.3830807975607082</v>
      </c>
      <c r="L537">
        <v>0</v>
      </c>
      <c r="M537">
        <v>1.6446458139166937E-3</v>
      </c>
      <c r="N537">
        <v>0.14712572370335422</v>
      </c>
      <c r="O537">
        <v>2.0351745906331924E-2</v>
      </c>
      <c r="P537">
        <v>2.8056326451172963E-2</v>
      </c>
      <c r="Q537">
        <v>5.294751296197951E-3</v>
      </c>
      <c r="R537">
        <v>1.62337147607754E-3</v>
      </c>
      <c r="S537">
        <v>0.25035336256579971</v>
      </c>
      <c r="T537">
        <v>1.3614814347465851</v>
      </c>
      <c r="U537">
        <v>0.20482324752885156</v>
      </c>
      <c r="V537">
        <v>0.24827238194154799</v>
      </c>
      <c r="W537">
        <v>9.6984830279573997E-2</v>
      </c>
      <c r="X537">
        <v>1.5939985465510464E-2</v>
      </c>
      <c r="Y537">
        <v>4.4182820136197979E-3</v>
      </c>
    </row>
    <row r="538" spans="1:25" x14ac:dyDescent="0.2">
      <c r="A538" s="1077"/>
      <c r="B538" s="1444">
        <v>288</v>
      </c>
      <c r="C538" s="1081">
        <v>0.99233251807158185</v>
      </c>
      <c r="D538" s="1081">
        <v>1.0074134238674088</v>
      </c>
      <c r="E538" s="1081">
        <v>0.95833991309919553</v>
      </c>
      <c r="F538" s="1081">
        <v>1.0003091035416809</v>
      </c>
      <c r="G538" s="1081">
        <v>1.0025397559771057</v>
      </c>
      <c r="H538" s="1081">
        <v>0.98991260726907815</v>
      </c>
      <c r="I538" s="1081">
        <v>1.0043678842124446</v>
      </c>
      <c r="K538">
        <v>2.4038160384521912</v>
      </c>
      <c r="L538">
        <v>0</v>
      </c>
      <c r="M538">
        <v>1.7822468900883721E-3</v>
      </c>
      <c r="N538">
        <v>0.1429701289186594</v>
      </c>
      <c r="O538">
        <v>2.1085686380344984E-2</v>
      </c>
      <c r="P538">
        <v>2.7642321373326065E-2</v>
      </c>
      <c r="Q538">
        <v>5.2888273010382467E-3</v>
      </c>
      <c r="R538">
        <v>1.7584819223743101E-3</v>
      </c>
      <c r="S538">
        <v>0.25958302369323549</v>
      </c>
      <c r="T538">
        <v>1.3711651697536493</v>
      </c>
      <c r="U538">
        <v>0.21346822621945374</v>
      </c>
      <c r="V538">
        <v>0.24659963532287005</v>
      </c>
      <c r="W538">
        <v>9.6315985651404895E-2</v>
      </c>
      <c r="X538">
        <v>1.4934790696628588E-2</v>
      </c>
      <c r="Y538">
        <v>4.7860081092929527E-3</v>
      </c>
    </row>
    <row r="539" spans="1:25" x14ac:dyDescent="0.2">
      <c r="A539" s="1077"/>
      <c r="B539" s="1444">
        <v>289</v>
      </c>
      <c r="C539" s="1081">
        <v>1.0133237191229119</v>
      </c>
      <c r="D539" s="1081">
        <v>0.9665634046093784</v>
      </c>
      <c r="E539" s="1081">
        <v>1.0466218956550344</v>
      </c>
      <c r="F539" s="1081">
        <v>1.0052010136242582</v>
      </c>
      <c r="G539" s="1081">
        <v>0.97837712847691538</v>
      </c>
      <c r="H539" s="1081">
        <v>1.0312285509992585</v>
      </c>
      <c r="I539" s="1081">
        <v>1.0326380164131606</v>
      </c>
      <c r="K539">
        <v>2.4423688009054354</v>
      </c>
      <c r="L539">
        <v>0</v>
      </c>
      <c r="M539">
        <v>1.5276885689923295E-3</v>
      </c>
      <c r="N539">
        <v>0.16008889346731789</v>
      </c>
      <c r="O539">
        <v>2.089606580461624E-2</v>
      </c>
      <c r="P539">
        <v>2.9665814423046544E-2</v>
      </c>
      <c r="Q539">
        <v>5.7270102490404448E-3</v>
      </c>
      <c r="R539">
        <v>1.5081340958665354E-3</v>
      </c>
      <c r="S539">
        <v>0.27122482263376829</v>
      </c>
      <c r="T539">
        <v>1.3797906949161278</v>
      </c>
      <c r="U539">
        <v>0.20934406720997834</v>
      </c>
      <c r="V539">
        <v>0.24085927721645378</v>
      </c>
      <c r="W539">
        <v>0.10234476873506189</v>
      </c>
      <c r="X539">
        <v>1.8342296870470148E-2</v>
      </c>
      <c r="Y539">
        <v>4.1046438526776211E-3</v>
      </c>
    </row>
    <row r="540" spans="1:25" x14ac:dyDescent="0.2">
      <c r="A540" s="1077"/>
      <c r="B540" s="1444">
        <v>290</v>
      </c>
      <c r="C540" s="1081">
        <v>1.0330319760868663</v>
      </c>
      <c r="D540" s="1081">
        <v>1.004269692337016</v>
      </c>
      <c r="E540" s="1081">
        <v>0.9951482476885507</v>
      </c>
      <c r="F540" s="1081">
        <v>0.99805142376483846</v>
      </c>
      <c r="G540" s="1081">
        <v>1.0013699327778833</v>
      </c>
      <c r="H540" s="1081">
        <v>1.0240282072138331</v>
      </c>
      <c r="I540" s="1081">
        <v>1.0113109818193557</v>
      </c>
      <c r="K540">
        <v>2.3909947657398245</v>
      </c>
      <c r="L540">
        <v>0</v>
      </c>
      <c r="M540">
        <v>1.6424331502532031E-3</v>
      </c>
      <c r="N540">
        <v>0.14734636151830222</v>
      </c>
      <c r="O540">
        <v>2.0292419818058557E-2</v>
      </c>
      <c r="P540">
        <v>2.8177809663094331E-2</v>
      </c>
      <c r="Q540">
        <v>5.28424766651606E-3</v>
      </c>
      <c r="R540">
        <v>1.6212621196035157E-3</v>
      </c>
      <c r="S540">
        <v>0.25460314051705407</v>
      </c>
      <c r="T540">
        <v>1.368861177948379</v>
      </c>
      <c r="U540">
        <v>0.20517932818516976</v>
      </c>
      <c r="V540">
        <v>0.24378759044459847</v>
      </c>
      <c r="W540">
        <v>9.7076606900095105E-2</v>
      </c>
      <c r="X540">
        <v>1.5994713068557997E-2</v>
      </c>
      <c r="Y540">
        <v>4.4125410406466777E-3</v>
      </c>
    </row>
    <row r="541" spans="1:25" x14ac:dyDescent="0.2">
      <c r="A541" s="1077"/>
      <c r="B541" s="1444">
        <v>291</v>
      </c>
      <c r="C541" s="1081">
        <v>0.9865332971579357</v>
      </c>
      <c r="D541" s="1081">
        <v>0.99500343133960123</v>
      </c>
      <c r="E541" s="1081">
        <v>0.99504191107256845</v>
      </c>
      <c r="F541" s="1081">
        <v>0.99118230555601705</v>
      </c>
      <c r="G541" s="1081">
        <v>1.0156103358098882</v>
      </c>
      <c r="H541" s="1081">
        <v>0.96949332771733632</v>
      </c>
      <c r="I541" s="1081">
        <v>0.99991232136734298</v>
      </c>
      <c r="K541">
        <v>2.4018979801983664</v>
      </c>
      <c r="L541">
        <v>0</v>
      </c>
      <c r="M541">
        <v>1.6319393562422954E-3</v>
      </c>
      <c r="N541">
        <v>0.14625038899458584</v>
      </c>
      <c r="O541">
        <v>2.1292176955568579E-2</v>
      </c>
      <c r="P541">
        <v>2.8325607834277906E-2</v>
      </c>
      <c r="Q541">
        <v>5.5439952012681709E-3</v>
      </c>
      <c r="R541">
        <v>1.6097203101444551E-3</v>
      </c>
      <c r="S541">
        <v>0.26011253502945342</v>
      </c>
      <c r="T541">
        <v>1.3594376733928524</v>
      </c>
      <c r="U541">
        <v>0.21484976153929233</v>
      </c>
      <c r="V541">
        <v>0.24906673446185051</v>
      </c>
      <c r="W541">
        <v>9.6360657824369325E-2</v>
      </c>
      <c r="X541">
        <v>1.6299539970887861E-2</v>
      </c>
      <c r="Y541">
        <v>4.3811280400555819E-3</v>
      </c>
    </row>
    <row r="542" spans="1:25" x14ac:dyDescent="0.2">
      <c r="A542" s="1077"/>
      <c r="B542" s="1444">
        <v>292</v>
      </c>
      <c r="C542" s="1081">
        <v>0.99759204856831152</v>
      </c>
      <c r="D542" s="1081">
        <v>1.0067195943836267</v>
      </c>
      <c r="E542" s="1081">
        <v>0.96548944755175747</v>
      </c>
      <c r="F542" s="1081">
        <v>0.95837131087325189</v>
      </c>
      <c r="G542" s="1081">
        <v>1.001478342105365</v>
      </c>
      <c r="H542" s="1081">
        <v>1.0034784429026176</v>
      </c>
      <c r="I542" s="1081">
        <v>1.0131261799875815</v>
      </c>
      <c r="K542">
        <v>2.3496192490928576</v>
      </c>
      <c r="L542">
        <v>0</v>
      </c>
      <c r="M542">
        <v>1.771117624777758E-3</v>
      </c>
      <c r="N542">
        <v>0.14521496885228802</v>
      </c>
      <c r="O542">
        <v>2.0982416964808247E-2</v>
      </c>
      <c r="P542">
        <v>2.7040415804348322E-2</v>
      </c>
      <c r="Q542">
        <v>5.3016990730821818E-3</v>
      </c>
      <c r="R542">
        <v>1.7478203256442431E-3</v>
      </c>
      <c r="S542">
        <v>0.26178359168813436</v>
      </c>
      <c r="T542">
        <v>1.3138263046855705</v>
      </c>
      <c r="U542">
        <v>0.21236711789141335</v>
      </c>
      <c r="V542">
        <v>0.24606021974453329</v>
      </c>
      <c r="W542">
        <v>9.7400784650494968E-2</v>
      </c>
      <c r="X542">
        <v>1.4908036279731146E-2</v>
      </c>
      <c r="Y542">
        <v>4.7569907575881303E-3</v>
      </c>
    </row>
    <row r="543" spans="1:25" x14ac:dyDescent="0.2">
      <c r="A543" s="1077"/>
      <c r="B543" s="1444">
        <v>293</v>
      </c>
      <c r="C543" s="1081">
        <v>0.99475769729478714</v>
      </c>
      <c r="D543" s="1081">
        <v>0.9808160652672484</v>
      </c>
      <c r="E543" s="1081">
        <v>1.001383289043011</v>
      </c>
      <c r="F543" s="1081">
        <v>1.0291140700586783</v>
      </c>
      <c r="G543" s="1081">
        <v>0.99863868739532669</v>
      </c>
      <c r="H543" s="1081">
        <v>1.0250879673262616</v>
      </c>
      <c r="I543" s="1081">
        <v>1.0285526922896022</v>
      </c>
      <c r="K543">
        <v>2.476502651831451</v>
      </c>
      <c r="L543">
        <v>0</v>
      </c>
      <c r="M543">
        <v>1.6942434071013687E-3</v>
      </c>
      <c r="N543">
        <v>0.15488715541671572</v>
      </c>
      <c r="O543">
        <v>2.1187207794922093E-2</v>
      </c>
      <c r="P543">
        <v>2.9267390361943414E-2</v>
      </c>
      <c r="Q543">
        <v>5.551975444488373E-3</v>
      </c>
      <c r="R543">
        <v>1.6724271176522421E-3</v>
      </c>
      <c r="S543">
        <v>0.27224759364136825</v>
      </c>
      <c r="T543">
        <v>1.4116033753121238</v>
      </c>
      <c r="U543">
        <v>0.21309522352672602</v>
      </c>
      <c r="V543">
        <v>0.24562251838566149</v>
      </c>
      <c r="W543">
        <v>0.10166675785497942</v>
      </c>
      <c r="X543">
        <v>1.6843475083170897E-2</v>
      </c>
      <c r="Y543">
        <v>4.5517952987982387E-3</v>
      </c>
    </row>
    <row r="544" spans="1:25" x14ac:dyDescent="0.2">
      <c r="A544" s="1077"/>
      <c r="B544" s="1444">
        <v>294</v>
      </c>
      <c r="C544" s="1081">
        <v>1.0179220479418343</v>
      </c>
      <c r="D544" s="1081">
        <v>1.0397278262965663</v>
      </c>
      <c r="E544" s="1081">
        <v>1.0003801574719606</v>
      </c>
      <c r="F544" s="1081">
        <v>1.0117479166503547</v>
      </c>
      <c r="G544" s="1081">
        <v>0.97287229233588712</v>
      </c>
      <c r="H544" s="1081">
        <v>0.99765611888858652</v>
      </c>
      <c r="I544" s="1081">
        <v>1.0100132859392212</v>
      </c>
      <c r="K544">
        <v>2.4027456362195583</v>
      </c>
      <c r="L544">
        <v>0</v>
      </c>
      <c r="M544">
        <v>1.5941495819890657E-3</v>
      </c>
      <c r="N544">
        <v>0.14524351388610121</v>
      </c>
      <c r="O544">
        <v>2.0440413288663261E-2</v>
      </c>
      <c r="P544">
        <v>2.8490916703985691E-2</v>
      </c>
      <c r="Q544">
        <v>5.3508870790137048E-3</v>
      </c>
      <c r="R544">
        <v>1.5730577444507472E-3</v>
      </c>
      <c r="S544">
        <v>0.25148425803676855</v>
      </c>
      <c r="T544">
        <v>1.3877608145475007</v>
      </c>
      <c r="U544">
        <v>0.20824255145764259</v>
      </c>
      <c r="V544">
        <v>0.23979863298091109</v>
      </c>
      <c r="W544">
        <v>9.5393562220087671E-2</v>
      </c>
      <c r="X544">
        <v>1.6279833234373035E-2</v>
      </c>
      <c r="Y544">
        <v>4.2813446220488416E-3</v>
      </c>
    </row>
    <row r="545" spans="1:25" x14ac:dyDescent="0.2">
      <c r="A545" s="1077"/>
      <c r="B545" s="1444">
        <v>295</v>
      </c>
      <c r="C545" s="1081">
        <v>0.98541485006625773</v>
      </c>
      <c r="D545" s="1081">
        <v>1.0148937682956054</v>
      </c>
      <c r="E545" s="1081">
        <v>0.96012342899056136</v>
      </c>
      <c r="F545" s="1081">
        <v>0.97911770536817699</v>
      </c>
      <c r="G545" s="1081">
        <v>1.0386333118766142</v>
      </c>
      <c r="H545" s="1081">
        <v>0.99694870294547044</v>
      </c>
      <c r="I545" s="1081">
        <v>1.0247264142946759</v>
      </c>
      <c r="K545">
        <v>2.3930951066536768</v>
      </c>
      <c r="L545">
        <v>0</v>
      </c>
      <c r="M545">
        <v>1.7979551353530985E-3</v>
      </c>
      <c r="N545">
        <v>0.14502567300812008</v>
      </c>
      <c r="O545">
        <v>2.1200367940257477E-2</v>
      </c>
      <c r="P545">
        <v>2.7493385779325731E-2</v>
      </c>
      <c r="Q545">
        <v>5.3273531816364975E-3</v>
      </c>
      <c r="R545">
        <v>1.7741499122392976E-3</v>
      </c>
      <c r="S545">
        <v>0.26635317821182675</v>
      </c>
      <c r="T545">
        <v>1.3421546851399124</v>
      </c>
      <c r="U545">
        <v>0.21497293034713807</v>
      </c>
      <c r="V545">
        <v>0.25320480444402149</v>
      </c>
      <c r="W545">
        <v>9.7593854532237345E-2</v>
      </c>
      <c r="X545">
        <v>1.4964028079560997E-2</v>
      </c>
      <c r="Y545">
        <v>4.8286512127539809E-3</v>
      </c>
    </row>
    <row r="546" spans="1:25" x14ac:dyDescent="0.2">
      <c r="A546" s="1077"/>
      <c r="B546" s="1444">
        <v>296</v>
      </c>
      <c r="C546" s="1081">
        <v>1.00037006618939</v>
      </c>
      <c r="D546" s="1081">
        <v>1.0157653039751136</v>
      </c>
      <c r="E546" s="1081">
        <v>0.98848324456855541</v>
      </c>
      <c r="F546" s="1081">
        <v>1.0042014649927111</v>
      </c>
      <c r="G546" s="1081">
        <v>1.0304687156589254</v>
      </c>
      <c r="H546" s="1081">
        <v>0.97217529195052332</v>
      </c>
      <c r="I546" s="1081">
        <v>1.0060336083816761</v>
      </c>
      <c r="K546">
        <v>2.4080774425007325</v>
      </c>
      <c r="L546">
        <v>0</v>
      </c>
      <c r="M546">
        <v>1.6284804139621526E-3</v>
      </c>
      <c r="N546">
        <v>0.14308077131788544</v>
      </c>
      <c r="O546">
        <v>2.0898157800009795E-2</v>
      </c>
      <c r="P546">
        <v>2.8347271624766558E-2</v>
      </c>
      <c r="Q546">
        <v>5.405483396831166E-3</v>
      </c>
      <c r="R546">
        <v>1.606369628087595E-3</v>
      </c>
      <c r="S546">
        <v>0.25559384829636012</v>
      </c>
      <c r="T546">
        <v>1.3771516497114964</v>
      </c>
      <c r="U546">
        <v>0.21185565323013955</v>
      </c>
      <c r="V546">
        <v>0.25075441766102624</v>
      </c>
      <c r="W546">
        <v>9.4642888099351827E-2</v>
      </c>
      <c r="X546">
        <v>1.5997403560687042E-2</v>
      </c>
      <c r="Y546">
        <v>4.3720085880488511E-3</v>
      </c>
    </row>
    <row r="547" spans="1:25" x14ac:dyDescent="0.2">
      <c r="A547" s="1077"/>
      <c r="B547" s="1444">
        <v>297</v>
      </c>
      <c r="C547" s="1081">
        <v>0.99408310942311218</v>
      </c>
      <c r="D547" s="1081">
        <v>1.0396505195892101</v>
      </c>
      <c r="E547" s="1081">
        <v>1.0088093540808112</v>
      </c>
      <c r="F547" s="1081">
        <v>0.96843414931984773</v>
      </c>
      <c r="G547" s="1081">
        <v>1.0378403380650512</v>
      </c>
      <c r="H547" s="1081">
        <v>1.0165836289316676</v>
      </c>
      <c r="I547" s="1081">
        <v>1.0118448881653568</v>
      </c>
      <c r="K547">
        <v>2.3821279669509474</v>
      </c>
      <c r="L547">
        <v>0</v>
      </c>
      <c r="M547">
        <v>1.6345240766781261E-3</v>
      </c>
      <c r="N547">
        <v>0.15280008617373239</v>
      </c>
      <c r="O547">
        <v>2.0936517396291179E-2</v>
      </c>
      <c r="P547">
        <v>2.8209865217258264E-2</v>
      </c>
      <c r="Q547">
        <v>5.5272732364459965E-3</v>
      </c>
      <c r="R547">
        <v>1.6133007025946667E-3</v>
      </c>
      <c r="S547">
        <v>0.25968571977039795</v>
      </c>
      <c r="T547">
        <v>1.3285263398175808</v>
      </c>
      <c r="U547">
        <v>0.21326538595465519</v>
      </c>
      <c r="V547">
        <v>0.25233156826952002</v>
      </c>
      <c r="W547">
        <v>9.9856890165568549E-2</v>
      </c>
      <c r="X547">
        <v>1.6618671635551065E-2</v>
      </c>
      <c r="Y547">
        <v>4.3908726880290032E-3</v>
      </c>
    </row>
    <row r="548" spans="1:25" x14ac:dyDescent="0.2">
      <c r="A548" s="1077"/>
      <c r="B548" s="1444">
        <v>298</v>
      </c>
      <c r="C548" s="1081">
        <v>0.95863005762315467</v>
      </c>
      <c r="D548" s="1081">
        <v>0.97331360733129679</v>
      </c>
      <c r="E548" s="1081">
        <v>1.0086896671254437</v>
      </c>
      <c r="F548" s="1081">
        <v>1.0147266967388362</v>
      </c>
      <c r="G548" s="1081">
        <v>1.0052345059642096</v>
      </c>
      <c r="H548" s="1081">
        <v>1.0097595105455606</v>
      </c>
      <c r="I548" s="1081">
        <v>0.98637155184491188</v>
      </c>
      <c r="K548">
        <v>2.4759893669014614</v>
      </c>
      <c r="L548">
        <v>0</v>
      </c>
      <c r="M548">
        <v>1.7086196234676854E-3</v>
      </c>
      <c r="N548">
        <v>0.15965484925747875</v>
      </c>
      <c r="O548">
        <v>2.2027948725340332E-2</v>
      </c>
      <c r="P548">
        <v>2.929435084961677E-2</v>
      </c>
      <c r="Q548">
        <v>5.814716592614789E-3</v>
      </c>
      <c r="R548">
        <v>1.6862842275081498E-3</v>
      </c>
      <c r="S548">
        <v>0.27068009716950925</v>
      </c>
      <c r="T548">
        <v>1.3920291813473293</v>
      </c>
      <c r="U548">
        <v>0.22115216046442696</v>
      </c>
      <c r="V548">
        <v>0.24908680424010343</v>
      </c>
      <c r="W548">
        <v>0.10434394031525282</v>
      </c>
      <c r="X548">
        <v>1.733814355191755E-2</v>
      </c>
      <c r="Y548">
        <v>4.5895097838309831E-3</v>
      </c>
    </row>
    <row r="549" spans="1:25" x14ac:dyDescent="0.2">
      <c r="A549" s="1077"/>
      <c r="B549" s="1444">
        <v>299</v>
      </c>
      <c r="C549" s="1081">
        <v>1.0011039173944423</v>
      </c>
      <c r="D549" s="1081">
        <v>1.0320539399510591</v>
      </c>
      <c r="E549" s="1081">
        <v>0.96524000534063303</v>
      </c>
      <c r="F549" s="1081">
        <v>0.99137861508785752</v>
      </c>
      <c r="G549" s="1081">
        <v>1.0140093878570604</v>
      </c>
      <c r="H549" s="1081">
        <v>1.0193871750788852</v>
      </c>
      <c r="I549" s="1081">
        <v>1.0390831304986241</v>
      </c>
      <c r="K549">
        <v>2.4021933700603797</v>
      </c>
      <c r="L549">
        <v>0</v>
      </c>
      <c r="M549">
        <v>1.7840259465094028E-3</v>
      </c>
      <c r="N549">
        <v>0.1461932607787067</v>
      </c>
      <c r="O549">
        <v>2.0794633406206051E-2</v>
      </c>
      <c r="P549">
        <v>2.7703617593231894E-2</v>
      </c>
      <c r="Q549">
        <v>5.2529082935013384E-3</v>
      </c>
      <c r="R549">
        <v>1.7609250827209427E-3</v>
      </c>
      <c r="S549">
        <v>0.26564882864835992</v>
      </c>
      <c r="T549">
        <v>1.3590705387542334</v>
      </c>
      <c r="U549">
        <v>0.21162128794759572</v>
      </c>
      <c r="V549">
        <v>0.24798391724528857</v>
      </c>
      <c r="W549">
        <v>9.8071902396809005E-2</v>
      </c>
      <c r="X549">
        <v>1.5082918273864671E-2</v>
      </c>
      <c r="Y549">
        <v>4.7926575863688967E-3</v>
      </c>
    </row>
    <row r="550" spans="1:25" x14ac:dyDescent="0.2">
      <c r="A550" s="1077"/>
      <c r="B550" s="1444">
        <v>300</v>
      </c>
      <c r="C550" s="1081">
        <v>0.96409465739307321</v>
      </c>
      <c r="D550" s="1081">
        <v>1.0052036844937671</v>
      </c>
      <c r="E550" s="1081">
        <v>1.0017785749936536</v>
      </c>
      <c r="F550" s="1081">
        <v>0.97303041086317388</v>
      </c>
      <c r="G550" s="1081">
        <v>1.021256255286396</v>
      </c>
      <c r="H550" s="1081">
        <v>1.0070349956822102</v>
      </c>
      <c r="I550" s="1081">
        <v>1.0141426434491476</v>
      </c>
      <c r="K550">
        <v>2.4137910319279521</v>
      </c>
      <c r="L550">
        <v>0</v>
      </c>
      <c r="M550">
        <v>1.706687662729772E-3</v>
      </c>
      <c r="N550">
        <v>0.15617469633015868</v>
      </c>
      <c r="O550">
        <v>2.1743535316584076E-2</v>
      </c>
      <c r="P550">
        <v>2.8393990839507468E-2</v>
      </c>
      <c r="Q550">
        <v>5.700019973907555E-3</v>
      </c>
      <c r="R550">
        <v>1.6843171620424206E-3</v>
      </c>
      <c r="S550">
        <v>0.27198412058845001</v>
      </c>
      <c r="T550">
        <v>1.3346835068295881</v>
      </c>
      <c r="U550">
        <v>0.21987412101945403</v>
      </c>
      <c r="V550">
        <v>0.25147829336134764</v>
      </c>
      <c r="W550">
        <v>0.10248783906844662</v>
      </c>
      <c r="X550">
        <v>1.6709123021118048E-2</v>
      </c>
      <c r="Y550">
        <v>4.5841560800762233E-3</v>
      </c>
    </row>
    <row r="551" spans="1:25" x14ac:dyDescent="0.2">
      <c r="A551" s="1077"/>
      <c r="B551" s="1444">
        <v>301</v>
      </c>
      <c r="C551" s="1081">
        <v>1.0100115047629077</v>
      </c>
      <c r="D551" s="1081">
        <v>0.99652439828268058</v>
      </c>
      <c r="E551" s="1081">
        <v>1.008697768587578</v>
      </c>
      <c r="F551" s="1081">
        <v>1.0172282727249369</v>
      </c>
      <c r="G551" s="1081">
        <v>0.99291167037394668</v>
      </c>
      <c r="H551" s="1081">
        <v>1.0196374408633599</v>
      </c>
      <c r="I551" s="1081">
        <v>1.0132465385952201</v>
      </c>
      <c r="K551">
        <v>2.4389078262767399</v>
      </c>
      <c r="L551">
        <v>0</v>
      </c>
      <c r="M551">
        <v>1.6290668043187019E-3</v>
      </c>
      <c r="N551">
        <v>0.15224462367334909</v>
      </c>
      <c r="O551">
        <v>2.079922526622216E-2</v>
      </c>
      <c r="P551">
        <v>2.898873491075523E-2</v>
      </c>
      <c r="Q551">
        <v>5.4904150149179352E-3</v>
      </c>
      <c r="R551">
        <v>1.6079776415768056E-3</v>
      </c>
      <c r="S551">
        <v>0.26165075354652229</v>
      </c>
      <c r="T551">
        <v>1.3954610886392647</v>
      </c>
      <c r="U551">
        <v>0.20990170414866929</v>
      </c>
      <c r="V551">
        <v>0.24367135372430765</v>
      </c>
      <c r="W551">
        <v>9.9500441305215084E-2</v>
      </c>
      <c r="X551">
        <v>1.6844190139570916E-2</v>
      </c>
      <c r="Y551">
        <v>4.3763850706849787E-3</v>
      </c>
    </row>
    <row r="552" spans="1:25" x14ac:dyDescent="0.2">
      <c r="A552" s="1077"/>
      <c r="B552" s="1444">
        <v>302</v>
      </c>
      <c r="C552" s="1081">
        <v>1.0064254338543583</v>
      </c>
      <c r="D552" s="1081">
        <v>1.0171317094270733</v>
      </c>
      <c r="E552" s="1081">
        <v>0.99298561081079739</v>
      </c>
      <c r="F552" s="1081">
        <v>1.0160088954219286</v>
      </c>
      <c r="G552" s="1081">
        <v>0.96881667056266041</v>
      </c>
      <c r="H552" s="1081">
        <v>1.000343114508631</v>
      </c>
      <c r="I552" s="1081">
        <v>1.0131142588332318</v>
      </c>
      <c r="K552">
        <v>2.4212127039923295</v>
      </c>
      <c r="L552">
        <v>0</v>
      </c>
      <c r="M552">
        <v>1.6496334661473494E-3</v>
      </c>
      <c r="N552">
        <v>0.1469826417367788</v>
      </c>
      <c r="O552">
        <v>2.0769230897507106E-2</v>
      </c>
      <c r="P552">
        <v>2.8533364751673826E-2</v>
      </c>
      <c r="Q552">
        <v>5.3966288001256399E-3</v>
      </c>
      <c r="R552">
        <v>1.6278661597830164E-3</v>
      </c>
      <c r="S552">
        <v>0.25811061681156477</v>
      </c>
      <c r="T552">
        <v>1.3934429900568885</v>
      </c>
      <c r="U552">
        <v>0.21059624910444366</v>
      </c>
      <c r="V552">
        <v>0.23983177845730089</v>
      </c>
      <c r="W552">
        <v>9.6962111634363135E-2</v>
      </c>
      <c r="X552">
        <v>1.6178343987050647E-2</v>
      </c>
      <c r="Y552">
        <v>4.4305150609940192E-3</v>
      </c>
    </row>
    <row r="553" spans="1:25" x14ac:dyDescent="0.2">
      <c r="A553" s="1077"/>
      <c r="B553" s="1444">
        <v>303</v>
      </c>
      <c r="C553" s="1081">
        <v>1.0033229295029142</v>
      </c>
      <c r="D553" s="1081">
        <v>1.0189617680155501</v>
      </c>
      <c r="E553" s="1081">
        <v>1.0016424132166906</v>
      </c>
      <c r="F553" s="1081">
        <v>0.98003110076844169</v>
      </c>
      <c r="G553" s="1081">
        <v>1.0082607773413967</v>
      </c>
      <c r="H553" s="1081">
        <v>1.0124975920681782</v>
      </c>
      <c r="I553" s="1081">
        <v>1.0468333469670996</v>
      </c>
      <c r="K553">
        <v>2.3952334203838137</v>
      </c>
      <c r="L553">
        <v>0</v>
      </c>
      <c r="M553">
        <v>1.6443954977730113E-3</v>
      </c>
      <c r="N553">
        <v>0.15042339423105372</v>
      </c>
      <c r="O553">
        <v>2.0830916898538381E-2</v>
      </c>
      <c r="P553">
        <v>2.8291416630988001E-2</v>
      </c>
      <c r="Q553">
        <v>5.4600324200055669E-3</v>
      </c>
      <c r="R553">
        <v>1.6229577825049913E-3</v>
      </c>
      <c r="S553">
        <v>0.26843382840473612</v>
      </c>
      <c r="T553">
        <v>1.344283305544149</v>
      </c>
      <c r="U553">
        <v>0.21127694143459477</v>
      </c>
      <c r="V553">
        <v>0.2467292252224047</v>
      </c>
      <c r="W553">
        <v>9.8721591701924946E-2</v>
      </c>
      <c r="X553">
        <v>1.638704953459437E-2</v>
      </c>
      <c r="Y553">
        <v>4.4171560760893703E-3</v>
      </c>
    </row>
    <row r="554" spans="1:25" x14ac:dyDescent="0.2">
      <c r="A554" s="1077"/>
      <c r="B554" s="1444">
        <v>304</v>
      </c>
      <c r="C554" s="1081">
        <v>1.0042077573531514</v>
      </c>
      <c r="D554" s="1081">
        <v>1.0123258634401482</v>
      </c>
      <c r="E554" s="1081">
        <v>1.011295156176115</v>
      </c>
      <c r="F554" s="1081">
        <v>1.0224791867294645</v>
      </c>
      <c r="G554" s="1081">
        <v>0.98340837835998895</v>
      </c>
      <c r="H554" s="1081">
        <v>1.0083342292737314</v>
      </c>
      <c r="I554" s="1081">
        <v>1.0044513695380006</v>
      </c>
      <c r="K554">
        <v>2.4408096735827369</v>
      </c>
      <c r="L554">
        <v>0</v>
      </c>
      <c r="M554">
        <v>1.6060304034988457E-3</v>
      </c>
      <c r="N554">
        <v>0.15125108656879641</v>
      </c>
      <c r="O554">
        <v>2.0848868905319302E-2</v>
      </c>
      <c r="P554">
        <v>2.9092028318256913E-2</v>
      </c>
      <c r="Q554">
        <v>5.517827757000591E-3</v>
      </c>
      <c r="R554">
        <v>1.5850063975471869E-3</v>
      </c>
      <c r="S554">
        <v>0.25790270391738002</v>
      </c>
      <c r="T554">
        <v>1.4027219877692978</v>
      </c>
      <c r="U554">
        <v>0.21112367108671379</v>
      </c>
      <c r="V554">
        <v>0.24239692029398391</v>
      </c>
      <c r="W554">
        <v>9.8699822167720719E-2</v>
      </c>
      <c r="X554">
        <v>1.6961915887314136E-2</v>
      </c>
      <c r="Y554">
        <v>4.3138649169049163E-3</v>
      </c>
    </row>
    <row r="555" spans="1:25" x14ac:dyDescent="0.2">
      <c r="A555" s="1077"/>
      <c r="B555" s="1444">
        <v>305</v>
      </c>
      <c r="C555" s="1081">
        <v>0.99771483839404718</v>
      </c>
      <c r="D555" s="1081">
        <v>0.98590979181033966</v>
      </c>
      <c r="E555" s="1081">
        <v>0.99306488776501034</v>
      </c>
      <c r="F555" s="1081">
        <v>0.9793096646341567</v>
      </c>
      <c r="G555" s="1081">
        <v>0.99484357127713863</v>
      </c>
      <c r="H555" s="1081">
        <v>0.97335230711859444</v>
      </c>
      <c r="I555" s="1081">
        <v>1.0166040963826211</v>
      </c>
      <c r="K555">
        <v>2.379414600819306</v>
      </c>
      <c r="L555">
        <v>0</v>
      </c>
      <c r="M555">
        <v>1.630013380716971E-3</v>
      </c>
      <c r="N555">
        <v>0.14521543119730657</v>
      </c>
      <c r="O555">
        <v>2.1094803182929899E-2</v>
      </c>
      <c r="P555">
        <v>2.8011156245349975E-2</v>
      </c>
      <c r="Q555">
        <v>5.4816632417419124E-3</v>
      </c>
      <c r="R555">
        <v>1.6079085432831857E-3</v>
      </c>
      <c r="S555">
        <v>0.26302489176950772</v>
      </c>
      <c r="T555">
        <v>1.343112148959605</v>
      </c>
      <c r="U555">
        <v>0.21243514068869832</v>
      </c>
      <c r="V555">
        <v>0.24481820634830173</v>
      </c>
      <c r="W555">
        <v>9.5791772388970603E-2</v>
      </c>
      <c r="X555">
        <v>1.607529462642154E-2</v>
      </c>
      <c r="Y555">
        <v>4.3761970079079912E-3</v>
      </c>
    </row>
    <row r="556" spans="1:25" x14ac:dyDescent="0.2">
      <c r="A556" s="1077"/>
      <c r="B556" s="1444">
        <v>306</v>
      </c>
      <c r="C556" s="1081">
        <v>0.99246469107177471</v>
      </c>
      <c r="D556" s="1081">
        <v>0.99761834377715919</v>
      </c>
      <c r="E556" s="1081">
        <v>1.0243158307060314</v>
      </c>
      <c r="F556" s="1081">
        <v>1.0370645456114227</v>
      </c>
      <c r="G556" s="1081">
        <v>1.0333411916394362</v>
      </c>
      <c r="H556" s="1081">
        <v>1.0150923109368664</v>
      </c>
      <c r="I556" s="1081">
        <v>0.97036420716635674</v>
      </c>
      <c r="K556">
        <v>2.4793390765780643</v>
      </c>
      <c r="L556">
        <v>0</v>
      </c>
      <c r="M556">
        <v>1.5973488180483322E-3</v>
      </c>
      <c r="N556">
        <v>0.156474990318902</v>
      </c>
      <c r="O556">
        <v>2.1172323790820121E-2</v>
      </c>
      <c r="P556">
        <v>2.9770889980715691E-2</v>
      </c>
      <c r="Q556">
        <v>5.6765265746955154E-3</v>
      </c>
      <c r="R556">
        <v>1.5765776726879078E-3</v>
      </c>
      <c r="S556">
        <v>0.25461543543115633</v>
      </c>
      <c r="T556">
        <v>1.4230244737092324</v>
      </c>
      <c r="U556">
        <v>0.21366670182378861</v>
      </c>
      <c r="V556">
        <v>0.25160886476470384</v>
      </c>
      <c r="W556">
        <v>0.10133248777903471</v>
      </c>
      <c r="X556">
        <v>1.7726228844009973E-2</v>
      </c>
      <c r="Y556">
        <v>4.290924706366361E-3</v>
      </c>
    </row>
    <row r="557" spans="1:25" x14ac:dyDescent="0.2">
      <c r="A557" s="1077"/>
      <c r="B557" s="1444">
        <v>307</v>
      </c>
      <c r="C557" s="1081">
        <v>1.0048218905750341</v>
      </c>
      <c r="D557" s="1081">
        <v>1.0021628228006889</v>
      </c>
      <c r="E557" s="1081">
        <v>1.0205625176896691</v>
      </c>
      <c r="F557" s="1081">
        <v>1.0025026657260729</v>
      </c>
      <c r="G557" s="1081">
        <v>1.0369707182459198</v>
      </c>
      <c r="H557" s="1081">
        <v>1.0447761122167949</v>
      </c>
      <c r="I557" s="1081">
        <v>0.99193673885358635</v>
      </c>
      <c r="K557">
        <v>2.4353958259115647</v>
      </c>
      <c r="L557">
        <v>0</v>
      </c>
      <c r="M557">
        <v>1.6349406944441737E-3</v>
      </c>
      <c r="N557">
        <v>0.15841383151343977</v>
      </c>
      <c r="O557">
        <v>2.0888562999817901E-2</v>
      </c>
      <c r="P557">
        <v>2.9052772600876887E-2</v>
      </c>
      <c r="Q557">
        <v>5.5796169904459986E-3</v>
      </c>
      <c r="R557">
        <v>1.6142847532827748E-3</v>
      </c>
      <c r="S557">
        <v>0.25895474532112595</v>
      </c>
      <c r="T557">
        <v>1.3755181059834336</v>
      </c>
      <c r="U557">
        <v>0.21102623826415334</v>
      </c>
      <c r="V557">
        <v>0.25146862956570304</v>
      </c>
      <c r="W557">
        <v>0.10281315946072479</v>
      </c>
      <c r="X557">
        <v>1.7307268203393514E-2</v>
      </c>
      <c r="Y557">
        <v>4.3935509496098113E-3</v>
      </c>
    </row>
    <row r="558" spans="1:25" x14ac:dyDescent="0.2">
      <c r="A558" s="1077"/>
      <c r="B558" s="1444">
        <v>308</v>
      </c>
      <c r="C558" s="1081">
        <v>0.97961889596101548</v>
      </c>
      <c r="D558" s="1081">
        <v>1.0303866378281781</v>
      </c>
      <c r="E558" s="1081">
        <v>0.96388002216313473</v>
      </c>
      <c r="F558" s="1081">
        <v>0.95784888640538901</v>
      </c>
      <c r="G558" s="1081">
        <v>1.0252228903953786</v>
      </c>
      <c r="H558" s="1081">
        <v>0.97634710650940693</v>
      </c>
      <c r="I558" s="1081">
        <v>1.0346233851639945</v>
      </c>
      <c r="K558">
        <v>2.3595419962952371</v>
      </c>
      <c r="L558">
        <v>0</v>
      </c>
      <c r="M558">
        <v>1.7517050937619889E-3</v>
      </c>
      <c r="N558">
        <v>0.14287191484321382</v>
      </c>
      <c r="O558">
        <v>2.1257351968532769E-2</v>
      </c>
      <c r="P558">
        <v>2.7182828110938556E-2</v>
      </c>
      <c r="Q558">
        <v>5.3623135544469645E-3</v>
      </c>
      <c r="R558">
        <v>1.7280228434173187E-3</v>
      </c>
      <c r="S558">
        <v>0.26667771563787601</v>
      </c>
      <c r="T558">
        <v>1.3130770209436788</v>
      </c>
      <c r="U558">
        <v>0.21625785241434911</v>
      </c>
      <c r="V558">
        <v>0.25127209156965485</v>
      </c>
      <c r="W558">
        <v>9.5923529130885962E-2</v>
      </c>
      <c r="X558">
        <v>1.4979951834797105E-2</v>
      </c>
      <c r="Y558">
        <v>4.7031085372047036E-3</v>
      </c>
    </row>
    <row r="559" spans="1:25" x14ac:dyDescent="0.2">
      <c r="A559" s="1077"/>
      <c r="B559" s="1444">
        <v>309</v>
      </c>
      <c r="C559" s="1081">
        <v>0.98893283305868285</v>
      </c>
      <c r="D559" s="1081">
        <v>1.0243630766727811</v>
      </c>
      <c r="E559" s="1081">
        <v>1.0254030927707782</v>
      </c>
      <c r="F559" s="1081">
        <v>1.0311168724574225</v>
      </c>
      <c r="G559" s="1081">
        <v>0.97185954613936321</v>
      </c>
      <c r="H559" s="1081">
        <v>0.99209905341717675</v>
      </c>
      <c r="I559" s="1081">
        <v>1.0260613813958517</v>
      </c>
      <c r="K559">
        <v>2.4651314098893442</v>
      </c>
      <c r="L559">
        <v>0</v>
      </c>
      <c r="M559">
        <v>1.5541275283360806E-3</v>
      </c>
      <c r="N559">
        <v>0.15269442658414609</v>
      </c>
      <c r="O559">
        <v>2.1125358419870337E-2</v>
      </c>
      <c r="P559">
        <v>2.9688726603876742E-2</v>
      </c>
      <c r="Q559">
        <v>5.6700437248146862E-3</v>
      </c>
      <c r="R559">
        <v>1.5334500375332476E-3</v>
      </c>
      <c r="S559">
        <v>0.26464374895907666</v>
      </c>
      <c r="T559">
        <v>1.4148876454369603</v>
      </c>
      <c r="U559">
        <v>0.2144335597583078</v>
      </c>
      <c r="V559">
        <v>0.24133764407079741</v>
      </c>
      <c r="W559">
        <v>9.8821570767914299E-2</v>
      </c>
      <c r="X559">
        <v>1.7675817553886922E-2</v>
      </c>
      <c r="Y559">
        <v>4.1735455004964835E-3</v>
      </c>
    </row>
    <row r="560" spans="1:25" x14ac:dyDescent="0.2">
      <c r="A560" s="1077"/>
      <c r="B560" s="1444">
        <v>310</v>
      </c>
      <c r="C560" s="1081">
        <v>0.99298394256176037</v>
      </c>
      <c r="D560" s="1081">
        <v>1.0202697285439037</v>
      </c>
      <c r="E560" s="1081">
        <v>0.99951394947939864</v>
      </c>
      <c r="F560" s="1081">
        <v>0.97851889799223102</v>
      </c>
      <c r="G560" s="1081">
        <v>0.98876752568337722</v>
      </c>
      <c r="H560" s="1081">
        <v>0.99500603269444188</v>
      </c>
      <c r="I560" s="1081">
        <v>0.96219468044077783</v>
      </c>
      <c r="K560">
        <v>2.3693629371250822</v>
      </c>
      <c r="L560">
        <v>0</v>
      </c>
      <c r="M560">
        <v>1.6395760304175845E-3</v>
      </c>
      <c r="N560">
        <v>0.14898658834264641</v>
      </c>
      <c r="O560">
        <v>2.1040453565614854E-2</v>
      </c>
      <c r="P560">
        <v>2.7928110592615397E-2</v>
      </c>
      <c r="Q560">
        <v>5.5031716889267345E-3</v>
      </c>
      <c r="R560">
        <v>1.6178253891773458E-3</v>
      </c>
      <c r="S560">
        <v>0.24768823013005248</v>
      </c>
      <c r="T560">
        <v>1.3421640047523951</v>
      </c>
      <c r="U560">
        <v>0.21346943740552049</v>
      </c>
      <c r="V560">
        <v>0.24405549894250347</v>
      </c>
      <c r="W560">
        <v>9.7902344111839776E-2</v>
      </c>
      <c r="X560">
        <v>1.6243660840861953E-2</v>
      </c>
      <c r="Y560">
        <v>4.4031873933445247E-3</v>
      </c>
    </row>
    <row r="561" spans="1:25" x14ac:dyDescent="0.2">
      <c r="A561" s="1077"/>
      <c r="B561" s="1444">
        <v>311</v>
      </c>
      <c r="C561" s="1081">
        <v>0.98919791212854347</v>
      </c>
      <c r="D561" s="1081">
        <v>0.98358528230259246</v>
      </c>
      <c r="E561" s="1081">
        <v>0.97488356386294295</v>
      </c>
      <c r="F561" s="1081">
        <v>0.98850457838066719</v>
      </c>
      <c r="G561" s="1081">
        <v>1.0206994260419568</v>
      </c>
      <c r="H561" s="1081">
        <v>0.98260956510835151</v>
      </c>
      <c r="I561" s="1081">
        <v>0.9689301962650495</v>
      </c>
      <c r="K561">
        <v>2.3901121998279047</v>
      </c>
      <c r="L561">
        <v>0</v>
      </c>
      <c r="M561">
        <v>1.7242033871352985E-3</v>
      </c>
      <c r="N561">
        <v>0.14540607696398977</v>
      </c>
      <c r="O561">
        <v>2.1275268599726803E-2</v>
      </c>
      <c r="P561">
        <v>2.7759408224524385E-2</v>
      </c>
      <c r="Q561">
        <v>5.4275529214044289E-3</v>
      </c>
      <c r="R561">
        <v>1.7010415115263733E-3</v>
      </c>
      <c r="S561">
        <v>0.25377877027674239</v>
      </c>
      <c r="T561">
        <v>1.3553354400518602</v>
      </c>
      <c r="U561">
        <v>0.21420152737269138</v>
      </c>
      <c r="V561">
        <v>0.24984073346052452</v>
      </c>
      <c r="W561">
        <v>9.6973010358223533E-2</v>
      </c>
      <c r="X561">
        <v>1.5507899227633185E-2</v>
      </c>
      <c r="Y561">
        <v>4.6296742461912187E-3</v>
      </c>
    </row>
    <row r="562" spans="1:25" x14ac:dyDescent="0.2">
      <c r="A562" s="1077"/>
      <c r="B562" s="1444">
        <v>312</v>
      </c>
      <c r="C562" s="1081">
        <v>1.006830678034685</v>
      </c>
      <c r="D562" s="1081">
        <v>0.95775213106405765</v>
      </c>
      <c r="E562" s="1081">
        <v>0.99771236863879265</v>
      </c>
      <c r="F562" s="1081">
        <v>1.0047634233155751</v>
      </c>
      <c r="G562" s="1081">
        <v>1.0125371184439325</v>
      </c>
      <c r="H562" s="1081">
        <v>1.0032683783829559</v>
      </c>
      <c r="I562" s="1081">
        <v>0.98492410044780887</v>
      </c>
      <c r="K562">
        <v>2.4192914443521354</v>
      </c>
      <c r="L562">
        <v>0</v>
      </c>
      <c r="M562">
        <v>1.6594836998901036E-3</v>
      </c>
      <c r="N562">
        <v>0.14999355492062744</v>
      </c>
      <c r="O562">
        <v>2.104058233883142E-2</v>
      </c>
      <c r="P562">
        <v>2.8535465281711168E-2</v>
      </c>
      <c r="Q562">
        <v>5.4932409289811862E-3</v>
      </c>
      <c r="R562">
        <v>1.6376502640007356E-3</v>
      </c>
      <c r="S562">
        <v>0.25880863032592349</v>
      </c>
      <c r="T562">
        <v>1.3781225930861816</v>
      </c>
      <c r="U562">
        <v>0.21052752097407687</v>
      </c>
      <c r="V562">
        <v>0.24725715414143373</v>
      </c>
      <c r="W562">
        <v>9.8669754686002198E-2</v>
      </c>
      <c r="X562">
        <v>1.6407636936906875E-2</v>
      </c>
      <c r="Y562">
        <v>4.4571441673455624E-3</v>
      </c>
    </row>
    <row r="563" spans="1:25" x14ac:dyDescent="0.2">
      <c r="A563" s="1077"/>
      <c r="B563" s="1444">
        <v>313</v>
      </c>
      <c r="C563" s="1081">
        <v>1.0207698465237529</v>
      </c>
      <c r="D563" s="1081">
        <v>1.0433572137180609</v>
      </c>
      <c r="E563" s="1081">
        <v>0.99192579188153274</v>
      </c>
      <c r="F563" s="1081">
        <v>0.9780162739464735</v>
      </c>
      <c r="G563" s="1081">
        <v>1.0129316335466936</v>
      </c>
      <c r="H563" s="1081">
        <v>0.97618113468004097</v>
      </c>
      <c r="I563" s="1081">
        <v>1.0287454437768162</v>
      </c>
      <c r="K563">
        <v>2.3550961338005409</v>
      </c>
      <c r="L563">
        <v>0</v>
      </c>
      <c r="M563">
        <v>1.5817724072081706E-3</v>
      </c>
      <c r="N563">
        <v>0.1404389154842289</v>
      </c>
      <c r="O563">
        <v>2.0362324799499464E-2</v>
      </c>
      <c r="P563">
        <v>2.7785868728518584E-2</v>
      </c>
      <c r="Q563">
        <v>5.2852422440418994E-3</v>
      </c>
      <c r="R563">
        <v>1.5603839330497109E-3</v>
      </c>
      <c r="S563">
        <v>0.25310129179495555</v>
      </c>
      <c r="T563">
        <v>1.341314219900998</v>
      </c>
      <c r="U563">
        <v>0.20763329139211315</v>
      </c>
      <c r="V563">
        <v>0.24649964497058066</v>
      </c>
      <c r="W563">
        <v>9.270404409750535E-2</v>
      </c>
      <c r="X563">
        <v>1.5745828176919514E-2</v>
      </c>
      <c r="Y563">
        <v>4.2468506853360257E-3</v>
      </c>
    </row>
    <row r="564" spans="1:25" x14ac:dyDescent="0.2">
      <c r="A564" s="1077"/>
      <c r="B564" s="1444">
        <v>314</v>
      </c>
      <c r="C564" s="1081">
        <v>0.97801938317493531</v>
      </c>
      <c r="D564" s="1081">
        <v>1.0142065820967785</v>
      </c>
      <c r="E564" s="1081">
        <v>1.0226146268767813</v>
      </c>
      <c r="F564" s="1081">
        <v>0.99403095167086319</v>
      </c>
      <c r="G564" s="1081">
        <v>0.97715057779472425</v>
      </c>
      <c r="H564" s="1081">
        <v>1.0387936217768847</v>
      </c>
      <c r="I564" s="1081">
        <v>0.99017322063971414</v>
      </c>
      <c r="K564">
        <v>2.4317826980902453</v>
      </c>
      <c r="L564">
        <v>0</v>
      </c>
      <c r="M564">
        <v>1.6586452448670336E-3</v>
      </c>
      <c r="N564">
        <v>0.16169660496245172</v>
      </c>
      <c r="O564">
        <v>2.1406075780969227E-2</v>
      </c>
      <c r="P564">
        <v>2.8961251471284342E-2</v>
      </c>
      <c r="Q564">
        <v>5.7295182733067586E-3</v>
      </c>
      <c r="R564">
        <v>1.6375691350887967E-3</v>
      </c>
      <c r="S564">
        <v>0.26351353139729178</v>
      </c>
      <c r="T564">
        <v>1.3639385063690797</v>
      </c>
      <c r="U564">
        <v>0.2168165836062507</v>
      </c>
      <c r="V564">
        <v>0.24295425714973984</v>
      </c>
      <c r="W564">
        <v>0.10481797091456302</v>
      </c>
      <c r="X564">
        <v>1.7512550913896294E-2</v>
      </c>
      <c r="Y564">
        <v>4.4569233611914038E-3</v>
      </c>
    </row>
    <row r="565" spans="1:25" x14ac:dyDescent="0.2">
      <c r="A565" s="1077"/>
      <c r="B565" s="1444">
        <v>315</v>
      </c>
      <c r="C565" s="1081">
        <v>0.9847319013716167</v>
      </c>
      <c r="D565" s="1081">
        <v>1.0393517161924759</v>
      </c>
      <c r="E565" s="1081">
        <v>1.0174838998820948</v>
      </c>
      <c r="F565" s="1081">
        <v>1.0260953706720066</v>
      </c>
      <c r="G565" s="1081">
        <v>1.000146571214958</v>
      </c>
      <c r="H565" s="1081">
        <v>0.99289921494355682</v>
      </c>
      <c r="I565" s="1081">
        <v>1.0105101349952024</v>
      </c>
      <c r="K565">
        <v>2.4578402298752362</v>
      </c>
      <c r="L565">
        <v>0</v>
      </c>
      <c r="M565">
        <v>1.5829061767800509E-3</v>
      </c>
      <c r="N565">
        <v>0.15185252376844849</v>
      </c>
      <c r="O565">
        <v>2.1142479982938334E-2</v>
      </c>
      <c r="P565">
        <v>2.943660319286507E-2</v>
      </c>
      <c r="Q565">
        <v>5.6301742945024163E-3</v>
      </c>
      <c r="R565">
        <v>1.5618627615459715E-3</v>
      </c>
      <c r="S565">
        <v>0.25986397832181757</v>
      </c>
      <c r="T565">
        <v>1.4078207057867271</v>
      </c>
      <c r="U565">
        <v>0.21532076837800232</v>
      </c>
      <c r="V565">
        <v>0.24646173319398784</v>
      </c>
      <c r="W565">
        <v>9.8732572803673785E-2</v>
      </c>
      <c r="X565">
        <v>1.7348857998497811E-2</v>
      </c>
      <c r="Y565">
        <v>4.2508755690071629E-3</v>
      </c>
    </row>
    <row r="566" spans="1:25" x14ac:dyDescent="0.2">
      <c r="A566" s="1077"/>
      <c r="B566" s="1444">
        <v>316</v>
      </c>
      <c r="C566" s="1081">
        <v>0.98121518376966166</v>
      </c>
      <c r="D566" s="1081">
        <v>1.0125934895354749</v>
      </c>
      <c r="E566" s="1081">
        <v>1.007134529224248</v>
      </c>
      <c r="F566" s="1081">
        <v>0.96020374985782586</v>
      </c>
      <c r="G566" s="1081">
        <v>0.99903625993773348</v>
      </c>
      <c r="H566" s="1081">
        <v>1.0236142874486158</v>
      </c>
      <c r="I566" s="1081">
        <v>1.0011348866214289</v>
      </c>
      <c r="K566">
        <v>2.379220618940407</v>
      </c>
      <c r="L566">
        <v>0</v>
      </c>
      <c r="M566">
        <v>1.6829573793594906E-3</v>
      </c>
      <c r="N566">
        <v>0.15654831129717051</v>
      </c>
      <c r="O566">
        <v>2.1333364057821554E-2</v>
      </c>
      <c r="P566">
        <v>2.8042067880168775E-2</v>
      </c>
      <c r="Q566">
        <v>5.622609440375949E-3</v>
      </c>
      <c r="R566">
        <v>1.6612552175609516E-3</v>
      </c>
      <c r="S566">
        <v>0.26432811423700203</v>
      </c>
      <c r="T566">
        <v>1.3172007993443269</v>
      </c>
      <c r="U566">
        <v>0.21605636509466758</v>
      </c>
      <c r="V566">
        <v>0.24653573280148022</v>
      </c>
      <c r="W566">
        <v>0.10240765510023273</v>
      </c>
      <c r="X566">
        <v>1.6645912779392268E-2</v>
      </c>
      <c r="Y566">
        <v>4.5213890695656204E-3</v>
      </c>
    </row>
    <row r="567" spans="1:25" x14ac:dyDescent="0.2">
      <c r="A567" s="1077"/>
      <c r="B567" s="1444">
        <v>317</v>
      </c>
      <c r="C567" s="1081">
        <v>0.9987884320294409</v>
      </c>
      <c r="D567" s="1081">
        <v>1.029914254048097</v>
      </c>
      <c r="E567" s="1081">
        <v>1.0037093593795383</v>
      </c>
      <c r="F567" s="1081">
        <v>0.97530369897471514</v>
      </c>
      <c r="G567" s="1081">
        <v>0.97757199835767616</v>
      </c>
      <c r="H567" s="1081">
        <v>0.95845918180060508</v>
      </c>
      <c r="I567" s="1081">
        <v>1.0244214369852707</v>
      </c>
      <c r="K567">
        <v>2.3610728200067559</v>
      </c>
      <c r="L567">
        <v>0</v>
      </c>
      <c r="M567">
        <v>1.5533482620033062E-3</v>
      </c>
      <c r="N567">
        <v>0.1428781731103925</v>
      </c>
      <c r="O567">
        <v>2.087769358008764E-2</v>
      </c>
      <c r="P567">
        <v>2.8046773131361495E-2</v>
      </c>
      <c r="Q567">
        <v>5.4836576298594574E-3</v>
      </c>
      <c r="R567">
        <v>1.5319557673525708E-3</v>
      </c>
      <c r="S567">
        <v>0.25781461684728885</v>
      </c>
      <c r="T567">
        <v>1.3378424746918616</v>
      </c>
      <c r="U567">
        <v>0.21224321515526898</v>
      </c>
      <c r="V567">
        <v>0.24176388513472044</v>
      </c>
      <c r="W567">
        <v>9.3654846634862676E-2</v>
      </c>
      <c r="X567">
        <v>1.6319397996053125E-2</v>
      </c>
      <c r="Y567">
        <v>4.1694785896507144E-3</v>
      </c>
    </row>
    <row r="568" spans="1:25" x14ac:dyDescent="0.2">
      <c r="A568" s="1077"/>
      <c r="B568" s="1444">
        <v>318</v>
      </c>
      <c r="C568" s="1081">
        <v>0.9599927431595443</v>
      </c>
      <c r="D568" s="1081">
        <v>0.97982633312225431</v>
      </c>
      <c r="E568" s="1081">
        <v>0.99163299461560084</v>
      </c>
      <c r="F568" s="1081">
        <v>0.99650224172014579</v>
      </c>
      <c r="G568" s="1081">
        <v>1.0041449077826929</v>
      </c>
      <c r="H568" s="1081">
        <v>0.9978997088892253</v>
      </c>
      <c r="I568" s="1081">
        <v>0.9733250074644918</v>
      </c>
      <c r="K568">
        <v>2.4352111033571893</v>
      </c>
      <c r="L568">
        <v>0</v>
      </c>
      <c r="M568">
        <v>1.7443203835809645E-3</v>
      </c>
      <c r="N568">
        <v>0.15478000611470405</v>
      </c>
      <c r="O568">
        <v>2.1952586002395431E-2</v>
      </c>
      <c r="P568">
        <v>2.8490611033648125E-2</v>
      </c>
      <c r="Q568">
        <v>5.6963258151359166E-3</v>
      </c>
      <c r="R568">
        <v>1.7212473032390261E-3</v>
      </c>
      <c r="S568">
        <v>0.26465706562557056</v>
      </c>
      <c r="T568">
        <v>1.3666607612633588</v>
      </c>
      <c r="U568">
        <v>0.22077750582060826</v>
      </c>
      <c r="V568">
        <v>0.2488691067905662</v>
      </c>
      <c r="W568">
        <v>0.10218852772672578</v>
      </c>
      <c r="X568">
        <v>1.6477012494418627E-2</v>
      </c>
      <c r="Y568">
        <v>4.6846677503956111E-3</v>
      </c>
    </row>
    <row r="569" spans="1:25" x14ac:dyDescent="0.2">
      <c r="A569" s="1077"/>
      <c r="B569" s="1444">
        <v>319</v>
      </c>
      <c r="C569" s="1081">
        <v>0.95925504904627912</v>
      </c>
      <c r="D569" s="1081">
        <v>1.0014485552300885</v>
      </c>
      <c r="E569" s="1081">
        <v>0.9654168154299515</v>
      </c>
      <c r="F569" s="1081">
        <v>0.99807407220189548</v>
      </c>
      <c r="G569" s="1081">
        <v>0.99641492907944029</v>
      </c>
      <c r="H569" s="1081">
        <v>0.996790169919748</v>
      </c>
      <c r="I569" s="1081">
        <v>0.98402494684237829</v>
      </c>
      <c r="K569">
        <v>2.4278596801987504</v>
      </c>
      <c r="L569">
        <v>0</v>
      </c>
      <c r="M569">
        <v>1.8320133533996513E-3</v>
      </c>
      <c r="N569">
        <v>0.1501613725628009</v>
      </c>
      <c r="O569">
        <v>2.1846153366188326E-2</v>
      </c>
      <c r="P569">
        <v>2.7933573924923839E-2</v>
      </c>
      <c r="Q569">
        <v>5.5195315020470518E-3</v>
      </c>
      <c r="R569">
        <v>1.8077533360654106E-3</v>
      </c>
      <c r="S569">
        <v>0.26453735274005269</v>
      </c>
      <c r="T569">
        <v>1.3682530596212688</v>
      </c>
      <c r="U569">
        <v>0.22085419464490755</v>
      </c>
      <c r="V569">
        <v>0.24769317629433779</v>
      </c>
      <c r="W569">
        <v>0.10072298011869413</v>
      </c>
      <c r="X569">
        <v>1.5442436785821459E-2</v>
      </c>
      <c r="Y569">
        <v>4.9201086550429733E-3</v>
      </c>
    </row>
    <row r="570" spans="1:25" x14ac:dyDescent="0.2">
      <c r="A570" s="1077"/>
      <c r="B570" s="1444">
        <v>320</v>
      </c>
      <c r="C570" s="1081">
        <v>0.99827254969043311</v>
      </c>
      <c r="D570" s="1081">
        <v>1.021498980611848</v>
      </c>
      <c r="E570" s="1081">
        <v>0.97465773565782288</v>
      </c>
      <c r="F570" s="1081">
        <v>1.0137205497472557</v>
      </c>
      <c r="G570" s="1081">
        <v>0.96616046884433815</v>
      </c>
      <c r="H570" s="1081">
        <v>0.98942352115934296</v>
      </c>
      <c r="I570" s="1081">
        <v>0.98216576461030092</v>
      </c>
      <c r="K570">
        <v>2.4069127202102245</v>
      </c>
      <c r="L570">
        <v>0</v>
      </c>
      <c r="M570">
        <v>1.7069182721802963E-3</v>
      </c>
      <c r="N570">
        <v>0.14386351106431358</v>
      </c>
      <c r="O570">
        <v>2.0907028951933648E-2</v>
      </c>
      <c r="P570">
        <v>2.8017424562214819E-2</v>
      </c>
      <c r="Q570">
        <v>5.3323833141062389E-3</v>
      </c>
      <c r="R570">
        <v>1.6841465060235925E-3</v>
      </c>
      <c r="S570">
        <v>0.25067698547722944</v>
      </c>
      <c r="T570">
        <v>1.3899040517089767</v>
      </c>
      <c r="U570">
        <v>0.21225359240271777</v>
      </c>
      <c r="V570">
        <v>0.23994808519527697</v>
      </c>
      <c r="W570">
        <v>9.5957393410730216E-2</v>
      </c>
      <c r="X570">
        <v>1.5491344278230044E-2</v>
      </c>
      <c r="Y570">
        <v>4.5836916106497148E-3</v>
      </c>
    </row>
    <row r="571" spans="1:25" x14ac:dyDescent="0.2">
      <c r="A571" s="1077"/>
      <c r="B571" s="1444">
        <v>321</v>
      </c>
      <c r="C571" s="1081">
        <v>0.97768568788781751</v>
      </c>
      <c r="D571" s="1081">
        <v>1.0085523100034555</v>
      </c>
      <c r="E571" s="1081">
        <v>0.96802942995114705</v>
      </c>
      <c r="F571" s="1081">
        <v>0.96756727443277457</v>
      </c>
      <c r="G571" s="1081">
        <v>1.0180789434087354</v>
      </c>
      <c r="H571" s="1081">
        <v>0.95809858438236706</v>
      </c>
      <c r="I571" s="1081">
        <v>1.0044664989176237</v>
      </c>
      <c r="K571">
        <v>2.3645151695471927</v>
      </c>
      <c r="L571">
        <v>0</v>
      </c>
      <c r="M571">
        <v>1.7157475454046436E-3</v>
      </c>
      <c r="N571">
        <v>0.14167197716376534</v>
      </c>
      <c r="O571">
        <v>2.1402780020400441E-2</v>
      </c>
      <c r="P571">
        <v>2.7359161918346392E-2</v>
      </c>
      <c r="Q571">
        <v>5.4219966170379425E-3</v>
      </c>
      <c r="R571">
        <v>1.6921096173670301E-3</v>
      </c>
      <c r="S571">
        <v>0.26065662882157825</v>
      </c>
      <c r="T571">
        <v>1.3264857876552183</v>
      </c>
      <c r="U571">
        <v>0.21669989230867595</v>
      </c>
      <c r="V571">
        <v>0.25016105839151925</v>
      </c>
      <c r="W571">
        <v>9.4877211076257115E-2</v>
      </c>
      <c r="X571">
        <v>1.5196948927742834E-2</v>
      </c>
      <c r="Y571">
        <v>4.6053645746876055E-3</v>
      </c>
    </row>
    <row r="572" spans="1:25" x14ac:dyDescent="0.2">
      <c r="A572" s="1077"/>
      <c r="B572" s="1444">
        <v>322</v>
      </c>
      <c r="C572" s="1081">
        <v>1.0094184305517926</v>
      </c>
      <c r="D572" s="1081">
        <v>0.99967482340124292</v>
      </c>
      <c r="E572" s="1081">
        <v>0.98117786244360616</v>
      </c>
      <c r="F572" s="1081">
        <v>0.97986595670524257</v>
      </c>
      <c r="G572" s="1081">
        <v>1.0064037817482456</v>
      </c>
      <c r="H572" s="1081">
        <v>0.97805537787446228</v>
      </c>
      <c r="I572" s="1081">
        <v>0.99261720603775605</v>
      </c>
      <c r="K572">
        <v>2.3623093430572748</v>
      </c>
      <c r="L572">
        <v>0</v>
      </c>
      <c r="M572">
        <v>1.654176924955914E-3</v>
      </c>
      <c r="N572">
        <v>0.14217412539954355</v>
      </c>
      <c r="O572">
        <v>2.0778918320038666E-2</v>
      </c>
      <c r="P572">
        <v>2.7608444321805967E-2</v>
      </c>
      <c r="Q572">
        <v>5.33498747402298E-3</v>
      </c>
      <c r="R572">
        <v>1.6318522712317055E-3</v>
      </c>
      <c r="S572">
        <v>0.25237127152434868</v>
      </c>
      <c r="T572">
        <v>1.3436238418783659</v>
      </c>
      <c r="U572">
        <v>0.20993191371864001</v>
      </c>
      <c r="V572">
        <v>0.2461113905261369</v>
      </c>
      <c r="W572">
        <v>9.4457338756477507E-2</v>
      </c>
      <c r="X572">
        <v>1.549807184927942E-2</v>
      </c>
      <c r="Y572">
        <v>4.4413639423360671E-3</v>
      </c>
    </row>
    <row r="573" spans="1:25" x14ac:dyDescent="0.2">
      <c r="A573" s="1077"/>
      <c r="B573" s="1444">
        <v>323</v>
      </c>
      <c r="C573" s="1081">
        <v>1.037630752981384</v>
      </c>
      <c r="D573" s="1081">
        <v>1.0342325054166031</v>
      </c>
      <c r="E573" s="1081">
        <v>0.98862896123427402</v>
      </c>
      <c r="F573" s="1081">
        <v>0.98226374791728865</v>
      </c>
      <c r="G573" s="1081">
        <v>1.0132014237761353</v>
      </c>
      <c r="H573" s="1081">
        <v>0.97281864956730857</v>
      </c>
      <c r="I573" s="1081">
        <v>0.97185743978192707</v>
      </c>
      <c r="K573">
        <v>2.3337087995573693</v>
      </c>
      <c r="L573">
        <v>0</v>
      </c>
      <c r="M573">
        <v>1.564354615699365E-3</v>
      </c>
      <c r="N573">
        <v>0.13750840658166794</v>
      </c>
      <c r="O573">
        <v>2.0068106534554462E-2</v>
      </c>
      <c r="P573">
        <v>2.7504553750362086E-2</v>
      </c>
      <c r="Q573">
        <v>5.1915488868248894E-3</v>
      </c>
      <c r="R573">
        <v>1.5431285483152128E-3</v>
      </c>
      <c r="S573">
        <v>0.23596081673081074</v>
      </c>
      <c r="T573">
        <v>1.3470695766739591</v>
      </c>
      <c r="U573">
        <v>0.20424852523207063</v>
      </c>
      <c r="V573">
        <v>0.24556488570686591</v>
      </c>
      <c r="W573">
        <v>9.094901654689734E-2</v>
      </c>
      <c r="X573">
        <v>1.5464701764414028E-2</v>
      </c>
      <c r="Y573">
        <v>4.1998872163247717E-3</v>
      </c>
    </row>
    <row r="574" spans="1:25" x14ac:dyDescent="0.2">
      <c r="A574" s="1077"/>
      <c r="B574" s="1444">
        <v>324</v>
      </c>
      <c r="C574" s="1081">
        <v>0.9871250786566127</v>
      </c>
      <c r="D574" s="1081">
        <v>1.004961400344373</v>
      </c>
      <c r="E574" s="1081">
        <v>1.0090500932015529</v>
      </c>
      <c r="F574" s="1081">
        <v>0.98671731530773765</v>
      </c>
      <c r="G574" s="1081">
        <v>0.98413122011533838</v>
      </c>
      <c r="H574" s="1081">
        <v>1.0266979387445072</v>
      </c>
      <c r="I574" s="1081">
        <v>0.99917706336349876</v>
      </c>
      <c r="K574">
        <v>2.4111453651092432</v>
      </c>
      <c r="L574">
        <v>0</v>
      </c>
      <c r="M574">
        <v>1.6740429543605387E-3</v>
      </c>
      <c r="N574">
        <v>0.15662851117849622</v>
      </c>
      <c r="O574">
        <v>2.1242255107347851E-2</v>
      </c>
      <c r="P574">
        <v>2.8512769889788077E-2</v>
      </c>
      <c r="Q574">
        <v>5.6093390036113912E-3</v>
      </c>
      <c r="R574">
        <v>1.6525205827540689E-3</v>
      </c>
      <c r="S574">
        <v>0.26350197000642478</v>
      </c>
      <c r="T574">
        <v>1.353612869349645</v>
      </c>
      <c r="U574">
        <v>0.21476948223373957</v>
      </c>
      <c r="V574">
        <v>0.243603508943768</v>
      </c>
      <c r="W574">
        <v>0.10234427497384398</v>
      </c>
      <c r="X574">
        <v>1.6844290521190554E-2</v>
      </c>
      <c r="Y574">
        <v>4.4976162729928751E-3</v>
      </c>
    </row>
    <row r="575" spans="1:25" x14ac:dyDescent="0.2">
      <c r="A575" s="1077"/>
      <c r="B575" s="1444">
        <v>325</v>
      </c>
      <c r="C575" s="1081">
        <v>0.96566836828315827</v>
      </c>
      <c r="D575" s="1081">
        <v>1.022857819684821</v>
      </c>
      <c r="E575" s="1081">
        <v>1.0021848963409175</v>
      </c>
      <c r="F575" s="1081">
        <v>1.0274486674370171</v>
      </c>
      <c r="G575" s="1081">
        <v>0.95302749009609111</v>
      </c>
      <c r="H575" s="1081">
        <v>0.99444724611298307</v>
      </c>
      <c r="I575" s="1081">
        <v>0.96134410920076641</v>
      </c>
      <c r="K575">
        <v>2.4544365020473675</v>
      </c>
      <c r="L575">
        <v>0</v>
      </c>
      <c r="M575">
        <v>1.6747627443661924E-3</v>
      </c>
      <c r="N575">
        <v>0.15341575029577947</v>
      </c>
      <c r="O575">
        <v>2.1625389935781891E-2</v>
      </c>
      <c r="P575">
        <v>2.9013261598023681E-2</v>
      </c>
      <c r="Q575">
        <v>5.6713617419391557E-3</v>
      </c>
      <c r="R575">
        <v>1.6525328315065571E-3</v>
      </c>
      <c r="S575">
        <v>0.25412256032508856</v>
      </c>
      <c r="T575">
        <v>1.4093368146238348</v>
      </c>
      <c r="U575">
        <v>0.2195172397355592</v>
      </c>
      <c r="V575">
        <v>0.23972055495941996</v>
      </c>
      <c r="W575">
        <v>0.10065304047221355</v>
      </c>
      <c r="X575">
        <v>1.6885108662523744E-2</v>
      </c>
      <c r="Y575">
        <v>4.4976496100593497E-3</v>
      </c>
    </row>
    <row r="576" spans="1:25" x14ac:dyDescent="0.2">
      <c r="A576" s="1077"/>
      <c r="B576" s="1444">
        <v>326</v>
      </c>
      <c r="C576" s="1081">
        <v>0.9928544816724354</v>
      </c>
      <c r="D576" s="1081">
        <v>0.95987764210442894</v>
      </c>
      <c r="E576" s="1081">
        <v>1.0116447080951536</v>
      </c>
      <c r="F576" s="1081">
        <v>0.98427338109629903</v>
      </c>
      <c r="G576" s="1081">
        <v>1.0058347209167853</v>
      </c>
      <c r="H576" s="1081">
        <v>0.96934995058036644</v>
      </c>
      <c r="I576" s="1081">
        <v>1.030540994427452</v>
      </c>
      <c r="K576">
        <v>2.404803963664413</v>
      </c>
      <c r="L576">
        <v>0</v>
      </c>
      <c r="M576">
        <v>1.5788299018961553E-3</v>
      </c>
      <c r="N576">
        <v>0.14876700085044869</v>
      </c>
      <c r="O576">
        <v>2.1335766913100799E-2</v>
      </c>
      <c r="P576">
        <v>2.8659654693057892E-2</v>
      </c>
      <c r="Q576">
        <v>5.6486612348044547E-3</v>
      </c>
      <c r="R576">
        <v>1.5573307677802749E-3</v>
      </c>
      <c r="S576">
        <v>0.27139749397046192</v>
      </c>
      <c r="T576">
        <v>1.3503155443049595</v>
      </c>
      <c r="U576">
        <v>0.21353907258921118</v>
      </c>
      <c r="V576">
        <v>0.24693485072795091</v>
      </c>
      <c r="W576">
        <v>9.7058831924757047E-2</v>
      </c>
      <c r="X576">
        <v>1.693004461382706E-2</v>
      </c>
      <c r="Y576">
        <v>4.2385409759482821E-3</v>
      </c>
    </row>
    <row r="577" spans="1:25" x14ac:dyDescent="0.2">
      <c r="A577" s="1077"/>
      <c r="B577" s="1444">
        <v>327</v>
      </c>
      <c r="C577" s="1081">
        <v>1.0201529620605356</v>
      </c>
      <c r="D577" s="1081">
        <v>1.0263275372518068</v>
      </c>
      <c r="E577" s="1081">
        <v>0.99630997782603692</v>
      </c>
      <c r="F577" s="1081">
        <v>0.99734970542926726</v>
      </c>
      <c r="G577" s="1081">
        <v>1.00548349500554</v>
      </c>
      <c r="H577" s="1081">
        <v>0.99410829223312014</v>
      </c>
      <c r="I577" s="1081">
        <v>1.0312849705473959</v>
      </c>
      <c r="K577">
        <v>2.3921601117705134</v>
      </c>
      <c r="L577">
        <v>0</v>
      </c>
      <c r="M577">
        <v>1.6030100707260875E-3</v>
      </c>
      <c r="N577">
        <v>0.14425870381353759</v>
      </c>
      <c r="O577">
        <v>2.0451370587993175E-2</v>
      </c>
      <c r="P577">
        <v>2.828469882342112E-2</v>
      </c>
      <c r="Q577">
        <v>5.3318766177378862E-3</v>
      </c>
      <c r="R577">
        <v>1.5817253099829575E-3</v>
      </c>
      <c r="S577">
        <v>0.25753930234830219</v>
      </c>
      <c r="T577">
        <v>1.3679237855576811</v>
      </c>
      <c r="U577">
        <v>0.2077735233084643</v>
      </c>
      <c r="V577">
        <v>0.24524837804862257</v>
      </c>
      <c r="W577">
        <v>9.4976534200428342E-2</v>
      </c>
      <c r="X577">
        <v>1.6088288346902308E-2</v>
      </c>
      <c r="Y577">
        <v>4.3049348781653077E-3</v>
      </c>
    </row>
    <row r="578" spans="1:25" x14ac:dyDescent="0.2">
      <c r="A578" s="1077"/>
      <c r="B578" s="1444">
        <v>328</v>
      </c>
      <c r="C578" s="1081">
        <v>1.0133098321943985</v>
      </c>
      <c r="D578" s="1081">
        <v>1.0149978876128016</v>
      </c>
      <c r="E578" s="1081">
        <v>1.019627787499688</v>
      </c>
      <c r="F578" s="1081">
        <v>0.99191843815346836</v>
      </c>
      <c r="G578" s="1081">
        <v>1.0094694797173245</v>
      </c>
      <c r="H578" s="1081">
        <v>0.99059561375847005</v>
      </c>
      <c r="I578" s="1081">
        <v>0.99463821696050125</v>
      </c>
      <c r="K578">
        <v>2.3882878885448244</v>
      </c>
      <c r="L578">
        <v>0</v>
      </c>
      <c r="M578">
        <v>1.5358568799657376E-3</v>
      </c>
      <c r="N578">
        <v>0.14829043555694862</v>
      </c>
      <c r="O578">
        <v>2.0655067512288364E-2</v>
      </c>
      <c r="P578">
        <v>2.8629560509916586E-2</v>
      </c>
      <c r="Q578">
        <v>5.5121229079701586E-3</v>
      </c>
      <c r="R578">
        <v>1.5153914645171815E-3</v>
      </c>
      <c r="S578">
        <v>0.25134640838012745</v>
      </c>
      <c r="T578">
        <v>1.3609755216606707</v>
      </c>
      <c r="U578">
        <v>0.20925542418166479</v>
      </c>
      <c r="V578">
        <v>0.24625793056624967</v>
      </c>
      <c r="W578">
        <v>9.6295552935896575E-2</v>
      </c>
      <c r="X578">
        <v>1.6965933730784196E-2</v>
      </c>
      <c r="Y578">
        <v>4.1243960177537453E-3</v>
      </c>
    </row>
    <row r="579" spans="1:25" x14ac:dyDescent="0.2">
      <c r="A579" s="1077"/>
      <c r="B579" s="1444">
        <v>329</v>
      </c>
      <c r="C579" s="1081">
        <v>1.0112604953727771</v>
      </c>
      <c r="D579" s="1081">
        <v>0.98680135846960959</v>
      </c>
      <c r="E579" s="1081">
        <v>1.0160968325959649</v>
      </c>
      <c r="F579" s="1081">
        <v>1.0221561963055079</v>
      </c>
      <c r="G579" s="1081">
        <v>1.0274715723356835</v>
      </c>
      <c r="H579" s="1081">
        <v>0.9916512590031562</v>
      </c>
      <c r="I579" s="1081">
        <v>0.99574920590129512</v>
      </c>
      <c r="K579">
        <v>2.4404637090949657</v>
      </c>
      <c r="L579">
        <v>0</v>
      </c>
      <c r="M579">
        <v>1.5616148486545379E-3</v>
      </c>
      <c r="N579">
        <v>0.14918174440305876</v>
      </c>
      <c r="O579">
        <v>2.0823274273260375E-2</v>
      </c>
      <c r="P579">
        <v>2.92386662512641E-2</v>
      </c>
      <c r="Q579">
        <v>5.5375161203710726E-3</v>
      </c>
      <c r="R579">
        <v>1.5408283576997786E-3</v>
      </c>
      <c r="S579">
        <v>0.25578544686344767</v>
      </c>
      <c r="T579">
        <v>1.4023853237534774</v>
      </c>
      <c r="U579">
        <v>0.20966751602782058</v>
      </c>
      <c r="V579">
        <v>0.24946822441828131</v>
      </c>
      <c r="W579">
        <v>9.7075010305124915E-2</v>
      </c>
      <c r="X579">
        <v>1.7128146314086774E-2</v>
      </c>
      <c r="Y579">
        <v>4.1936268557271903E-3</v>
      </c>
    </row>
    <row r="580" spans="1:25" x14ac:dyDescent="0.2">
      <c r="A580" s="1077"/>
      <c r="B580" s="1444">
        <v>330</v>
      </c>
      <c r="C580" s="1081">
        <v>0.99157176364582733</v>
      </c>
      <c r="D580" s="1081">
        <v>0.96857817584764094</v>
      </c>
      <c r="E580" s="1081">
        <v>0.97858070922871199</v>
      </c>
      <c r="F580" s="1081">
        <v>1.0270021990624616</v>
      </c>
      <c r="G580" s="1081">
        <v>1.0005029892860509</v>
      </c>
      <c r="H580" s="1081">
        <v>0.97897779739739188</v>
      </c>
      <c r="I580" s="1081">
        <v>0.99436998852541492</v>
      </c>
      <c r="K580">
        <v>2.4478639257663546</v>
      </c>
      <c r="L580">
        <v>0</v>
      </c>
      <c r="M580">
        <v>1.7064359872206517E-3</v>
      </c>
      <c r="N580">
        <v>0.14551958433154269</v>
      </c>
      <c r="O580">
        <v>2.1298731215566559E-2</v>
      </c>
      <c r="P580">
        <v>2.8596816128505613E-2</v>
      </c>
      <c r="Q580">
        <v>5.4540322160976781E-3</v>
      </c>
      <c r="R580">
        <v>1.6834277483563434E-3</v>
      </c>
      <c r="S580">
        <v>0.26156443180083866</v>
      </c>
      <c r="T580">
        <v>1.4082011301874853</v>
      </c>
      <c r="U580">
        <v>0.21370141998055248</v>
      </c>
      <c r="V580">
        <v>0.24622482570716078</v>
      </c>
      <c r="W580">
        <v>9.6831736717766362E-2</v>
      </c>
      <c r="X580">
        <v>1.5912490330482247E-2</v>
      </c>
      <c r="Y580">
        <v>4.5817353892178671E-3</v>
      </c>
    </row>
    <row r="581" spans="1:25" x14ac:dyDescent="0.2">
      <c r="A581" s="1077"/>
      <c r="B581" s="1444">
        <v>331</v>
      </c>
      <c r="C581" s="1081">
        <v>0.95811352272611228</v>
      </c>
      <c r="D581" s="1081">
        <v>0.98810528117076912</v>
      </c>
      <c r="E581" s="1081">
        <v>1.0207386639362797</v>
      </c>
      <c r="F581" s="1081">
        <v>1.011707907279878</v>
      </c>
      <c r="G581" s="1081">
        <v>0.98579021973147785</v>
      </c>
      <c r="H581" s="1081">
        <v>1.01510667725106</v>
      </c>
      <c r="I581" s="1081">
        <v>0.99517950171421654</v>
      </c>
      <c r="K581">
        <v>2.4735006286662253</v>
      </c>
      <c r="L581">
        <v>0</v>
      </c>
      <c r="M581">
        <v>1.6705254708920978E-3</v>
      </c>
      <c r="N581">
        <v>0.16188720097664133</v>
      </c>
      <c r="O581">
        <v>2.1975199298632866E-2</v>
      </c>
      <c r="P581">
        <v>2.9472566343359364E-2</v>
      </c>
      <c r="Q581">
        <v>5.8708998289841345E-3</v>
      </c>
      <c r="R581">
        <v>1.6488030794408262E-3</v>
      </c>
      <c r="S581">
        <v>0.27175921691393018</v>
      </c>
      <c r="T581">
        <v>1.3881523428172615</v>
      </c>
      <c r="U581">
        <v>0.22131447127107762</v>
      </c>
      <c r="V581">
        <v>0.24576101020793178</v>
      </c>
      <c r="W581">
        <v>0.10505661125327194</v>
      </c>
      <c r="X581">
        <v>1.7785333692134107E-2</v>
      </c>
      <c r="Y581">
        <v>4.4874984544488669E-3</v>
      </c>
    </row>
    <row r="582" spans="1:25" x14ac:dyDescent="0.2">
      <c r="A582" s="1077"/>
      <c r="B582" s="1444">
        <v>332</v>
      </c>
      <c r="C582" s="1081">
        <v>0.99848486584626583</v>
      </c>
      <c r="D582" s="1081">
        <v>0.97463379699503616</v>
      </c>
      <c r="E582" s="1081">
        <v>0.97419920146314498</v>
      </c>
      <c r="F582" s="1081">
        <v>0.99007314234713872</v>
      </c>
      <c r="G582" s="1081">
        <v>0.99718867815076695</v>
      </c>
      <c r="H582" s="1081">
        <v>1.0180720549539697</v>
      </c>
      <c r="I582" s="1081">
        <v>1.0100440152500036</v>
      </c>
      <c r="K582">
        <v>2.4051597734573926</v>
      </c>
      <c r="L582">
        <v>0</v>
      </c>
      <c r="M582">
        <v>1.7758868379838598E-3</v>
      </c>
      <c r="N582">
        <v>0.14952563486706583</v>
      </c>
      <c r="O582">
        <v>2.1119367614294973E-2</v>
      </c>
      <c r="P582">
        <v>2.7853657074049423E-2</v>
      </c>
      <c r="Q582">
        <v>5.3840231263457125E-3</v>
      </c>
      <c r="R582">
        <v>1.7528616603055384E-3</v>
      </c>
      <c r="S582">
        <v>0.26636042169092733</v>
      </c>
      <c r="T582">
        <v>1.3574715158176742</v>
      </c>
      <c r="U582">
        <v>0.21220689589409536</v>
      </c>
      <c r="V582">
        <v>0.24523900231794873</v>
      </c>
      <c r="W582">
        <v>9.9761786843632419E-2</v>
      </c>
      <c r="X582">
        <v>1.5489781780376044E-2</v>
      </c>
      <c r="Y582">
        <v>4.7707116086606509E-3</v>
      </c>
    </row>
    <row r="583" spans="1:25" x14ac:dyDescent="0.2">
      <c r="A583" s="1077"/>
      <c r="B583" s="1444">
        <v>333</v>
      </c>
      <c r="C583" s="1081">
        <v>1.0134578473775151</v>
      </c>
      <c r="D583" s="1081">
        <v>1.0374929464119473</v>
      </c>
      <c r="E583" s="1081">
        <v>0.96814251725913092</v>
      </c>
      <c r="F583" s="1081">
        <v>1.0331171439724351</v>
      </c>
      <c r="G583" s="1081">
        <v>0.95608288021529697</v>
      </c>
      <c r="H583" s="1081">
        <v>1.0068369210049388</v>
      </c>
      <c r="I583" s="1081">
        <v>1.0086978991929798</v>
      </c>
      <c r="K583">
        <v>2.428045328708119</v>
      </c>
      <c r="L583">
        <v>0</v>
      </c>
      <c r="M583">
        <v>1.728189842620924E-3</v>
      </c>
      <c r="N583">
        <v>0.14284476519221756</v>
      </c>
      <c r="O583">
        <v>2.0519284971173016E-2</v>
      </c>
      <c r="P583">
        <v>2.8184293325178283E-2</v>
      </c>
      <c r="Q583">
        <v>5.1987810659425652E-3</v>
      </c>
      <c r="R583">
        <v>1.7055330445623974E-3</v>
      </c>
      <c r="S583">
        <v>0.25304595658373397</v>
      </c>
      <c r="T583">
        <v>1.4163538528978015</v>
      </c>
      <c r="U583">
        <v>0.20905138617407934</v>
      </c>
      <c r="V583">
        <v>0.23731249464557336</v>
      </c>
      <c r="W583">
        <v>9.5656028855634803E-2</v>
      </c>
      <c r="X583">
        <v>1.5259243076359787E-2</v>
      </c>
      <c r="Y583">
        <v>4.6418987184818081E-3</v>
      </c>
    </row>
    <row r="584" spans="1:25" x14ac:dyDescent="0.2">
      <c r="A584" s="1077"/>
      <c r="B584" s="1444">
        <v>334</v>
      </c>
      <c r="C584" s="1081">
        <v>1.0028758744133273</v>
      </c>
      <c r="D584" s="1081">
        <v>1.0131248752210638</v>
      </c>
      <c r="E584" s="1081">
        <v>1.0068901781660304</v>
      </c>
      <c r="F584" s="1081">
        <v>0.98481406731322518</v>
      </c>
      <c r="G584" s="1081">
        <v>1.0096409545391118</v>
      </c>
      <c r="H584" s="1081">
        <v>0.95674512313666049</v>
      </c>
      <c r="I584" s="1081">
        <v>0.97167676837092798</v>
      </c>
      <c r="K584">
        <v>2.3664094697373681</v>
      </c>
      <c r="L584">
        <v>0</v>
      </c>
      <c r="M584">
        <v>1.5396441278006481E-3</v>
      </c>
      <c r="N584">
        <v>0.14298104171984521</v>
      </c>
      <c r="O584">
        <v>2.0870023368909196E-2</v>
      </c>
      <c r="P584">
        <v>2.8182916092506852E-2</v>
      </c>
      <c r="Q584">
        <v>5.4991460096552184E-3</v>
      </c>
      <c r="R584">
        <v>1.5184023769213091E-3</v>
      </c>
      <c r="S584">
        <v>0.24544513538048754</v>
      </c>
      <c r="T584">
        <v>1.3509558490570401</v>
      </c>
      <c r="U584">
        <v>0.21138902154406666</v>
      </c>
      <c r="V584">
        <v>0.24697365366683141</v>
      </c>
      <c r="W584">
        <v>9.3545998666542923E-2</v>
      </c>
      <c r="X584">
        <v>1.6455335253591875E-2</v>
      </c>
      <c r="Y584">
        <v>4.1325907287707749E-3</v>
      </c>
    </row>
    <row r="585" spans="1:25" x14ac:dyDescent="0.2">
      <c r="A585" s="1077"/>
      <c r="B585" s="1444">
        <v>335</v>
      </c>
      <c r="C585" s="1081">
        <v>0.99829632788469247</v>
      </c>
      <c r="D585" s="1081">
        <v>1.012607515297933</v>
      </c>
      <c r="E585" s="1081">
        <v>0.96417289612304391</v>
      </c>
      <c r="F585" s="1081">
        <v>0.96954306439496285</v>
      </c>
      <c r="G585" s="1081">
        <v>0.99334449781911205</v>
      </c>
      <c r="H585" s="1081">
        <v>0.99319000770911725</v>
      </c>
      <c r="I585" s="1081">
        <v>0.97837426312338094</v>
      </c>
      <c r="K585">
        <v>2.3491997166928926</v>
      </c>
      <c r="L585">
        <v>0</v>
      </c>
      <c r="M585">
        <v>1.75423364180004E-3</v>
      </c>
      <c r="N585">
        <v>0.14323842220752431</v>
      </c>
      <c r="O585">
        <v>2.0939863322899221E-2</v>
      </c>
      <c r="P585">
        <v>2.7052155179931949E-2</v>
      </c>
      <c r="Q585">
        <v>5.2838115550759117E-3</v>
      </c>
      <c r="R585">
        <v>1.7309193991462948E-3</v>
      </c>
      <c r="S585">
        <v>0.25102635640228887</v>
      </c>
      <c r="T585">
        <v>1.3291142004324805</v>
      </c>
      <c r="U585">
        <v>0.2122128148866386</v>
      </c>
      <c r="V585">
        <v>0.24463057818624545</v>
      </c>
      <c r="W585">
        <v>9.6152377917135295E-2</v>
      </c>
      <c r="X585">
        <v>1.4861458838277922E-2</v>
      </c>
      <c r="Y585">
        <v>4.7109920070496367E-3</v>
      </c>
    </row>
    <row r="586" spans="1:25" x14ac:dyDescent="0.2">
      <c r="A586" s="1077"/>
      <c r="B586" s="1444">
        <v>336</v>
      </c>
      <c r="C586" s="1081">
        <v>0.99658666804249307</v>
      </c>
      <c r="D586" s="1081">
        <v>0.98863802993314953</v>
      </c>
      <c r="E586" s="1081">
        <v>1.003807392044993</v>
      </c>
      <c r="F586" s="1081">
        <v>0.96879301550015628</v>
      </c>
      <c r="G586" s="1081">
        <v>1.0048181919429822</v>
      </c>
      <c r="H586" s="1081">
        <v>0.9986846790659889</v>
      </c>
      <c r="I586" s="1081">
        <v>1.0054344841066645</v>
      </c>
      <c r="K586">
        <v>2.3754497273607842</v>
      </c>
      <c r="L586">
        <v>0</v>
      </c>
      <c r="M586">
        <v>1.6364460532581307E-3</v>
      </c>
      <c r="N586">
        <v>0.15065083435894858</v>
      </c>
      <c r="O586">
        <v>2.1113018261855836E-2</v>
      </c>
      <c r="P586">
        <v>2.8060435605304527E-2</v>
      </c>
      <c r="Q586">
        <v>5.5460124831481633E-3</v>
      </c>
      <c r="R586">
        <v>1.6148168996954243E-3</v>
      </c>
      <c r="S586">
        <v>0.26233445433607538</v>
      </c>
      <c r="T586">
        <v>1.3289137030599565</v>
      </c>
      <c r="U586">
        <v>0.21271246161177013</v>
      </c>
      <c r="V586">
        <v>0.24655393490202679</v>
      </c>
      <c r="W586">
        <v>9.8743991918397431E-2</v>
      </c>
      <c r="X586">
        <v>1.6447510700141131E-2</v>
      </c>
      <c r="Y586">
        <v>4.3949992767230248E-3</v>
      </c>
    </row>
    <row r="587" spans="1:25" x14ac:dyDescent="0.2">
      <c r="A587" s="1077"/>
      <c r="B587" s="1444">
        <v>337</v>
      </c>
      <c r="C587" s="1081">
        <v>1.01322235871134</v>
      </c>
      <c r="D587" s="1081">
        <v>0.99358570136567936</v>
      </c>
      <c r="E587" s="1081">
        <v>0.987976612066233</v>
      </c>
      <c r="F587" s="1081">
        <v>0.97613931226429618</v>
      </c>
      <c r="G587" s="1081">
        <v>0.96271657768188224</v>
      </c>
      <c r="H587" s="1081">
        <v>0.97544646909417532</v>
      </c>
      <c r="I587" s="1081">
        <v>0.9749623521824976</v>
      </c>
      <c r="K587">
        <v>2.3439122385058462</v>
      </c>
      <c r="L587">
        <v>0</v>
      </c>
      <c r="M587">
        <v>1.6227897600498455E-3</v>
      </c>
      <c r="N587">
        <v>0.14236909084984842</v>
      </c>
      <c r="O587">
        <v>2.0733200542348777E-2</v>
      </c>
      <c r="P587">
        <v>2.7503600352979735E-2</v>
      </c>
      <c r="Q587">
        <v>5.3600676001012556E-3</v>
      </c>
      <c r="R587">
        <v>1.6008301291588587E-3</v>
      </c>
      <c r="S587">
        <v>0.24755186316592812</v>
      </c>
      <c r="T587">
        <v>1.3386568291735621</v>
      </c>
      <c r="U587">
        <v>0.20916664883648287</v>
      </c>
      <c r="V587">
        <v>0.23839131194462498</v>
      </c>
      <c r="W587">
        <v>9.4200762546622366E-2</v>
      </c>
      <c r="X587">
        <v>1.5643891226176626E-2</v>
      </c>
      <c r="Y587">
        <v>4.3569318980601615E-3</v>
      </c>
    </row>
    <row r="588" spans="1:25" x14ac:dyDescent="0.2">
      <c r="A588" s="1077"/>
      <c r="B588" s="1444">
        <v>338</v>
      </c>
      <c r="C588" s="1081">
        <v>1.0347507778958842</v>
      </c>
      <c r="D588" s="1081">
        <v>0.98375768544458109</v>
      </c>
      <c r="E588" s="1081">
        <v>1.0151484876588466</v>
      </c>
      <c r="F588" s="1081">
        <v>0.9741321599752254</v>
      </c>
      <c r="G588" s="1081">
        <v>1.0128304466515452</v>
      </c>
      <c r="H588" s="1081">
        <v>0.97488335651314573</v>
      </c>
      <c r="I588" s="1081">
        <v>0.98372401472273274</v>
      </c>
      <c r="K588">
        <v>2.3438301650407696</v>
      </c>
      <c r="L588">
        <v>0</v>
      </c>
      <c r="M588">
        <v>1.5043414686432967E-3</v>
      </c>
      <c r="N588">
        <v>0.14326645047281544</v>
      </c>
      <c r="O588">
        <v>2.0363780252383043E-2</v>
      </c>
      <c r="P588">
        <v>2.8053875391080754E-2</v>
      </c>
      <c r="Q588">
        <v>5.4102078286885529E-3</v>
      </c>
      <c r="R588">
        <v>1.4839729244447862E-3</v>
      </c>
      <c r="S588">
        <v>0.24597528638998825</v>
      </c>
      <c r="T588">
        <v>1.3364769134078371</v>
      </c>
      <c r="U588">
        <v>0.20490463134579312</v>
      </c>
      <c r="V588">
        <v>0.24557148023342609</v>
      </c>
      <c r="W588">
        <v>9.3277748980819156E-2</v>
      </c>
      <c r="X588">
        <v>1.6511274173341015E-2</v>
      </c>
      <c r="Y588">
        <v>4.0388851087956373E-3</v>
      </c>
    </row>
    <row r="589" spans="1:25" x14ac:dyDescent="0.2">
      <c r="A589" s="1077"/>
      <c r="B589" s="1444">
        <v>339</v>
      </c>
      <c r="C589" s="1081">
        <v>0.99445678107764379</v>
      </c>
      <c r="D589" s="1081">
        <v>1.0088131020506794</v>
      </c>
      <c r="E589" s="1081">
        <v>1.0246205997280626</v>
      </c>
      <c r="F589" s="1081">
        <v>0.98890936568331766</v>
      </c>
      <c r="G589" s="1081">
        <v>1.0047143127356353</v>
      </c>
      <c r="H589" s="1081">
        <v>0.98877031023678852</v>
      </c>
      <c r="I589" s="1081">
        <v>0.9992849023218261</v>
      </c>
      <c r="K589">
        <v>2.4017719416081875</v>
      </c>
      <c r="L589">
        <v>0</v>
      </c>
      <c r="M589">
        <v>1.5480216543016935E-3</v>
      </c>
      <c r="N589">
        <v>0.15172914969052137</v>
      </c>
      <c r="O589">
        <v>2.1078305431272527E-2</v>
      </c>
      <c r="P589">
        <v>2.8830612893398978E-2</v>
      </c>
      <c r="Q589">
        <v>5.6530275620550663E-3</v>
      </c>
      <c r="R589">
        <v>1.527356063177971E-3</v>
      </c>
      <c r="S589">
        <v>0.25798076799928149</v>
      </c>
      <c r="T589">
        <v>1.3569541337674262</v>
      </c>
      <c r="U589">
        <v>0.21323973740732124</v>
      </c>
      <c r="V589">
        <v>0.2465964698975083</v>
      </c>
      <c r="W589">
        <v>9.8241645877957445E-2</v>
      </c>
      <c r="X589">
        <v>1.7331796961388167E-2</v>
      </c>
      <c r="Y589">
        <v>4.1569597111795267E-3</v>
      </c>
    </row>
    <row r="590" spans="1:25" x14ac:dyDescent="0.2">
      <c r="A590" s="1077"/>
      <c r="B590" s="1444">
        <v>340</v>
      </c>
      <c r="C590" s="1081">
        <v>1.0161142801754386</v>
      </c>
      <c r="D590" s="1081">
        <v>1.024094028268058</v>
      </c>
      <c r="E590" s="1081">
        <v>1.024799518732473</v>
      </c>
      <c r="F590" s="1081">
        <v>0.99981148893074689</v>
      </c>
      <c r="G590" s="1081">
        <v>1.0219782203774388</v>
      </c>
      <c r="H590" s="1081">
        <v>1.0173854101685305</v>
      </c>
      <c r="I590" s="1081">
        <v>1.0170299488070174</v>
      </c>
      <c r="K590">
        <v>2.4137901614658599</v>
      </c>
      <c r="L590">
        <v>0</v>
      </c>
      <c r="M590">
        <v>1.5531459995005675E-3</v>
      </c>
      <c r="N590">
        <v>0.15237153763090708</v>
      </c>
      <c r="O590">
        <v>2.056104153121802E-2</v>
      </c>
      <c r="P590">
        <v>2.8994387754236399E-2</v>
      </c>
      <c r="Q590">
        <v>5.5152800375136615E-3</v>
      </c>
      <c r="R590">
        <v>1.5329951668887646E-3</v>
      </c>
      <c r="S590">
        <v>0.25746923958906853</v>
      </c>
      <c r="T590">
        <v>1.3719176140320593</v>
      </c>
      <c r="U590">
        <v>0.20869534153594146</v>
      </c>
      <c r="V590">
        <v>0.24820417525152716</v>
      </c>
      <c r="W590">
        <v>9.8647290961641848E-2</v>
      </c>
      <c r="X590">
        <v>1.7262096481805937E-2</v>
      </c>
      <c r="Y590">
        <v>4.1723074925502689E-3</v>
      </c>
    </row>
    <row r="591" spans="1:25" x14ac:dyDescent="0.2">
      <c r="A591" s="1077"/>
      <c r="B591" s="1444">
        <v>341</v>
      </c>
      <c r="C591" s="1081">
        <v>0.97532801077984943</v>
      </c>
      <c r="D591" s="1081">
        <v>0.9648332146554004</v>
      </c>
      <c r="E591" s="1081">
        <v>0.9988927963943478</v>
      </c>
      <c r="F591" s="1081">
        <v>0.98913046032274776</v>
      </c>
      <c r="G591" s="1081">
        <v>0.99702202655638839</v>
      </c>
      <c r="H591" s="1081">
        <v>0.98708791095001625</v>
      </c>
      <c r="I591" s="1081">
        <v>1.018543309455622</v>
      </c>
      <c r="K591">
        <v>2.4237992859051003</v>
      </c>
      <c r="L591">
        <v>0</v>
      </c>
      <c r="M591">
        <v>1.6786127488641355E-3</v>
      </c>
      <c r="N591">
        <v>0.15223139646336689</v>
      </c>
      <c r="O591">
        <v>2.1685822656227448E-2</v>
      </c>
      <c r="P591">
        <v>2.8557242575880267E-2</v>
      </c>
      <c r="Q591">
        <v>5.6684273699624324E-3</v>
      </c>
      <c r="R591">
        <v>1.6561656146872837E-3</v>
      </c>
      <c r="S591">
        <v>0.27382213911404268</v>
      </c>
      <c r="T591">
        <v>1.3567058353861823</v>
      </c>
      <c r="U591">
        <v>0.21733160357055972</v>
      </c>
      <c r="V591">
        <v>0.24660480992545872</v>
      </c>
      <c r="W591">
        <v>0.10007153922645497</v>
      </c>
      <c r="X591">
        <v>1.6635379902806974E-2</v>
      </c>
      <c r="Y591">
        <v>4.5075368483306335E-3</v>
      </c>
    </row>
    <row r="592" spans="1:25" x14ac:dyDescent="0.2">
      <c r="A592" s="1077"/>
      <c r="B592" s="1444">
        <v>342</v>
      </c>
      <c r="C592" s="1081">
        <v>1.0092193293925962</v>
      </c>
      <c r="D592" s="1081">
        <v>1.0283257324963924</v>
      </c>
      <c r="E592" s="1081">
        <v>1.0109562919476889</v>
      </c>
      <c r="F592" s="1081">
        <v>0.99690241069546193</v>
      </c>
      <c r="G592" s="1081">
        <v>1.0160350682308472</v>
      </c>
      <c r="H592" s="1081">
        <v>1.0014707957177729</v>
      </c>
      <c r="I592" s="1081">
        <v>0.97427557320176872</v>
      </c>
      <c r="K592">
        <v>2.3934154664376615</v>
      </c>
      <c r="L592">
        <v>0</v>
      </c>
      <c r="M592">
        <v>1.5828255955530643E-3</v>
      </c>
      <c r="N592">
        <v>0.14889978276248525</v>
      </c>
      <c r="O592">
        <v>2.0673669464395309E-2</v>
      </c>
      <c r="P592">
        <v>2.850180324436101E-2</v>
      </c>
      <c r="Q592">
        <v>5.4696078100468478E-3</v>
      </c>
      <c r="R592">
        <v>1.5619633528379708E-3</v>
      </c>
      <c r="S592">
        <v>0.2464153681822169</v>
      </c>
      <c r="T592">
        <v>1.3676263166797202</v>
      </c>
      <c r="U592">
        <v>0.21007412539941614</v>
      </c>
      <c r="V592">
        <v>0.24765949535425907</v>
      </c>
      <c r="W592">
        <v>9.7184864821779529E-2</v>
      </c>
      <c r="X592">
        <v>1.6680145616351255E-2</v>
      </c>
      <c r="Y592">
        <v>4.2511493453440746E-3</v>
      </c>
    </row>
    <row r="593" spans="1:25" x14ac:dyDescent="0.2">
      <c r="A593" s="1077"/>
      <c r="B593" s="1444">
        <v>343</v>
      </c>
      <c r="C593" s="1081">
        <v>1.0090364726657886</v>
      </c>
      <c r="D593" s="1081">
        <v>1.0015835123817172</v>
      </c>
      <c r="E593" s="1081">
        <v>0.98120948540018571</v>
      </c>
      <c r="F593" s="1081">
        <v>1.0070531676276235</v>
      </c>
      <c r="G593" s="1081">
        <v>1.0342124893712623</v>
      </c>
      <c r="H593" s="1081">
        <v>0.97390764033229027</v>
      </c>
      <c r="I593" s="1081">
        <v>1.039042369422144</v>
      </c>
      <c r="K593">
        <v>2.4156570348624844</v>
      </c>
      <c r="L593">
        <v>0</v>
      </c>
      <c r="M593">
        <v>1.6469863392083832E-3</v>
      </c>
      <c r="N593">
        <v>0.14156140013899202</v>
      </c>
      <c r="O593">
        <v>2.0778083348625482E-2</v>
      </c>
      <c r="P593">
        <v>2.8327878250634111E-2</v>
      </c>
      <c r="Q593">
        <v>5.3349444516710559E-3</v>
      </c>
      <c r="R593">
        <v>1.6246640648082224E-3</v>
      </c>
      <c r="S593">
        <v>0.26365874904028341</v>
      </c>
      <c r="T593">
        <v>1.380904509537437</v>
      </c>
      <c r="U593">
        <v>0.21001148757012816</v>
      </c>
      <c r="V593">
        <v>0.25088610798001204</v>
      </c>
      <c r="W593">
        <v>9.4048463525247247E-2</v>
      </c>
      <c r="X593">
        <v>1.5745933279808631E-2</v>
      </c>
      <c r="Y593">
        <v>4.4218000140429561E-3</v>
      </c>
    </row>
    <row r="594" spans="1:25" x14ac:dyDescent="0.2">
      <c r="A594" s="1077"/>
      <c r="B594" s="1444">
        <v>344</v>
      </c>
      <c r="C594" s="1081">
        <v>1.0464138561271796</v>
      </c>
      <c r="D594" s="1081">
        <v>1.0303725875767198</v>
      </c>
      <c r="E594" s="1081">
        <v>1.021031427442469</v>
      </c>
      <c r="F594" s="1081">
        <v>1.0248925629214152</v>
      </c>
      <c r="G594" s="1081">
        <v>0.99390989399399698</v>
      </c>
      <c r="H594" s="1081">
        <v>0.99288905883251077</v>
      </c>
      <c r="I594" s="1081">
        <v>1.0058298070114688</v>
      </c>
      <c r="K594">
        <v>2.4070502638018709</v>
      </c>
      <c r="L594">
        <v>0</v>
      </c>
      <c r="M594">
        <v>1.4814568668604011E-3</v>
      </c>
      <c r="N594">
        <v>0.14364943370908875</v>
      </c>
      <c r="O594">
        <v>1.993647190816512E-2</v>
      </c>
      <c r="P594">
        <v>2.9035892954871537E-2</v>
      </c>
      <c r="Q594">
        <v>5.3277825669027076E-3</v>
      </c>
      <c r="R594">
        <v>1.4617619339948491E-3</v>
      </c>
      <c r="S594">
        <v>0.2444920485562371</v>
      </c>
      <c r="T594">
        <v>1.406249367666853</v>
      </c>
      <c r="U594">
        <v>0.20264008392129571</v>
      </c>
      <c r="V594">
        <v>0.24164874793941302</v>
      </c>
      <c r="W594">
        <v>9.320526741582208E-2</v>
      </c>
      <c r="X594">
        <v>1.6906427981441791E-2</v>
      </c>
      <c r="Y594">
        <v>3.9784341146419438E-3</v>
      </c>
    </row>
    <row r="595" spans="1:25" x14ac:dyDescent="0.2">
      <c r="A595" s="1077"/>
      <c r="B595" s="1444">
        <v>345</v>
      </c>
      <c r="C595" s="1081">
        <v>0.97837155653344221</v>
      </c>
      <c r="D595" s="1081">
        <v>1.0313867026884176</v>
      </c>
      <c r="E595" s="1081">
        <v>1.006641701185147</v>
      </c>
      <c r="F595" s="1081">
        <v>0.98238630685130868</v>
      </c>
      <c r="G595" s="1081">
        <v>1.0223155835505962</v>
      </c>
      <c r="H595" s="1081">
        <v>0.99820371835626287</v>
      </c>
      <c r="I595" s="1081">
        <v>1.0299469760221351</v>
      </c>
      <c r="K595">
        <v>2.4116963837158178</v>
      </c>
      <c r="L595">
        <v>0</v>
      </c>
      <c r="M595">
        <v>1.6409820775316079E-3</v>
      </c>
      <c r="N595">
        <v>0.15236609802818232</v>
      </c>
      <c r="O595">
        <v>2.1308653357935633E-2</v>
      </c>
      <c r="P595">
        <v>2.8564781797398239E-2</v>
      </c>
      <c r="Q595">
        <v>5.6133258574087167E-3</v>
      </c>
      <c r="R595">
        <v>1.6192825202739217E-3</v>
      </c>
      <c r="S595">
        <v>0.26798539361658591</v>
      </c>
      <c r="T595">
        <v>1.3476201904456928</v>
      </c>
      <c r="U595">
        <v>0.21668260709502996</v>
      </c>
      <c r="V595">
        <v>0.25069700998106415</v>
      </c>
      <c r="W595">
        <v>9.9700859031452788E-2</v>
      </c>
      <c r="X595">
        <v>1.6772010838478544E-2</v>
      </c>
      <c r="Y595">
        <v>4.4071532238462692E-3</v>
      </c>
    </row>
    <row r="596" spans="1:25" x14ac:dyDescent="0.2">
      <c r="A596" s="1077"/>
      <c r="B596" s="1444">
        <v>346</v>
      </c>
      <c r="C596" s="1081">
        <v>0.99978025769084367</v>
      </c>
      <c r="D596" s="1081">
        <v>1.0074211733302478</v>
      </c>
      <c r="E596" s="1081">
        <v>0.98170291855318104</v>
      </c>
      <c r="F596" s="1081">
        <v>0.97809430379919238</v>
      </c>
      <c r="G596" s="1081">
        <v>0.97142477098753588</v>
      </c>
      <c r="H596" s="1081">
        <v>0.9685750003491449</v>
      </c>
      <c r="I596" s="1081">
        <v>1.0017027165942671</v>
      </c>
      <c r="K596">
        <v>2.3593408425835687</v>
      </c>
      <c r="L596">
        <v>0</v>
      </c>
      <c r="M596">
        <v>1.6493366443223836E-3</v>
      </c>
      <c r="N596">
        <v>0.14196445584642117</v>
      </c>
      <c r="O596">
        <v>2.0943983799717944E-2</v>
      </c>
      <c r="P596">
        <v>2.7581688333603978E-2</v>
      </c>
      <c r="Q596">
        <v>5.3802362216158897E-3</v>
      </c>
      <c r="R596">
        <v>1.6268594411562845E-3</v>
      </c>
      <c r="S596">
        <v>0.25533921888555333</v>
      </c>
      <c r="T596">
        <v>1.3412055590659617</v>
      </c>
      <c r="U596">
        <v>0.2119575083219789</v>
      </c>
      <c r="V596">
        <v>0.24072866817901151</v>
      </c>
      <c r="W596">
        <v>9.4288175096443855E-2</v>
      </c>
      <c r="X596">
        <v>1.5546050931670394E-2</v>
      </c>
      <c r="Y596">
        <v>4.4277751047567615E-3</v>
      </c>
    </row>
    <row r="597" spans="1:25" x14ac:dyDescent="0.2">
      <c r="A597" s="1077"/>
      <c r="B597" s="1444">
        <v>347</v>
      </c>
      <c r="C597" s="1081">
        <v>0.97455343178978837</v>
      </c>
      <c r="D597" s="1081">
        <v>1.0058247034171752</v>
      </c>
      <c r="E597" s="1081">
        <v>0.98409954481790551</v>
      </c>
      <c r="F597" s="1081">
        <v>1.0291057844369944</v>
      </c>
      <c r="G597" s="1081">
        <v>1.0279137397377076</v>
      </c>
      <c r="H597" s="1081">
        <v>1.0319787788910404</v>
      </c>
      <c r="I597" s="1081">
        <v>1.0114620940297065</v>
      </c>
      <c r="K597">
        <v>2.4870936195062376</v>
      </c>
      <c r="L597">
        <v>0</v>
      </c>
      <c r="M597">
        <v>1.7945023014272251E-3</v>
      </c>
      <c r="N597">
        <v>0.1557153383747521</v>
      </c>
      <c r="O597">
        <v>2.1495253453717739E-2</v>
      </c>
      <c r="P597">
        <v>2.900355593028903E-2</v>
      </c>
      <c r="Q597">
        <v>5.5352956786526783E-3</v>
      </c>
      <c r="R597">
        <v>1.7715493006555587E-3</v>
      </c>
      <c r="S597">
        <v>0.27031974785196883</v>
      </c>
      <c r="T597">
        <v>1.4112078818223022</v>
      </c>
      <c r="U597">
        <v>0.21745252253589617</v>
      </c>
      <c r="V597">
        <v>0.25198630755120871</v>
      </c>
      <c r="W597">
        <v>0.10327185086089835</v>
      </c>
      <c r="X597">
        <v>1.6307245242008089E-2</v>
      </c>
      <c r="Y597">
        <v>4.8215732053144209E-3</v>
      </c>
    </row>
    <row r="598" spans="1:25" x14ac:dyDescent="0.2">
      <c r="A598" s="1077"/>
      <c r="B598" s="1444">
        <v>348</v>
      </c>
      <c r="C598" s="1081">
        <v>1.0165505822127712</v>
      </c>
      <c r="D598" s="1081">
        <v>0.98808452628981891</v>
      </c>
      <c r="E598" s="1081">
        <v>0.99904815530604663</v>
      </c>
      <c r="F598" s="1081">
        <v>1.0108098612300018</v>
      </c>
      <c r="G598" s="1081">
        <v>1.0108357199646008</v>
      </c>
      <c r="H598" s="1081">
        <v>0.97625667698083929</v>
      </c>
      <c r="I598" s="1081">
        <v>1.0422947488937604</v>
      </c>
      <c r="K598">
        <v>2.4196093166347512</v>
      </c>
      <c r="L598">
        <v>0</v>
      </c>
      <c r="M598">
        <v>1.5840367868731038E-3</v>
      </c>
      <c r="N598">
        <v>0.14370025124736374</v>
      </c>
      <c r="O598">
        <v>2.0697816460231781E-2</v>
      </c>
      <c r="P598">
        <v>2.8718058417869077E-2</v>
      </c>
      <c r="Q598">
        <v>5.4110192083189684E-3</v>
      </c>
      <c r="R598">
        <v>1.5626193515337629E-3</v>
      </c>
      <c r="S598">
        <v>0.26468469372748832</v>
      </c>
      <c r="T598">
        <v>1.3864450151524252</v>
      </c>
      <c r="U598">
        <v>0.2085190203678853</v>
      </c>
      <c r="V598">
        <v>0.24636918167371141</v>
      </c>
      <c r="W598">
        <v>9.4454736758794622E-2</v>
      </c>
      <c r="X598">
        <v>1.6378006298455362E-2</v>
      </c>
      <c r="Y598">
        <v>4.2529347575441107E-3</v>
      </c>
    </row>
    <row r="599" spans="1:25" x14ac:dyDescent="0.2">
      <c r="A599" s="1077"/>
      <c r="B599" s="1444">
        <v>349</v>
      </c>
      <c r="C599" s="1081">
        <v>0.98329868311263624</v>
      </c>
      <c r="D599" s="1081">
        <v>1.0256950377478207</v>
      </c>
      <c r="E599" s="1081">
        <v>0.9999791756093539</v>
      </c>
      <c r="F599" s="1081">
        <v>1.0172822814919238</v>
      </c>
      <c r="G599" s="1081">
        <v>0.9965842951593451</v>
      </c>
      <c r="H599" s="1081">
        <v>1.0103385696979075</v>
      </c>
      <c r="I599" s="1081">
        <v>0.99100986945174852</v>
      </c>
      <c r="K599">
        <v>2.4449560445886394</v>
      </c>
      <c r="L599">
        <v>0</v>
      </c>
      <c r="M599">
        <v>1.6776592068621623E-3</v>
      </c>
      <c r="N599">
        <v>0.15269274102593233</v>
      </c>
      <c r="O599">
        <v>2.1223232880695265E-2</v>
      </c>
      <c r="P599">
        <v>2.8862953712884984E-2</v>
      </c>
      <c r="Q599">
        <v>5.5535747819342148E-3</v>
      </c>
      <c r="R599">
        <v>1.6557411004820709E-3</v>
      </c>
      <c r="S599">
        <v>0.25824956148971651</v>
      </c>
      <c r="T599">
        <v>1.3953431857453507</v>
      </c>
      <c r="U599">
        <v>0.21557367807000505</v>
      </c>
      <c r="V599">
        <v>0.2460076450238462</v>
      </c>
      <c r="W599">
        <v>0.1003099924637509</v>
      </c>
      <c r="X599">
        <v>1.6655016040298492E-2</v>
      </c>
      <c r="Y599">
        <v>4.5063814606051134E-3</v>
      </c>
    </row>
    <row r="600" spans="1:25" x14ac:dyDescent="0.2">
      <c r="A600" s="1077"/>
      <c r="B600" s="1444">
        <v>350</v>
      </c>
      <c r="C600" s="1081">
        <v>1.0037005519160416</v>
      </c>
      <c r="D600" s="1081">
        <v>0.97185480318878215</v>
      </c>
      <c r="E600" s="1081">
        <v>0.99132398253106169</v>
      </c>
      <c r="F600" s="1081">
        <v>1.0278006664531381</v>
      </c>
      <c r="G600" s="1081">
        <v>0.99633075074043476</v>
      </c>
      <c r="H600" s="1081">
        <v>0.97038040067664444</v>
      </c>
      <c r="I600" s="1081">
        <v>0.98776850691381346</v>
      </c>
      <c r="K600">
        <v>2.4362139817220143</v>
      </c>
      <c r="L600">
        <v>0</v>
      </c>
      <c r="M600">
        <v>1.6263112584435045E-3</v>
      </c>
      <c r="N600">
        <v>0.14411906463990015</v>
      </c>
      <c r="O600">
        <v>2.1034187141504977E-2</v>
      </c>
      <c r="P600">
        <v>2.8756626067735099E-2</v>
      </c>
      <c r="Q600">
        <v>5.4563137139478652E-3</v>
      </c>
      <c r="R600">
        <v>1.6041890810442737E-3</v>
      </c>
      <c r="S600">
        <v>0.25562837133210708</v>
      </c>
      <c r="T600">
        <v>1.4095783723564326</v>
      </c>
      <c r="U600">
        <v>0.21116233142057705</v>
      </c>
      <c r="V600">
        <v>0.24470558254252908</v>
      </c>
      <c r="W600">
        <v>9.5167578455734786E-2</v>
      </c>
      <c r="X600">
        <v>1.6261602371129114E-2</v>
      </c>
      <c r="Y600">
        <v>4.3660738578140705E-3</v>
      </c>
    </row>
    <row r="601" spans="1:25" x14ac:dyDescent="0.2">
      <c r="A601" s="1077"/>
      <c r="B601" s="1444">
        <v>351</v>
      </c>
      <c r="C601" s="1081">
        <v>1.0352508681511474</v>
      </c>
      <c r="D601" s="1081">
        <v>1.0210041133192516</v>
      </c>
      <c r="E601" s="1081">
        <v>0.99626122962955355</v>
      </c>
      <c r="F601" s="1081">
        <v>0.99803827135712497</v>
      </c>
      <c r="G601" s="1081">
        <v>0.99736232826863624</v>
      </c>
      <c r="H601" s="1081">
        <v>0.9904329078401799</v>
      </c>
      <c r="I601" s="1081">
        <v>0.99310140366157951</v>
      </c>
      <c r="K601">
        <v>2.3700398906205549</v>
      </c>
      <c r="L601">
        <v>0</v>
      </c>
      <c r="M601">
        <v>1.575752719081304E-3</v>
      </c>
      <c r="N601">
        <v>0.14177778031848146</v>
      </c>
      <c r="O601">
        <v>2.0176150485222335E-2</v>
      </c>
      <c r="P601">
        <v>2.8049826082109909E-2</v>
      </c>
      <c r="Q601">
        <v>5.2598657135798869E-3</v>
      </c>
      <c r="R601">
        <v>1.5547522390525158E-3</v>
      </c>
      <c r="S601">
        <v>0.24472227388512524</v>
      </c>
      <c r="T601">
        <v>1.3688671427489099</v>
      </c>
      <c r="U601">
        <v>0.20474323202849989</v>
      </c>
      <c r="V601">
        <v>0.24296963961753992</v>
      </c>
      <c r="W601">
        <v>9.3345865021510363E-2</v>
      </c>
      <c r="X601">
        <v>1.5917592128840842E-2</v>
      </c>
      <c r="Y601">
        <v>4.2315230707630873E-3</v>
      </c>
    </row>
    <row r="602" spans="1:25" x14ac:dyDescent="0.2">
      <c r="A602" s="1077"/>
      <c r="B602" s="1444">
        <v>352</v>
      </c>
      <c r="C602" s="1081">
        <v>1.0094267217224495</v>
      </c>
      <c r="D602" s="1081">
        <v>1.0108107426907302</v>
      </c>
      <c r="E602" s="1081">
        <v>0.97043938471280355</v>
      </c>
      <c r="F602" s="1081">
        <v>1.0204463221783147</v>
      </c>
      <c r="G602" s="1081">
        <v>1.0398894538534853</v>
      </c>
      <c r="H602" s="1081">
        <v>1.0245448888108561</v>
      </c>
      <c r="I602" s="1081">
        <v>1.0146301553779107</v>
      </c>
      <c r="K602">
        <v>2.4411805792435142</v>
      </c>
      <c r="L602">
        <v>0</v>
      </c>
      <c r="M602">
        <v>1.7673577408747578E-3</v>
      </c>
      <c r="N602">
        <v>0.14713553663608417</v>
      </c>
      <c r="O602">
        <v>2.0721152261654253E-2</v>
      </c>
      <c r="P602">
        <v>2.8306572805909383E-2</v>
      </c>
      <c r="Q602">
        <v>5.2622702716677225E-3</v>
      </c>
      <c r="R602">
        <v>1.7445879158265922E-3</v>
      </c>
      <c r="S602">
        <v>0.26040988897334943</v>
      </c>
      <c r="T602">
        <v>1.3990331344070874</v>
      </c>
      <c r="U602">
        <v>0.20989396775289471</v>
      </c>
      <c r="V602">
        <v>0.25187394169254379</v>
      </c>
      <c r="W602">
        <v>9.8391624547337034E-2</v>
      </c>
      <c r="X602">
        <v>1.5427066516404698E-2</v>
      </c>
      <c r="Y602">
        <v>4.7481932036280931E-3</v>
      </c>
    </row>
    <row r="603" spans="1:25" x14ac:dyDescent="0.2">
      <c r="A603" s="1077"/>
      <c r="B603" s="1444">
        <v>353</v>
      </c>
      <c r="C603" s="1081">
        <v>1.006648328936949</v>
      </c>
      <c r="D603" s="1081">
        <v>0.99820037569414122</v>
      </c>
      <c r="E603" s="1081">
        <v>0.99955938772178454</v>
      </c>
      <c r="F603" s="1081">
        <v>1.0232574318577432</v>
      </c>
      <c r="G603" s="1081">
        <v>1.0064150299579797</v>
      </c>
      <c r="H603" s="1081">
        <v>0.99706428568610073</v>
      </c>
      <c r="I603" s="1081">
        <v>1.0156771902681352</v>
      </c>
      <c r="K603">
        <v>2.4426074357824028</v>
      </c>
      <c r="L603">
        <v>0</v>
      </c>
      <c r="M603">
        <v>1.6283281283219319E-3</v>
      </c>
      <c r="N603">
        <v>0.14798892458540705</v>
      </c>
      <c r="O603">
        <v>2.0854970038313304E-2</v>
      </c>
      <c r="P603">
        <v>2.8936626870653105E-2</v>
      </c>
      <c r="Q603">
        <v>5.4549073137393975E-3</v>
      </c>
      <c r="R603">
        <v>1.6067712940368566E-3</v>
      </c>
      <c r="S603">
        <v>0.26091978867402016</v>
      </c>
      <c r="T603">
        <v>1.40352963991466</v>
      </c>
      <c r="U603">
        <v>0.21057192744012901</v>
      </c>
      <c r="V603">
        <v>0.24621613973147879</v>
      </c>
      <c r="W603">
        <v>9.7244130276022689E-2</v>
      </c>
      <c r="X603">
        <v>1.6538835981908358E-2</v>
      </c>
      <c r="Y603">
        <v>4.3731017903535967E-3</v>
      </c>
    </row>
    <row r="604" spans="1:25" x14ac:dyDescent="0.2">
      <c r="A604" s="1077"/>
      <c r="B604" s="1444">
        <v>354</v>
      </c>
      <c r="C604" s="1081">
        <v>1.0048199810958396</v>
      </c>
      <c r="D604" s="1081">
        <v>1.0004441624854015</v>
      </c>
      <c r="E604" s="1081">
        <v>1.0053157293190249</v>
      </c>
      <c r="F604" s="1081">
        <v>1.0202375121292977</v>
      </c>
      <c r="G604" s="1081">
        <v>0.97379430604458017</v>
      </c>
      <c r="H604" s="1081">
        <v>1.0358396842381101</v>
      </c>
      <c r="I604" s="1081">
        <v>1.0003569122775056</v>
      </c>
      <c r="K604">
        <v>2.4445565390617294</v>
      </c>
      <c r="L604">
        <v>0</v>
      </c>
      <c r="M604">
        <v>1.6737811889305605E-3</v>
      </c>
      <c r="N604">
        <v>0.15486581285381618</v>
      </c>
      <c r="O604">
        <v>2.0886402500233308E-2</v>
      </c>
      <c r="P604">
        <v>2.8930416215851486E-2</v>
      </c>
      <c r="Q604">
        <v>5.4947882192132582E-3</v>
      </c>
      <c r="R604">
        <v>1.6524520975092427E-3</v>
      </c>
      <c r="S604">
        <v>0.26049303624113862</v>
      </c>
      <c r="T604">
        <v>1.3995145116710208</v>
      </c>
      <c r="U604">
        <v>0.21097466896573616</v>
      </c>
      <c r="V604">
        <v>0.24073829294890764</v>
      </c>
      <c r="W604">
        <v>0.10141606627590402</v>
      </c>
      <c r="X604">
        <v>1.6766442382595649E-2</v>
      </c>
      <c r="Y604">
        <v>4.4974298787326143E-3</v>
      </c>
    </row>
    <row r="605" spans="1:25" x14ac:dyDescent="0.2">
      <c r="A605" s="1077"/>
      <c r="B605" s="1444">
        <v>355</v>
      </c>
      <c r="C605" s="1081">
        <v>1.0014493132243363</v>
      </c>
      <c r="D605" s="1081">
        <v>1.0051860552000047</v>
      </c>
      <c r="E605" s="1081">
        <v>1.017510159384279</v>
      </c>
      <c r="F605" s="1081">
        <v>1.0262244056378087</v>
      </c>
      <c r="G605" s="1081">
        <v>0.99247498099973586</v>
      </c>
      <c r="H605" s="1081">
        <v>1.0147659876720949</v>
      </c>
      <c r="I605" s="1081">
        <v>0.98731719556785336</v>
      </c>
      <c r="K605">
        <v>2.4506458992173239</v>
      </c>
      <c r="L605">
        <v>0</v>
      </c>
      <c r="M605">
        <v>1.6024141150172519E-3</v>
      </c>
      <c r="N605">
        <v>0.15378078855526525</v>
      </c>
      <c r="O605">
        <v>2.0942998525664596E-2</v>
      </c>
      <c r="P605">
        <v>2.9299507703992894E-2</v>
      </c>
      <c r="Q605">
        <v>5.577198820912576E-3</v>
      </c>
      <c r="R605">
        <v>1.5815704023443287E-3</v>
      </c>
      <c r="S605">
        <v>0.25569017539844552</v>
      </c>
      <c r="T605">
        <v>1.4079983288598055</v>
      </c>
      <c r="U605">
        <v>0.21172646169053472</v>
      </c>
      <c r="V605">
        <v>0.24409419324180751</v>
      </c>
      <c r="W605">
        <v>9.9984766832024174E-2</v>
      </c>
      <c r="X605">
        <v>1.7267810030905446E-2</v>
      </c>
      <c r="Y605">
        <v>4.3045132706382508E-3</v>
      </c>
    </row>
    <row r="606" spans="1:25" x14ac:dyDescent="0.2">
      <c r="A606" s="1077"/>
      <c r="B606" s="1444">
        <v>356</v>
      </c>
      <c r="C606" s="1081">
        <v>1.0361355240912227</v>
      </c>
      <c r="D606" s="1081">
        <v>0.98062982701378543</v>
      </c>
      <c r="E606" s="1081">
        <v>1.0068322839787622</v>
      </c>
      <c r="F606" s="1081">
        <v>0.9583167987242085</v>
      </c>
      <c r="G606" s="1081">
        <v>1.0162567312071946</v>
      </c>
      <c r="H606" s="1081">
        <v>0.99342123119319192</v>
      </c>
      <c r="I606" s="1081">
        <v>0.99008892315604902</v>
      </c>
      <c r="K606">
        <v>2.3275695689410694</v>
      </c>
      <c r="L606">
        <v>0</v>
      </c>
      <c r="M606">
        <v>1.5586732916080728E-3</v>
      </c>
      <c r="N606">
        <v>0.14479765298851363</v>
      </c>
      <c r="O606">
        <v>2.0345459049549021E-2</v>
      </c>
      <c r="P606">
        <v>2.7628070377303485E-2</v>
      </c>
      <c r="Q606">
        <v>5.3606151708474438E-3</v>
      </c>
      <c r="R606">
        <v>1.5379629208045556E-3</v>
      </c>
      <c r="S606">
        <v>0.24908269078365278</v>
      </c>
      <c r="T606">
        <v>1.3146060196544394</v>
      </c>
      <c r="U606">
        <v>0.20460330409147975</v>
      </c>
      <c r="V606">
        <v>0.24610613096628423</v>
      </c>
      <c r="W606">
        <v>9.4737767065232528E-2</v>
      </c>
      <c r="X606">
        <v>1.613674108348041E-2</v>
      </c>
      <c r="Y606">
        <v>4.1858280810894146E-3</v>
      </c>
    </row>
    <row r="607" spans="1:25" x14ac:dyDescent="0.2">
      <c r="A607" s="1077"/>
      <c r="B607" s="1444">
        <v>357</v>
      </c>
      <c r="C607" s="1081">
        <v>1.0244965728335449</v>
      </c>
      <c r="D607" s="1081">
        <v>1.0213466198656469</v>
      </c>
      <c r="E607" s="1081">
        <v>0.99737668843061544</v>
      </c>
      <c r="F607" s="1081">
        <v>0.99225841752143107</v>
      </c>
      <c r="G607" s="1081">
        <v>1.018686952595611</v>
      </c>
      <c r="H607" s="1081">
        <v>0.9672321497068832</v>
      </c>
      <c r="I607" s="1081">
        <v>1.0085289372346413</v>
      </c>
      <c r="K607">
        <v>2.3703643452876633</v>
      </c>
      <c r="L607">
        <v>0</v>
      </c>
      <c r="M607">
        <v>1.5512878802305089E-3</v>
      </c>
      <c r="N607">
        <v>0.14000247295398729</v>
      </c>
      <c r="O607">
        <v>2.0387157131875222E-2</v>
      </c>
      <c r="P607">
        <v>2.8113575113982846E-2</v>
      </c>
      <c r="Q607">
        <v>5.3208476414195035E-3</v>
      </c>
      <c r="R607">
        <v>1.5301175372374421E-3</v>
      </c>
      <c r="S607">
        <v>0.24916593162932241</v>
      </c>
      <c r="T607">
        <v>1.3609636626185624</v>
      </c>
      <c r="U607">
        <v>0.20689617253708073</v>
      </c>
      <c r="V607">
        <v>0.24724013172525228</v>
      </c>
      <c r="W607">
        <v>9.2115766750682143E-2</v>
      </c>
      <c r="X607">
        <v>1.6015321995238307E-2</v>
      </c>
      <c r="Y607">
        <v>4.1644755332497299E-3</v>
      </c>
    </row>
    <row r="608" spans="1:25" x14ac:dyDescent="0.2">
      <c r="A608" s="1077"/>
      <c r="B608" s="1444">
        <v>358</v>
      </c>
      <c r="C608" s="1081">
        <v>0.98256216622415082</v>
      </c>
      <c r="D608" s="1081">
        <v>1.0163462352892094</v>
      </c>
      <c r="E608" s="1081">
        <v>0.99859910634643956</v>
      </c>
      <c r="F608" s="1081">
        <v>0.99436306144488718</v>
      </c>
      <c r="G608" s="1081">
        <v>1.0170334096088889</v>
      </c>
      <c r="H608" s="1081">
        <v>0.99387877941307956</v>
      </c>
      <c r="I608" s="1081">
        <v>1.0292135501085218</v>
      </c>
      <c r="K608">
        <v>2.4229730731855996</v>
      </c>
      <c r="L608">
        <v>0</v>
      </c>
      <c r="M608">
        <v>1.6596389072283605E-3</v>
      </c>
      <c r="N608">
        <v>0.15039110612621318</v>
      </c>
      <c r="O608">
        <v>2.128104019985308E-2</v>
      </c>
      <c r="P608">
        <v>2.8589842189327325E-2</v>
      </c>
      <c r="Q608">
        <v>5.5609787946652115E-3</v>
      </c>
      <c r="R608">
        <v>1.637597140190461E-3</v>
      </c>
      <c r="S608">
        <v>0.26815775428746785</v>
      </c>
      <c r="T608">
        <v>1.3638766331636625</v>
      </c>
      <c r="U608">
        <v>0.21573046894415959</v>
      </c>
      <c r="V608">
        <v>0.2495523656105075</v>
      </c>
      <c r="W608">
        <v>9.8879072661878162E-2</v>
      </c>
      <c r="X608">
        <v>1.6518853393054127E-2</v>
      </c>
      <c r="Y608">
        <v>4.4569995818462549E-3</v>
      </c>
    </row>
    <row r="609" spans="1:25" x14ac:dyDescent="0.2">
      <c r="A609" s="1077"/>
      <c r="B609" s="1444">
        <v>359</v>
      </c>
      <c r="C609" s="1081">
        <v>1.0208850501243871</v>
      </c>
      <c r="D609" s="1081">
        <v>0.98933589162296709</v>
      </c>
      <c r="E609" s="1081">
        <v>1.0042113373978008</v>
      </c>
      <c r="F609" s="1081">
        <v>0.98979466963398111</v>
      </c>
      <c r="G609" s="1081">
        <v>1.0130557251776471</v>
      </c>
      <c r="H609" s="1081">
        <v>1.0037445218144112</v>
      </c>
      <c r="I609" s="1081">
        <v>1.0286389645170295</v>
      </c>
      <c r="K609">
        <v>2.3940606098267088</v>
      </c>
      <c r="L609">
        <v>0</v>
      </c>
      <c r="M609">
        <v>1.6039956241119314E-3</v>
      </c>
      <c r="N609">
        <v>0.14785370417094604</v>
      </c>
      <c r="O609">
        <v>2.0607565252061914E-2</v>
      </c>
      <c r="P609">
        <v>2.8393020878394511E-2</v>
      </c>
      <c r="Q609">
        <v>5.4154325657344987E-3</v>
      </c>
      <c r="R609">
        <v>1.5829022425128667E-3</v>
      </c>
      <c r="S609">
        <v>0.262346142924819</v>
      </c>
      <c r="T609">
        <v>1.3577307670501981</v>
      </c>
      <c r="U609">
        <v>0.20765098380631167</v>
      </c>
      <c r="V609">
        <v>0.24646881227586698</v>
      </c>
      <c r="W609">
        <v>9.6887424431620725E-2</v>
      </c>
      <c r="X609">
        <v>1.6419711751817674E-2</v>
      </c>
      <c r="Y609">
        <v>4.3081381005360174E-3</v>
      </c>
    </row>
    <row r="610" spans="1:25" x14ac:dyDescent="0.2">
      <c r="A610" s="1077"/>
      <c r="B610" s="1444">
        <v>360</v>
      </c>
      <c r="C610" s="1081">
        <v>1.0367080659392842</v>
      </c>
      <c r="D610" s="1081">
        <v>1.0317509046151487</v>
      </c>
      <c r="E610" s="1081">
        <v>0.99815446350505477</v>
      </c>
      <c r="F610" s="1081">
        <v>0.95682198367996119</v>
      </c>
      <c r="G610" s="1081">
        <v>0.97816129254075268</v>
      </c>
      <c r="H610" s="1081">
        <v>0.97164965018362137</v>
      </c>
      <c r="I610" s="1081">
        <v>1.0096829283324937</v>
      </c>
      <c r="K610">
        <v>2.3045310020950209</v>
      </c>
      <c r="L610">
        <v>0</v>
      </c>
      <c r="M610">
        <v>1.5341103836650318E-3</v>
      </c>
      <c r="N610">
        <v>0.13878672204356768</v>
      </c>
      <c r="O610">
        <v>2.0102635942119446E-2</v>
      </c>
      <c r="P610">
        <v>2.7282401700115807E-2</v>
      </c>
      <c r="Q610">
        <v>5.2506988942041047E-3</v>
      </c>
      <c r="R610">
        <v>1.5132696439688817E-3</v>
      </c>
      <c r="S610">
        <v>0.24563494847051631</v>
      </c>
      <c r="T610">
        <v>1.3123757805176122</v>
      </c>
      <c r="U610">
        <v>0.20446168438782883</v>
      </c>
      <c r="V610">
        <v>0.23959893138281646</v>
      </c>
      <c r="W610">
        <v>9.1273576487397229E-2</v>
      </c>
      <c r="X610">
        <v>1.5665841886857101E-2</v>
      </c>
      <c r="Y610">
        <v>4.1186211216792303E-3</v>
      </c>
    </row>
    <row r="611" spans="1:25" x14ac:dyDescent="0.2">
      <c r="A611" s="1077"/>
      <c r="B611" s="1444">
        <v>361</v>
      </c>
      <c r="C611" s="1081">
        <v>1.0085050815891488</v>
      </c>
      <c r="D611" s="1081">
        <v>0.99863608300330131</v>
      </c>
      <c r="E611" s="1081">
        <v>0.99339435234653939</v>
      </c>
      <c r="F611" s="1081">
        <v>1.0256304882552727</v>
      </c>
      <c r="G611" s="1081">
        <v>1.0230914125291704</v>
      </c>
      <c r="H611" s="1081">
        <v>1.0126377445583044</v>
      </c>
      <c r="I611" s="1081">
        <v>1.0049982283007206</v>
      </c>
      <c r="K611">
        <v>2.4481049738796643</v>
      </c>
      <c r="L611">
        <v>0</v>
      </c>
      <c r="M611">
        <v>1.6717897333285308E-3</v>
      </c>
      <c r="N611">
        <v>0.14916513386715713</v>
      </c>
      <c r="O611">
        <v>2.0810519561355208E-2</v>
      </c>
      <c r="P611">
        <v>2.8850532827244514E-2</v>
      </c>
      <c r="Q611">
        <v>5.4095876665399148E-3</v>
      </c>
      <c r="R611">
        <v>1.649997900371067E-3</v>
      </c>
      <c r="S611">
        <v>0.25891481573502767</v>
      </c>
      <c r="T611">
        <v>1.4066479339514086</v>
      </c>
      <c r="U611">
        <v>0.21016336051525389</v>
      </c>
      <c r="V611">
        <v>0.24897281306996247</v>
      </c>
      <c r="W611">
        <v>9.8377835847827111E-2</v>
      </c>
      <c r="X611">
        <v>1.6323482307696955E-2</v>
      </c>
      <c r="Y611">
        <v>4.4907503631483698E-3</v>
      </c>
    </row>
    <row r="612" spans="1:25" x14ac:dyDescent="0.2">
      <c r="A612" s="1077"/>
      <c r="B612" s="1444">
        <v>362</v>
      </c>
      <c r="C612" s="1081">
        <v>1.0395292204516615</v>
      </c>
      <c r="D612" s="1081">
        <v>1.0368674308509307</v>
      </c>
      <c r="E612" s="1081">
        <v>1.0355123287630355</v>
      </c>
      <c r="F612" s="1081">
        <v>1.0318917907210439</v>
      </c>
      <c r="G612" s="1081">
        <v>0.97242562272815958</v>
      </c>
      <c r="H612" s="1081">
        <v>0.99995726363927284</v>
      </c>
      <c r="I612" s="1081">
        <v>1.0403568153458544</v>
      </c>
      <c r="K612">
        <v>2.4318370203318764</v>
      </c>
      <c r="L612">
        <v>0</v>
      </c>
      <c r="M612">
        <v>1.455240222335334E-3</v>
      </c>
      <c r="N612">
        <v>0.14741848171395469</v>
      </c>
      <c r="O612">
        <v>2.0049995570945004E-2</v>
      </c>
      <c r="P612">
        <v>2.9595070035159671E-2</v>
      </c>
      <c r="Q612">
        <v>5.4354595864473413E-3</v>
      </c>
      <c r="R612">
        <v>1.4360305715900984E-3</v>
      </c>
      <c r="S612">
        <v>0.25447974719086852</v>
      </c>
      <c r="T612">
        <v>1.4161779334074514</v>
      </c>
      <c r="U612">
        <v>0.204029956855172</v>
      </c>
      <c r="V612">
        <v>0.23832798118556195</v>
      </c>
      <c r="W612">
        <v>9.4849030507727569E-2</v>
      </c>
      <c r="X612">
        <v>1.7584172100813672E-2</v>
      </c>
      <c r="Y612">
        <v>3.9084018285175503E-3</v>
      </c>
    </row>
    <row r="613" spans="1:25" x14ac:dyDescent="0.2">
      <c r="A613" s="1077"/>
      <c r="B613" s="1444">
        <v>363</v>
      </c>
      <c r="C613" s="1081">
        <v>1.0279148795623196</v>
      </c>
      <c r="D613" s="1081">
        <v>1.0243259796113644</v>
      </c>
      <c r="E613" s="1081">
        <v>1.0026761920869154</v>
      </c>
      <c r="F613" s="1081">
        <v>1.0207266341539765</v>
      </c>
      <c r="G613" s="1081">
        <v>0.99286515133624409</v>
      </c>
      <c r="H613" s="1081">
        <v>0.98546325641155486</v>
      </c>
      <c r="I613" s="1081">
        <v>1.0116835748825719</v>
      </c>
      <c r="K613">
        <v>2.4106481384258256</v>
      </c>
      <c r="L613">
        <v>0</v>
      </c>
      <c r="M613">
        <v>1.5570517022066724E-3</v>
      </c>
      <c r="N613">
        <v>0.14282720587460376</v>
      </c>
      <c r="O613">
        <v>2.0309746751162969E-2</v>
      </c>
      <c r="P613">
        <v>2.8703515340317835E-2</v>
      </c>
      <c r="Q613">
        <v>5.3289555046513587E-3</v>
      </c>
      <c r="R613">
        <v>1.5361958079575298E-3</v>
      </c>
      <c r="S613">
        <v>0.25031100649167043</v>
      </c>
      <c r="T613">
        <v>1.4001271479984765</v>
      </c>
      <c r="U613">
        <v>0.20622576725136166</v>
      </c>
      <c r="V613">
        <v>0.24260871786178903</v>
      </c>
      <c r="W613">
        <v>9.3678800136490978E-2</v>
      </c>
      <c r="X613">
        <v>1.6367112527100665E-2</v>
      </c>
      <c r="Y613">
        <v>4.1810185824484028E-3</v>
      </c>
    </row>
    <row r="614" spans="1:25" x14ac:dyDescent="0.2">
      <c r="A614" s="1077"/>
      <c r="B614" s="1444">
        <v>364</v>
      </c>
      <c r="C614" s="1081">
        <v>0.98207342474868664</v>
      </c>
      <c r="D614" s="1081">
        <v>1.0187051018309747</v>
      </c>
      <c r="E614" s="1081">
        <v>0.9818346994393754</v>
      </c>
      <c r="F614" s="1081">
        <v>0.99074210217630032</v>
      </c>
      <c r="G614" s="1081">
        <v>0.96117633496825783</v>
      </c>
      <c r="H614" s="1081">
        <v>1.001784216389793</v>
      </c>
      <c r="I614" s="1081">
        <v>0.98464202022000735</v>
      </c>
      <c r="K614">
        <v>2.3946417288185056</v>
      </c>
      <c r="L614">
        <v>0</v>
      </c>
      <c r="M614">
        <v>1.731921602929351E-3</v>
      </c>
      <c r="N614">
        <v>0.14920059362281335</v>
      </c>
      <c r="O614">
        <v>2.1269509129118448E-2</v>
      </c>
      <c r="P614">
        <v>2.7882126389672541E-2</v>
      </c>
      <c r="Q614">
        <v>5.4645906006377054E-3</v>
      </c>
      <c r="R614">
        <v>1.7091013600224224E-3</v>
      </c>
      <c r="S614">
        <v>0.25691103914774854</v>
      </c>
      <c r="T614">
        <v>1.3585515849203151</v>
      </c>
      <c r="U614">
        <v>0.2157795701323599</v>
      </c>
      <c r="V614">
        <v>0.24010205224978651</v>
      </c>
      <c r="W614">
        <v>9.9086308697534708E-2</v>
      </c>
      <c r="X614">
        <v>1.5765563674557392E-2</v>
      </c>
      <c r="Y614">
        <v>4.651610496869121E-3</v>
      </c>
    </row>
    <row r="615" spans="1:25" x14ac:dyDescent="0.2">
      <c r="A615" s="1077"/>
      <c r="B615" s="1444">
        <v>365</v>
      </c>
      <c r="C615" s="1081">
        <v>1.0359708391715996</v>
      </c>
      <c r="D615" s="1081">
        <v>0.99940543010068295</v>
      </c>
      <c r="E615" s="1081">
        <v>1.0346660574176572</v>
      </c>
      <c r="F615" s="1081">
        <v>1.001100243325042</v>
      </c>
      <c r="G615" s="1081">
        <v>0.99823902815797827</v>
      </c>
      <c r="H615" s="1081">
        <v>0.96716345347309696</v>
      </c>
      <c r="I615" s="1081">
        <v>1.006502505697725</v>
      </c>
      <c r="K615">
        <v>2.3831915608656682</v>
      </c>
      <c r="L615">
        <v>0</v>
      </c>
      <c r="M615">
        <v>1.4263452682553082E-3</v>
      </c>
      <c r="N615">
        <v>0.1440579879591995</v>
      </c>
      <c r="O615">
        <v>2.0281857004525661E-2</v>
      </c>
      <c r="P615">
        <v>2.8981377168407801E-2</v>
      </c>
      <c r="Q615">
        <v>5.4937304064961966E-3</v>
      </c>
      <c r="R615">
        <v>1.4068786278370669E-3</v>
      </c>
      <c r="S615">
        <v>0.24889782578709987</v>
      </c>
      <c r="T615">
        <v>1.3739008783182194</v>
      </c>
      <c r="U615">
        <v>0.20472795760712439</v>
      </c>
      <c r="V615">
        <v>0.2429410582324717</v>
      </c>
      <c r="W615">
        <v>9.2732250531607011E-2</v>
      </c>
      <c r="X615">
        <v>1.7367044643374196E-2</v>
      </c>
      <c r="Y615">
        <v>3.829059847557474E-3</v>
      </c>
    </row>
    <row r="616" spans="1:25" x14ac:dyDescent="0.2">
      <c r="A616" s="1077"/>
      <c r="B616" s="1444">
        <v>366</v>
      </c>
      <c r="C616" s="1081">
        <v>1.0284122510181617</v>
      </c>
      <c r="D616" s="1081">
        <v>1.0160287498497467</v>
      </c>
      <c r="E616" s="1081">
        <v>0.99925866117165485</v>
      </c>
      <c r="F616" s="1081">
        <v>1.001466538847025</v>
      </c>
      <c r="G616" s="1081">
        <v>0.99650213699030787</v>
      </c>
      <c r="H616" s="1081">
        <v>0.99617316254572352</v>
      </c>
      <c r="I616" s="1081">
        <v>0.98632057957120045</v>
      </c>
      <c r="K616">
        <v>2.3817815900827459</v>
      </c>
      <c r="L616">
        <v>0</v>
      </c>
      <c r="M616">
        <v>1.5872436788983437E-3</v>
      </c>
      <c r="N616">
        <v>0.14412226657846997</v>
      </c>
      <c r="O616">
        <v>2.0334081342828662E-2</v>
      </c>
      <c r="P616">
        <v>2.8213808459909537E-2</v>
      </c>
      <c r="Q616">
        <v>5.3170536051041157E-3</v>
      </c>
      <c r="R616">
        <v>1.5662119494114105E-3</v>
      </c>
      <c r="S616">
        <v>0.24575497209163705</v>
      </c>
      <c r="T616">
        <v>1.3736341046328877</v>
      </c>
      <c r="U616">
        <v>0.20611466929756375</v>
      </c>
      <c r="V616">
        <v>0.243212677242609</v>
      </c>
      <c r="W616">
        <v>9.4720269666915574E-2</v>
      </c>
      <c r="X616">
        <v>1.6116006269639067E-2</v>
      </c>
      <c r="Y616">
        <v>4.262712624667494E-3</v>
      </c>
    </row>
    <row r="617" spans="1:25" x14ac:dyDescent="0.2">
      <c r="A617" s="1077"/>
      <c r="B617" s="1444">
        <v>367</v>
      </c>
      <c r="C617" s="1081">
        <v>1.0314957630509018</v>
      </c>
      <c r="D617" s="1081">
        <v>0.97834779224612445</v>
      </c>
      <c r="E617" s="1081">
        <v>0.98567804269614601</v>
      </c>
      <c r="F617" s="1081">
        <v>1.0016903720924812</v>
      </c>
      <c r="G617" s="1081">
        <v>1.005607530648172</v>
      </c>
      <c r="H617" s="1081">
        <v>0.98902182094068036</v>
      </c>
      <c r="I617" s="1081">
        <v>1.0039302396372085</v>
      </c>
      <c r="K617">
        <v>2.3870578211672577</v>
      </c>
      <c r="L617">
        <v>0</v>
      </c>
      <c r="M617">
        <v>1.6294651683659489E-3</v>
      </c>
      <c r="N617">
        <v>0.14199120094799556</v>
      </c>
      <c r="O617">
        <v>2.0433784158369991E-2</v>
      </c>
      <c r="P617">
        <v>2.8042288772397124E-2</v>
      </c>
      <c r="Q617">
        <v>5.2703801096605409E-3</v>
      </c>
      <c r="R617">
        <v>1.6077178643280272E-3</v>
      </c>
      <c r="S617">
        <v>0.25346339608819329</v>
      </c>
      <c r="T617">
        <v>1.3736473488392271</v>
      </c>
      <c r="U617">
        <v>0.20545356784981503</v>
      </c>
      <c r="V617">
        <v>0.24463611182636141</v>
      </c>
      <c r="W617">
        <v>9.4080509034032964E-2</v>
      </c>
      <c r="X617">
        <v>1.5685302802591498E-2</v>
      </c>
      <c r="Y617">
        <v>4.3756780426493502E-3</v>
      </c>
    </row>
    <row r="618" spans="1:25" x14ac:dyDescent="0.2">
      <c r="A618" s="1077"/>
      <c r="B618" s="1444">
        <v>368</v>
      </c>
      <c r="C618" s="1081">
        <v>1.0301931310577184</v>
      </c>
      <c r="D618" s="1081">
        <v>1.0102643114578966</v>
      </c>
      <c r="E618" s="1081">
        <v>1.0049520249696609</v>
      </c>
      <c r="F618" s="1081">
        <v>0.99515610565001833</v>
      </c>
      <c r="G618" s="1081">
        <v>0.97814430678729891</v>
      </c>
      <c r="H618" s="1081">
        <v>1.0023455055074073</v>
      </c>
      <c r="I618" s="1081">
        <v>0.97626152759193707</v>
      </c>
      <c r="K618">
        <v>2.3703912724773955</v>
      </c>
      <c r="L618">
        <v>0</v>
      </c>
      <c r="M618">
        <v>1.5775670606401448E-3</v>
      </c>
      <c r="N618">
        <v>0.14574051819356457</v>
      </c>
      <c r="O618">
        <v>2.0328015472474863E-2</v>
      </c>
      <c r="P618">
        <v>2.8144211907308175E-2</v>
      </c>
      <c r="Q618">
        <v>5.3459387100640273E-3</v>
      </c>
      <c r="R618">
        <v>1.5567922726356174E-3</v>
      </c>
      <c r="S618">
        <v>0.24405958723747295</v>
      </c>
      <c r="T618">
        <v>1.3651011650211247</v>
      </c>
      <c r="U618">
        <v>0.20577725891469062</v>
      </c>
      <c r="V618">
        <v>0.2399528181406535</v>
      </c>
      <c r="W618">
        <v>9.5460787832874136E-2</v>
      </c>
      <c r="X618">
        <v>1.6264670465488903E-2</v>
      </c>
      <c r="Y618">
        <v>4.2370753696794007E-3</v>
      </c>
    </row>
    <row r="619" spans="1:25" x14ac:dyDescent="0.2">
      <c r="A619" s="1077"/>
      <c r="B619" s="1444">
        <v>369</v>
      </c>
      <c r="C619" s="1081">
        <v>1.0077539315479247</v>
      </c>
      <c r="D619" s="1081">
        <v>1.0047510476037886</v>
      </c>
      <c r="E619" s="1081">
        <v>1.0079660477406178</v>
      </c>
      <c r="F619" s="1081">
        <v>1.0013358820452283</v>
      </c>
      <c r="G619" s="1081">
        <v>1.0123793974946487</v>
      </c>
      <c r="H619" s="1081">
        <v>0.97777141458064365</v>
      </c>
      <c r="I619" s="1081">
        <v>0.98882389214038202</v>
      </c>
      <c r="K619">
        <v>2.3994682216459924</v>
      </c>
      <c r="L619">
        <v>0</v>
      </c>
      <c r="M619">
        <v>1.5652250314719673E-3</v>
      </c>
      <c r="N619">
        <v>0.1458734984667189</v>
      </c>
      <c r="O619">
        <v>2.0807667573914231E-2</v>
      </c>
      <c r="P619">
        <v>2.8586392801048136E-2</v>
      </c>
      <c r="Q619">
        <v>5.4886236885618991E-3</v>
      </c>
      <c r="R619">
        <v>1.5440947312971656E-3</v>
      </c>
      <c r="S619">
        <v>0.2513709243088148</v>
      </c>
      <c r="T619">
        <v>1.3736436065581568</v>
      </c>
      <c r="U619">
        <v>0.21036944138760152</v>
      </c>
      <c r="V619">
        <v>0.24713612737065763</v>
      </c>
      <c r="W619">
        <v>9.5377750600533703E-2</v>
      </c>
      <c r="X619">
        <v>1.663280234225846E-2</v>
      </c>
      <c r="Y619">
        <v>4.2025168478995126E-3</v>
      </c>
    </row>
    <row r="620" spans="1:25" x14ac:dyDescent="0.2">
      <c r="A620" s="1077"/>
      <c r="B620" s="1444">
        <v>370</v>
      </c>
      <c r="C620" s="1081">
        <v>1.0276622841484853</v>
      </c>
      <c r="D620" s="1081">
        <v>1.0017367219103646</v>
      </c>
      <c r="E620" s="1081">
        <v>1.0207417847441442</v>
      </c>
      <c r="F620" s="1081">
        <v>1.0035014141797325</v>
      </c>
      <c r="G620" s="1081">
        <v>1.0038292514833114</v>
      </c>
      <c r="H620" s="1081">
        <v>1.034316700021056</v>
      </c>
      <c r="I620" s="1081">
        <v>1.009797845785231</v>
      </c>
      <c r="K620">
        <v>2.4135649474296716</v>
      </c>
      <c r="L620">
        <v>0</v>
      </c>
      <c r="M620">
        <v>1.5821570958649436E-3</v>
      </c>
      <c r="N620">
        <v>0.15336256307664461</v>
      </c>
      <c r="O620">
        <v>2.0426329581789859E-2</v>
      </c>
      <c r="P620">
        <v>2.8885231917526729E-2</v>
      </c>
      <c r="Q620">
        <v>5.4571203258015968E-3</v>
      </c>
      <c r="R620">
        <v>1.5619658886914104E-3</v>
      </c>
      <c r="S620">
        <v>0.25693989611972473</v>
      </c>
      <c r="T620">
        <v>1.3768923796056969</v>
      </c>
      <c r="U620">
        <v>0.2063366552144161</v>
      </c>
      <c r="V620">
        <v>0.24443108478603387</v>
      </c>
      <c r="W620">
        <v>9.9524370502671891E-2</v>
      </c>
      <c r="X620">
        <v>1.7078351259435239E-2</v>
      </c>
      <c r="Y620">
        <v>4.2511562471011953E-3</v>
      </c>
    </row>
    <row r="621" spans="1:25" x14ac:dyDescent="0.2">
      <c r="A621" s="1077"/>
      <c r="B621" s="1444">
        <v>371</v>
      </c>
      <c r="C621" s="1081">
        <v>0.99270579985883312</v>
      </c>
      <c r="D621" s="1081">
        <v>1.0074483055269694</v>
      </c>
      <c r="E621" s="1081">
        <v>1.0125679296454011</v>
      </c>
      <c r="F621" s="1081">
        <v>0.95897983308622836</v>
      </c>
      <c r="G621" s="1081">
        <v>0.95716689876278149</v>
      </c>
      <c r="H621" s="1081">
        <v>0.97709185218568051</v>
      </c>
      <c r="I621" s="1081">
        <v>0.9771721023385177</v>
      </c>
      <c r="K621">
        <v>2.340376772925123</v>
      </c>
      <c r="L621">
        <v>0</v>
      </c>
      <c r="M621">
        <v>1.5718113590457823E-3</v>
      </c>
      <c r="N621">
        <v>0.14853522894686139</v>
      </c>
      <c r="O621">
        <v>2.1113706572480843E-2</v>
      </c>
      <c r="P621">
        <v>2.7817910683714472E-2</v>
      </c>
      <c r="Q621">
        <v>5.5950257914816979E-3</v>
      </c>
      <c r="R621">
        <v>1.5505773865937414E-3</v>
      </c>
      <c r="S621">
        <v>0.25181510520626565</v>
      </c>
      <c r="T621">
        <v>1.3156347544783682</v>
      </c>
      <c r="U621">
        <v>0.21357424016624987</v>
      </c>
      <c r="V621">
        <v>0.23863283730303256</v>
      </c>
      <c r="W621">
        <v>9.685496398391065E-2</v>
      </c>
      <c r="X621">
        <v>1.6604073266596891E-2</v>
      </c>
      <c r="Y621">
        <v>4.2201604986100471E-3</v>
      </c>
    </row>
    <row r="622" spans="1:25" x14ac:dyDescent="0.2">
      <c r="A622" s="1077"/>
      <c r="B622" s="1444">
        <v>372</v>
      </c>
      <c r="C622" s="1081">
        <v>1.0110557211918287</v>
      </c>
      <c r="D622" s="1081">
        <v>1.0138715653838677</v>
      </c>
      <c r="E622" s="1081">
        <v>0.95248162682034543</v>
      </c>
      <c r="F622" s="1081">
        <v>1.0009373306682821</v>
      </c>
      <c r="G622" s="1081">
        <v>0.99092981434580429</v>
      </c>
      <c r="H622" s="1081">
        <v>0.99501806168674689</v>
      </c>
      <c r="I622" s="1081">
        <v>0.99197214516701915</v>
      </c>
      <c r="K622">
        <v>2.3832647808586782</v>
      </c>
      <c r="L622">
        <v>0</v>
      </c>
      <c r="M622">
        <v>1.7771066168131616E-3</v>
      </c>
      <c r="N622">
        <v>0.14005839430099604</v>
      </c>
      <c r="O622">
        <v>2.0662332636895722E-2</v>
      </c>
      <c r="P622">
        <v>2.7322889198858741E-2</v>
      </c>
      <c r="Q622">
        <v>5.1514478728917588E-3</v>
      </c>
      <c r="R622">
        <v>1.7535317776695509E-3</v>
      </c>
      <c r="S622">
        <v>0.25120621092578915</v>
      </c>
      <c r="T622">
        <v>1.3719006830408682</v>
      </c>
      <c r="U622">
        <v>0.20949546205286038</v>
      </c>
      <c r="V622">
        <v>0.24347282191445946</v>
      </c>
      <c r="W622">
        <v>9.4695377340799178E-2</v>
      </c>
      <c r="X622">
        <v>1.4550200966176595E-2</v>
      </c>
      <c r="Y622">
        <v>4.7725354472213629E-3</v>
      </c>
    </row>
    <row r="623" spans="1:25" x14ac:dyDescent="0.2">
      <c r="A623" s="1077"/>
      <c r="B623" s="1444">
        <v>373</v>
      </c>
      <c r="C623" s="1081">
        <v>1.0300951458026</v>
      </c>
      <c r="D623" s="1081">
        <v>1.0099011917922025</v>
      </c>
      <c r="E623" s="1081">
        <v>1.0047062132392435</v>
      </c>
      <c r="F623" s="1081">
        <v>1.0066337923903301</v>
      </c>
      <c r="G623" s="1081">
        <v>1.0207698684643238</v>
      </c>
      <c r="H623" s="1081">
        <v>0.99592650996478127</v>
      </c>
      <c r="I623" s="1081">
        <v>0.98757417716671303</v>
      </c>
      <c r="K623">
        <v>2.3946667859539517</v>
      </c>
      <c r="L623">
        <v>0</v>
      </c>
      <c r="M623">
        <v>1.5685376207752641E-3</v>
      </c>
      <c r="N623">
        <v>0.14478635994451666</v>
      </c>
      <c r="O623">
        <v>2.0331398911676735E-2</v>
      </c>
      <c r="P623">
        <v>2.8487060717784448E-2</v>
      </c>
      <c r="Q623">
        <v>5.3455110658242287E-3</v>
      </c>
      <c r="R623">
        <v>1.5477486080443731E-3</v>
      </c>
      <c r="S623">
        <v>0.24643113216843418</v>
      </c>
      <c r="T623">
        <v>1.3808402761718823</v>
      </c>
      <c r="U623">
        <v>0.20579601666094172</v>
      </c>
      <c r="V623">
        <v>0.24723769288903141</v>
      </c>
      <c r="W623">
        <v>9.4849612816977444E-2</v>
      </c>
      <c r="X623">
        <v>1.6370052123707238E-2</v>
      </c>
      <c r="Y623">
        <v>4.2124614959052646E-3</v>
      </c>
    </row>
    <row r="624" spans="1:25" x14ac:dyDescent="0.2">
      <c r="A624" s="1077"/>
      <c r="B624" s="1444">
        <v>374</v>
      </c>
      <c r="C624" s="1081">
        <v>0.99999889739419878</v>
      </c>
      <c r="D624" s="1081">
        <v>1.038830574000676</v>
      </c>
      <c r="E624" s="1081">
        <v>0.96942686970360037</v>
      </c>
      <c r="F624" s="1081">
        <v>1.0128863216868258</v>
      </c>
      <c r="G624" s="1081">
        <v>0.95663438578554993</v>
      </c>
      <c r="H624" s="1081">
        <v>0.98715784087494918</v>
      </c>
      <c r="I624" s="1081">
        <v>0.99982301385133376</v>
      </c>
      <c r="K624">
        <v>2.4019910629339236</v>
      </c>
      <c r="L624">
        <v>0</v>
      </c>
      <c r="M624">
        <v>1.7121849455668063E-3</v>
      </c>
      <c r="N624">
        <v>0.14203572639113349</v>
      </c>
      <c r="O624">
        <v>2.0790400430468266E-2</v>
      </c>
      <c r="P624">
        <v>2.7883609076355023E-2</v>
      </c>
      <c r="Q624">
        <v>5.2743949590690698E-3</v>
      </c>
      <c r="R624">
        <v>1.6892904914359149E-3</v>
      </c>
      <c r="S624">
        <v>0.25238529414289518</v>
      </c>
      <c r="T624">
        <v>1.3886463226200689</v>
      </c>
      <c r="U624">
        <v>0.21186936931092817</v>
      </c>
      <c r="V624">
        <v>0.23823046223593219</v>
      </c>
      <c r="W624">
        <v>9.503986236573958E-2</v>
      </c>
      <c r="X624">
        <v>1.526082401223398E-2</v>
      </c>
      <c r="Y624">
        <v>4.5976918432277221E-3</v>
      </c>
    </row>
    <row r="625" spans="1:25" x14ac:dyDescent="0.2">
      <c r="A625" s="1077"/>
      <c r="B625" s="1444">
        <v>375</v>
      </c>
      <c r="C625" s="1081">
        <v>0.99556934287279575</v>
      </c>
      <c r="D625" s="1081">
        <v>1.0071692172704705</v>
      </c>
      <c r="E625" s="1081">
        <v>1.0114177505914741</v>
      </c>
      <c r="F625" s="1081">
        <v>0.98403463284297388</v>
      </c>
      <c r="G625" s="1081">
        <v>0.96136177501488396</v>
      </c>
      <c r="H625" s="1081">
        <v>1.0147389698742777</v>
      </c>
      <c r="I625" s="1081">
        <v>0.97596476047215175</v>
      </c>
      <c r="K625">
        <v>2.3861516718737321</v>
      </c>
      <c r="L625">
        <v>0</v>
      </c>
      <c r="M625">
        <v>1.6316723377483569E-3</v>
      </c>
      <c r="N625">
        <v>0.15373571466585026</v>
      </c>
      <c r="O625">
        <v>2.1053493836684752E-2</v>
      </c>
      <c r="P625">
        <v>2.829521055918028E-2</v>
      </c>
      <c r="Q625">
        <v>5.5726658368642767E-3</v>
      </c>
      <c r="R625">
        <v>1.6104474779588061E-3</v>
      </c>
      <c r="S625">
        <v>0.25394192553032091</v>
      </c>
      <c r="T625">
        <v>1.3499831663848794</v>
      </c>
      <c r="U625">
        <v>0.21295598300129243</v>
      </c>
      <c r="V625">
        <v>0.23917198583241933</v>
      </c>
      <c r="W625">
        <v>0.10031393712671016</v>
      </c>
      <c r="X625">
        <v>1.6765706808183716E-2</v>
      </c>
      <c r="Y625">
        <v>4.383107151135439E-3</v>
      </c>
    </row>
    <row r="626" spans="1:25" x14ac:dyDescent="0.2">
      <c r="A626" s="1077"/>
      <c r="B626" s="1444">
        <v>376</v>
      </c>
      <c r="C626" s="1081">
        <v>1.0312301535331885</v>
      </c>
      <c r="D626" s="1081">
        <v>0.99031284115584806</v>
      </c>
      <c r="E626" s="1081">
        <v>0.98243690039990916</v>
      </c>
      <c r="F626" s="1081">
        <v>1.0002179806669391</v>
      </c>
      <c r="G626" s="1081">
        <v>0.9723440280045248</v>
      </c>
      <c r="H626" s="1081">
        <v>1.0184673463231151</v>
      </c>
      <c r="I626" s="1081">
        <v>0.99057092109114342</v>
      </c>
      <c r="K626">
        <v>2.3825790597618965</v>
      </c>
      <c r="L626">
        <v>0</v>
      </c>
      <c r="M626">
        <v>1.6851915300294001E-3</v>
      </c>
      <c r="N626">
        <v>0.14547144436904236</v>
      </c>
      <c r="O626">
        <v>2.0382376066251713E-2</v>
      </c>
      <c r="P626">
        <v>2.7836933667934226E-2</v>
      </c>
      <c r="Q626">
        <v>5.23986960334334E-3</v>
      </c>
      <c r="R626">
        <v>1.6633507383428325E-3</v>
      </c>
      <c r="S626">
        <v>0.2510119468781154</v>
      </c>
      <c r="T626">
        <v>1.3715583291508873</v>
      </c>
      <c r="U626">
        <v>0.20549576956661045</v>
      </c>
      <c r="V626">
        <v>0.23898041992223434</v>
      </c>
      <c r="W626">
        <v>9.6574662082627619E-2</v>
      </c>
      <c r="X626">
        <v>1.5522056860189466E-2</v>
      </c>
      <c r="Y626">
        <v>4.5270923863456594E-3</v>
      </c>
    </row>
    <row r="627" spans="1:25" x14ac:dyDescent="0.2">
      <c r="A627" s="1077"/>
      <c r="B627" s="1444">
        <v>377</v>
      </c>
      <c r="C627" s="1081">
        <v>1.0150838347454707</v>
      </c>
      <c r="D627" s="1081">
        <v>0.9807647334549392</v>
      </c>
      <c r="E627" s="1081">
        <v>0.95864785937047359</v>
      </c>
      <c r="F627" s="1081">
        <v>0.99789356694529896</v>
      </c>
      <c r="G627" s="1081">
        <v>0.97795486039983004</v>
      </c>
      <c r="H627" s="1081">
        <v>0.97474823680799416</v>
      </c>
      <c r="I627" s="1081">
        <v>0.95944458205432748</v>
      </c>
      <c r="K627">
        <v>2.3662575931365972</v>
      </c>
      <c r="L627">
        <v>0</v>
      </c>
      <c r="M627">
        <v>1.724664542044882E-3</v>
      </c>
      <c r="N627">
        <v>0.1384509850088804</v>
      </c>
      <c r="O627">
        <v>2.0735222341807975E-2</v>
      </c>
      <c r="P627">
        <v>2.7268021192802992E-2</v>
      </c>
      <c r="Q627">
        <v>5.2025697731067798E-3</v>
      </c>
      <c r="R627">
        <v>1.7013096214651537E-3</v>
      </c>
      <c r="S627">
        <v>0.24448193099961116</v>
      </c>
      <c r="T627">
        <v>1.3678606815760743</v>
      </c>
      <c r="U627">
        <v>0.20868474171310183</v>
      </c>
      <c r="V627">
        <v>0.24098683481604743</v>
      </c>
      <c r="W627">
        <v>9.3253892384252593E-2</v>
      </c>
      <c r="X627">
        <v>1.4725664298426581E-2</v>
      </c>
      <c r="Y627">
        <v>4.6304039530621595E-3</v>
      </c>
    </row>
    <row r="628" spans="1:25" x14ac:dyDescent="0.2">
      <c r="A628" s="1077"/>
      <c r="B628" s="1444">
        <v>378</v>
      </c>
      <c r="C628" s="1081">
        <v>1.0071919807144982</v>
      </c>
      <c r="D628" s="1081">
        <v>1.0070607462449979</v>
      </c>
      <c r="E628" s="1081">
        <v>0.99544074938044824</v>
      </c>
      <c r="F628" s="1081">
        <v>1.0107668492526936</v>
      </c>
      <c r="G628" s="1081">
        <v>1.0128498428469146</v>
      </c>
      <c r="H628" s="1081">
        <v>0.97688536945552662</v>
      </c>
      <c r="I628" s="1081">
        <v>1.0299506404857763</v>
      </c>
      <c r="K628">
        <v>2.4198592810938391</v>
      </c>
      <c r="L628">
        <v>0</v>
      </c>
      <c r="M628">
        <v>1.6050642241211713E-3</v>
      </c>
      <c r="N628">
        <v>0.14403043901342966</v>
      </c>
      <c r="O628">
        <v>2.0800519921448959E-2</v>
      </c>
      <c r="P628">
        <v>2.863422063402421E-2</v>
      </c>
      <c r="Q628">
        <v>5.41815642550639E-3</v>
      </c>
      <c r="R628">
        <v>1.5833764476853053E-3</v>
      </c>
      <c r="S628">
        <v>0.26148945785017386</v>
      </c>
      <c r="T628">
        <v>1.3863072010462298</v>
      </c>
      <c r="U628">
        <v>0.21044429463645584</v>
      </c>
      <c r="V628">
        <v>0.2472966575392713</v>
      </c>
      <c r="W628">
        <v>9.4875411929518108E-2</v>
      </c>
      <c r="X628">
        <v>1.6275181143520039E-2</v>
      </c>
      <c r="Y628">
        <v>4.3094287306937014E-3</v>
      </c>
    </row>
    <row r="629" spans="1:25" x14ac:dyDescent="0.2">
      <c r="A629" s="1077"/>
      <c r="B629" s="1444">
        <v>379</v>
      </c>
      <c r="C629" s="1081">
        <v>1.0389702087510109</v>
      </c>
      <c r="D629" s="1081">
        <v>1.0114555396427383</v>
      </c>
      <c r="E629" s="1081">
        <v>0.95871218202667918</v>
      </c>
      <c r="F629" s="1081">
        <v>1.0111285176691953</v>
      </c>
      <c r="G629" s="1081">
        <v>1.0221168744204412</v>
      </c>
      <c r="H629" s="1081">
        <v>1.0181148397186428</v>
      </c>
      <c r="I629" s="1081">
        <v>1.0008600425465564</v>
      </c>
      <c r="K629">
        <v>2.3929989558607003</v>
      </c>
      <c r="L629">
        <v>0</v>
      </c>
      <c r="M629">
        <v>1.7478580787153861E-3</v>
      </c>
      <c r="N629">
        <v>0.14042230763018665</v>
      </c>
      <c r="O629">
        <v>2.012168572656391E-2</v>
      </c>
      <c r="P629">
        <v>2.7585104507646136E-2</v>
      </c>
      <c r="Q629">
        <v>5.0489644312276608E-3</v>
      </c>
      <c r="R629">
        <v>1.725197258930817E-3</v>
      </c>
      <c r="S629">
        <v>0.2488752726932677</v>
      </c>
      <c r="T629">
        <v>1.3860038591318677</v>
      </c>
      <c r="U629">
        <v>0.20388719951442372</v>
      </c>
      <c r="V629">
        <v>0.24712485419014343</v>
      </c>
      <c r="W629">
        <v>9.4577943859833952E-2</v>
      </c>
      <c r="X629">
        <v>1.467900676763869E-2</v>
      </c>
      <c r="Y629">
        <v>4.6954182276861224E-3</v>
      </c>
    </row>
    <row r="630" spans="1:25" x14ac:dyDescent="0.2">
      <c r="A630" s="1077"/>
      <c r="B630" s="1444">
        <v>380</v>
      </c>
      <c r="C630" s="1081">
        <v>1.0416573011757237</v>
      </c>
      <c r="D630" s="1081">
        <v>0.99815198119075577</v>
      </c>
      <c r="E630" s="1081">
        <v>1.005293853988408</v>
      </c>
      <c r="F630" s="1081">
        <v>0.99958213164594012</v>
      </c>
      <c r="G630" s="1081">
        <v>1.0231465160071487</v>
      </c>
      <c r="H630" s="1081">
        <v>1.0026258731229261</v>
      </c>
      <c r="I630" s="1081">
        <v>1.0028505085842847</v>
      </c>
      <c r="K630">
        <v>2.3847563632140347</v>
      </c>
      <c r="L630">
        <v>0</v>
      </c>
      <c r="M630">
        <v>1.5636780067627908E-3</v>
      </c>
      <c r="N630">
        <v>0.14460715180496467</v>
      </c>
      <c r="O630">
        <v>2.0157928597528522E-2</v>
      </c>
      <c r="P630">
        <v>2.8373866698206424E-2</v>
      </c>
      <c r="Q630">
        <v>5.3030252674478758E-3</v>
      </c>
      <c r="R630">
        <v>1.5430918801903385E-3</v>
      </c>
      <c r="S630">
        <v>0.24947317964427584</v>
      </c>
      <c r="T630">
        <v>1.3711799450644857</v>
      </c>
      <c r="U630">
        <v>0.2035136582884291</v>
      </c>
      <c r="V630">
        <v>0.24696894493931343</v>
      </c>
      <c r="W630">
        <v>9.4699263183155941E-2</v>
      </c>
      <c r="X630">
        <v>1.6300198435019616E-2</v>
      </c>
      <c r="Y630">
        <v>4.1997874177765069E-3</v>
      </c>
    </row>
    <row r="631" spans="1:25" x14ac:dyDescent="0.2">
      <c r="A631" s="1077"/>
      <c r="B631" s="1444">
        <v>381</v>
      </c>
      <c r="C631" s="1081">
        <v>0.98384747585690602</v>
      </c>
      <c r="D631" s="1081">
        <v>1.0081845594811163</v>
      </c>
      <c r="E631" s="1081">
        <v>0.98461612663964415</v>
      </c>
      <c r="F631" s="1081">
        <v>1.0244662656936325</v>
      </c>
      <c r="G631" s="1081">
        <v>1.0059096238349754</v>
      </c>
      <c r="H631" s="1081">
        <v>0.97932133829192347</v>
      </c>
      <c r="I631" s="1081">
        <v>1.0049450659741777</v>
      </c>
      <c r="K631">
        <v>2.4484062446755344</v>
      </c>
      <c r="L631">
        <v>0</v>
      </c>
      <c r="M631">
        <v>1.6841788890695653E-3</v>
      </c>
      <c r="N631">
        <v>0.14626873912023519</v>
      </c>
      <c r="O631">
        <v>2.1281568188110486E-2</v>
      </c>
      <c r="P631">
        <v>2.8719222992013342E-2</v>
      </c>
      <c r="Q631">
        <v>5.4831402764478785E-3</v>
      </c>
      <c r="R631">
        <v>1.6614787132865031E-3</v>
      </c>
      <c r="S631">
        <v>0.26117057760516366</v>
      </c>
      <c r="T631">
        <v>1.4048571411734323</v>
      </c>
      <c r="U631">
        <v>0.21540011909577683</v>
      </c>
      <c r="V631">
        <v>0.2476204214559467</v>
      </c>
      <c r="W631">
        <v>9.697662919168229E-2</v>
      </c>
      <c r="X631">
        <v>1.6129388401252956E-2</v>
      </c>
      <c r="Y631">
        <v>4.521997351255227E-3</v>
      </c>
    </row>
    <row r="632" spans="1:25" x14ac:dyDescent="0.2">
      <c r="A632" s="1077"/>
      <c r="B632" s="1444">
        <v>382</v>
      </c>
      <c r="C632" s="1081">
        <v>1.0156385518647773</v>
      </c>
      <c r="D632" s="1081">
        <v>0.99091526200530244</v>
      </c>
      <c r="E632" s="1081">
        <v>0.98470766918893593</v>
      </c>
      <c r="F632" s="1081">
        <v>0.98184710165505951</v>
      </c>
      <c r="G632" s="1081">
        <v>1.0088052431497068</v>
      </c>
      <c r="H632" s="1081">
        <v>0.993116899908429</v>
      </c>
      <c r="I632" s="1081">
        <v>1.043534392261128</v>
      </c>
      <c r="K632">
        <v>2.3813718036546105</v>
      </c>
      <c r="L632">
        <v>0</v>
      </c>
      <c r="M632">
        <v>1.6604296464772831E-3</v>
      </c>
      <c r="N632">
        <v>0.14427345842937431</v>
      </c>
      <c r="O632">
        <v>2.0693990973228753E-2</v>
      </c>
      <c r="P632">
        <v>2.7889751049615816E-2</v>
      </c>
      <c r="Q632">
        <v>5.3322473710563263E-3</v>
      </c>
      <c r="R632">
        <v>1.638360459965126E-3</v>
      </c>
      <c r="S632">
        <v>0.2662109129532868</v>
      </c>
      <c r="T632">
        <v>1.3464151468478986</v>
      </c>
      <c r="U632">
        <v>0.20865806563724068</v>
      </c>
      <c r="V632">
        <v>0.24613019022855076</v>
      </c>
      <c r="W632">
        <v>9.5648484210690846E-2</v>
      </c>
      <c r="X632">
        <v>1.5682548053535212E-2</v>
      </c>
      <c r="Y632">
        <v>4.4590770866445957E-3</v>
      </c>
    </row>
    <row r="633" spans="1:25" x14ac:dyDescent="0.2">
      <c r="A633" s="1077"/>
      <c r="B633" s="1444">
        <v>383</v>
      </c>
      <c r="C633" s="1081">
        <v>1.0052743020811417</v>
      </c>
      <c r="D633" s="1081">
        <v>1.0193620899932259</v>
      </c>
      <c r="E633" s="1081">
        <v>1.0025040272923407</v>
      </c>
      <c r="F633" s="1081">
        <v>1.0012790510062699</v>
      </c>
      <c r="G633" s="1081">
        <v>0.97121494594359004</v>
      </c>
      <c r="H633" s="1081">
        <v>0.96188764411959771</v>
      </c>
      <c r="I633" s="1081">
        <v>1.0019244080401466</v>
      </c>
      <c r="K633">
        <v>2.3880615783152317</v>
      </c>
      <c r="L633">
        <v>0</v>
      </c>
      <c r="M633">
        <v>1.556248014458119E-3</v>
      </c>
      <c r="N633">
        <v>0.14263178799439535</v>
      </c>
      <c r="O633">
        <v>2.0789251381103727E-2</v>
      </c>
      <c r="P633">
        <v>2.8391265685065517E-2</v>
      </c>
      <c r="Q633">
        <v>5.4538273662500464E-3</v>
      </c>
      <c r="R633">
        <v>1.5348919765696631E-3</v>
      </c>
      <c r="S633">
        <v>0.25210319703340345</v>
      </c>
      <c r="T633">
        <v>1.373447235997916</v>
      </c>
      <c r="U633">
        <v>0.21086975518064024</v>
      </c>
      <c r="V633">
        <v>0.24027947547387368</v>
      </c>
      <c r="W633">
        <v>9.3560181225527131E-2</v>
      </c>
      <c r="X633">
        <v>1.6379487031725832E-2</v>
      </c>
      <c r="Y633">
        <v>4.1774699832185314E-3</v>
      </c>
    </row>
    <row r="634" spans="1:25" x14ac:dyDescent="0.2">
      <c r="A634" s="1077"/>
      <c r="B634" s="1444">
        <v>384</v>
      </c>
      <c r="C634" s="1081">
        <v>1.0417581769611339</v>
      </c>
      <c r="D634" s="1081">
        <v>1.0303077328699279</v>
      </c>
      <c r="E634" s="1081">
        <v>0.96544925907096624</v>
      </c>
      <c r="F634" s="1081">
        <v>0.97092943891806305</v>
      </c>
      <c r="G634" s="1081">
        <v>1.0052839563490923</v>
      </c>
      <c r="H634" s="1081">
        <v>1.0051239389002895</v>
      </c>
      <c r="I634" s="1081">
        <v>0.9976901930867299</v>
      </c>
      <c r="K634">
        <v>2.3251987578937117</v>
      </c>
      <c r="L634">
        <v>0</v>
      </c>
      <c r="M634">
        <v>1.6903170986776296E-3</v>
      </c>
      <c r="N634">
        <v>0.13857624129407237</v>
      </c>
      <c r="O634">
        <v>1.9990707663011229E-2</v>
      </c>
      <c r="P634">
        <v>2.6887916249274325E-2</v>
      </c>
      <c r="Q634">
        <v>5.0509124918004912E-3</v>
      </c>
      <c r="R634">
        <v>1.6681190506641307E-3</v>
      </c>
      <c r="S634">
        <v>0.24416663428923269</v>
      </c>
      <c r="T634">
        <v>1.3310413400533108</v>
      </c>
      <c r="U634">
        <v>0.20336352166357632</v>
      </c>
      <c r="V634">
        <v>0.24406075233321495</v>
      </c>
      <c r="W634">
        <v>9.2950238430463919E-2</v>
      </c>
      <c r="X634">
        <v>1.4592621313157372E-2</v>
      </c>
      <c r="Y634">
        <v>4.5400701606104999E-3</v>
      </c>
    </row>
    <row r="635" spans="1:25" x14ac:dyDescent="0.2">
      <c r="A635" s="1077"/>
      <c r="B635" s="1444">
        <v>385</v>
      </c>
      <c r="C635" s="1081">
        <v>0.98572127302849888</v>
      </c>
      <c r="D635" s="1081">
        <v>0.99854780746806437</v>
      </c>
      <c r="E635" s="1081">
        <v>1.0391498659414236</v>
      </c>
      <c r="F635" s="1081">
        <v>0.98897357647834938</v>
      </c>
      <c r="G635" s="1081">
        <v>1.0179707009813228</v>
      </c>
      <c r="H635" s="1081">
        <v>1.012713075280637</v>
      </c>
      <c r="I635" s="1081">
        <v>1.0240594362202247</v>
      </c>
      <c r="K635">
        <v>2.4326290255232261</v>
      </c>
      <c r="L635">
        <v>0</v>
      </c>
      <c r="M635">
        <v>1.555337901835973E-3</v>
      </c>
      <c r="N635">
        <v>0.15932169550107664</v>
      </c>
      <c r="O635">
        <v>2.1322837376019029E-2</v>
      </c>
      <c r="P635">
        <v>2.9380942454485876E-2</v>
      </c>
      <c r="Q635">
        <v>5.8012638931877782E-3</v>
      </c>
      <c r="R635">
        <v>1.5350655303221514E-3</v>
      </c>
      <c r="S635">
        <v>0.27033376734910602</v>
      </c>
      <c r="T635">
        <v>1.3573549412620309</v>
      </c>
      <c r="U635">
        <v>0.21518010320261066</v>
      </c>
      <c r="V635">
        <v>0.24936362103374818</v>
      </c>
      <c r="W635">
        <v>0.10229257791350183</v>
      </c>
      <c r="X635">
        <v>1.8119605569652607E-2</v>
      </c>
      <c r="Y635">
        <v>4.1779423393208254E-3</v>
      </c>
    </row>
    <row r="636" spans="1:25" x14ac:dyDescent="0.2">
      <c r="A636" s="1077"/>
      <c r="B636" s="1444">
        <v>386</v>
      </c>
      <c r="C636" s="1081">
        <v>0.99387332989726007</v>
      </c>
      <c r="D636" s="1081">
        <v>0.98918184664687792</v>
      </c>
      <c r="E636" s="1081">
        <v>0.96001760874981745</v>
      </c>
      <c r="F636" s="1081">
        <v>1.0115699204160786</v>
      </c>
      <c r="G636" s="1081">
        <v>0.99457183621290124</v>
      </c>
      <c r="H636" s="1081">
        <v>0.98318074672777001</v>
      </c>
      <c r="I636" s="1081">
        <v>1.0114753295854304</v>
      </c>
      <c r="K636">
        <v>2.4204402259216251</v>
      </c>
      <c r="L636">
        <v>0</v>
      </c>
      <c r="M636">
        <v>1.7683733899230521E-3</v>
      </c>
      <c r="N636">
        <v>0.14256704411112708</v>
      </c>
      <c r="O636">
        <v>2.113887143103239E-2</v>
      </c>
      <c r="P636">
        <v>2.7902577230623313E-2</v>
      </c>
      <c r="Q636">
        <v>5.3113222969482675E-3</v>
      </c>
      <c r="R636">
        <v>1.7446319626430221E-3</v>
      </c>
      <c r="S636">
        <v>0.2628490238570273</v>
      </c>
      <c r="T636">
        <v>1.3866372274188601</v>
      </c>
      <c r="U636">
        <v>0.21314301552894421</v>
      </c>
      <c r="V636">
        <v>0.24513370748236529</v>
      </c>
      <c r="W636">
        <v>9.594556829828936E-2</v>
      </c>
      <c r="X636">
        <v>1.5087296609145014E-2</v>
      </c>
      <c r="Y636">
        <v>4.7483130845423866E-3</v>
      </c>
    </row>
    <row r="637" spans="1:25" x14ac:dyDescent="0.2">
      <c r="A637" s="1077"/>
      <c r="B637" s="1444">
        <v>387</v>
      </c>
      <c r="C637" s="1081">
        <v>1.0259390602451059</v>
      </c>
      <c r="D637" s="1081">
        <v>0.97819174028800004</v>
      </c>
      <c r="E637" s="1081">
        <v>1.0193863917753905</v>
      </c>
      <c r="F637" s="1081">
        <v>1.0046346730546045</v>
      </c>
      <c r="G637" s="1081">
        <v>1.0333105430152927</v>
      </c>
      <c r="H637" s="1081">
        <v>1.029047670689333</v>
      </c>
      <c r="I637" s="1081">
        <v>1.01074757544939</v>
      </c>
      <c r="K637">
        <v>2.424404173244139</v>
      </c>
      <c r="L637">
        <v>0</v>
      </c>
      <c r="M637">
        <v>1.5894896297579627E-3</v>
      </c>
      <c r="N637">
        <v>0.15343446266736632</v>
      </c>
      <c r="O637">
        <v>2.0567099049748464E-2</v>
      </c>
      <c r="P637">
        <v>2.8999144172255499E-2</v>
      </c>
      <c r="Q637">
        <v>5.4873297923821339E-3</v>
      </c>
      <c r="R637">
        <v>1.569100981982688E-3</v>
      </c>
      <c r="S637">
        <v>0.26023389683229975</v>
      </c>
      <c r="T637">
        <v>1.3784177437221947</v>
      </c>
      <c r="U637">
        <v>0.20667869990830492</v>
      </c>
      <c r="V637">
        <v>0.24956974791985181</v>
      </c>
      <c r="W637">
        <v>9.9650014472432477E-2</v>
      </c>
      <c r="X637">
        <v>1.7115847736119121E-2</v>
      </c>
      <c r="Y637">
        <v>4.2705756189571811E-3</v>
      </c>
    </row>
    <row r="638" spans="1:25" x14ac:dyDescent="0.2">
      <c r="A638" s="1077"/>
      <c r="B638" s="1444">
        <v>388</v>
      </c>
      <c r="C638" s="1081">
        <v>0.98514120598375754</v>
      </c>
      <c r="D638" s="1081">
        <v>0.99977010832553992</v>
      </c>
      <c r="E638" s="1081">
        <v>0.97809442944767322</v>
      </c>
      <c r="F638" s="1081">
        <v>1.0001050248189163</v>
      </c>
      <c r="G638" s="1081">
        <v>0.98305767334392613</v>
      </c>
      <c r="H638" s="1081">
        <v>1.0091807358954765</v>
      </c>
      <c r="I638" s="1081">
        <v>1.0099694463119206</v>
      </c>
      <c r="K638">
        <v>2.4208945346220632</v>
      </c>
      <c r="L638">
        <v>0</v>
      </c>
      <c r="M638">
        <v>1.76002951420525E-3</v>
      </c>
      <c r="N638">
        <v>0.14993048312896198</v>
      </c>
      <c r="O638">
        <v>2.1288464411764789E-2</v>
      </c>
      <c r="P638">
        <v>2.8131974096828424E-2</v>
      </c>
      <c r="Q638">
        <v>5.4487069601929271E-3</v>
      </c>
      <c r="R638">
        <v>1.7370088835374831E-3</v>
      </c>
      <c r="S638">
        <v>0.26578553225844725</v>
      </c>
      <c r="T638">
        <v>1.3713098894665492</v>
      </c>
      <c r="U638">
        <v>0.21509468510464066</v>
      </c>
      <c r="V638">
        <v>0.24365619922952866</v>
      </c>
      <c r="W638">
        <v>9.9796177065295907E-2</v>
      </c>
      <c r="X638">
        <v>1.5747877954354325E-2</v>
      </c>
      <c r="Y638">
        <v>4.727565576164462E-3</v>
      </c>
    </row>
    <row r="639" spans="1:25" x14ac:dyDescent="0.2">
      <c r="A639" s="1077"/>
      <c r="B639" s="1444">
        <v>389</v>
      </c>
      <c r="C639" s="1081">
        <v>1.0389802426642554</v>
      </c>
      <c r="D639" s="1081">
        <v>0.99834364855101121</v>
      </c>
      <c r="E639" s="1081">
        <v>0.98810088118230355</v>
      </c>
      <c r="F639" s="1081">
        <v>1.0013956703905318</v>
      </c>
      <c r="G639" s="1081">
        <v>0.98628406723956841</v>
      </c>
      <c r="H639" s="1081">
        <v>0.99230703300984191</v>
      </c>
      <c r="I639" s="1081">
        <v>0.98732775251249838</v>
      </c>
      <c r="K639">
        <v>2.3712072226357277</v>
      </c>
      <c r="L639">
        <v>0</v>
      </c>
      <c r="M639">
        <v>1.6078079927781474E-3</v>
      </c>
      <c r="N639">
        <v>0.1411406283923457</v>
      </c>
      <c r="O639">
        <v>2.019803351784321E-2</v>
      </c>
      <c r="P639">
        <v>2.7907205538729291E-2</v>
      </c>
      <c r="Q639">
        <v>5.2223697472045119E-3</v>
      </c>
      <c r="R639">
        <v>1.5864207730031138E-3</v>
      </c>
      <c r="S639">
        <v>0.2452529341173936</v>
      </c>
      <c r="T639">
        <v>1.3732955499990678</v>
      </c>
      <c r="U639">
        <v>0.2039815008676365</v>
      </c>
      <c r="V639">
        <v>0.24089051972693701</v>
      </c>
      <c r="W639">
        <v>9.3380968136713385E-2</v>
      </c>
      <c r="X639">
        <v>1.5641185430985121E-2</v>
      </c>
      <c r="Y639">
        <v>4.317714380647205E-3</v>
      </c>
    </row>
    <row r="640" spans="1:25" x14ac:dyDescent="0.2">
      <c r="A640" s="1077"/>
      <c r="B640" s="1444">
        <v>390</v>
      </c>
      <c r="C640" s="1081">
        <v>1.0248507302531977</v>
      </c>
      <c r="D640" s="1081">
        <v>0.96029181819628606</v>
      </c>
      <c r="E640" s="1081">
        <v>1.0362540809301519</v>
      </c>
      <c r="F640" s="1081">
        <v>0.96378858633125708</v>
      </c>
      <c r="G640" s="1081">
        <v>0.96478156803917225</v>
      </c>
      <c r="H640" s="1081">
        <v>0.99682131594372236</v>
      </c>
      <c r="I640" s="1081">
        <v>1.0082557636515774</v>
      </c>
      <c r="K640">
        <v>2.3526445272493555</v>
      </c>
      <c r="L640">
        <v>0</v>
      </c>
      <c r="M640">
        <v>1.4941878591346615E-3</v>
      </c>
      <c r="N640">
        <v>0.15169625632958506</v>
      </c>
      <c r="O640">
        <v>2.0683831896585424E-2</v>
      </c>
      <c r="P640">
        <v>2.840932673406836E-2</v>
      </c>
      <c r="Q640">
        <v>5.6113900850237632E-3</v>
      </c>
      <c r="R640">
        <v>1.4744020367863776E-3</v>
      </c>
      <c r="S640">
        <v>0.25970529168688089</v>
      </c>
      <c r="T640">
        <v>1.3227280285056398</v>
      </c>
      <c r="U640">
        <v>0.20695467625748162</v>
      </c>
      <c r="V640">
        <v>0.23788157603314633</v>
      </c>
      <c r="W640">
        <v>9.7559528366599702E-2</v>
      </c>
      <c r="X640">
        <v>1.7421570869060723E-2</v>
      </c>
      <c r="Y640">
        <v>4.0128363076317184E-3</v>
      </c>
    </row>
    <row r="641" spans="1:25" x14ac:dyDescent="0.2">
      <c r="A641" s="1077"/>
      <c r="B641" s="1444">
        <v>391</v>
      </c>
      <c r="C641" s="1081">
        <v>0.99925903665324067</v>
      </c>
      <c r="D641" s="1081">
        <v>1.0122130479568454</v>
      </c>
      <c r="E641" s="1081">
        <v>0.99535790808049873</v>
      </c>
      <c r="F641" s="1081">
        <v>1.0406218235896938</v>
      </c>
      <c r="G641" s="1081">
        <v>1.0083961616681665</v>
      </c>
      <c r="H641" s="1081">
        <v>1.0193287819874559</v>
      </c>
      <c r="I641" s="1081">
        <v>0.96969603641421021</v>
      </c>
      <c r="K641">
        <v>2.4649865563551945</v>
      </c>
      <c r="L641">
        <v>0</v>
      </c>
      <c r="M641">
        <v>1.6864919341334837E-3</v>
      </c>
      <c r="N641">
        <v>0.15138576038097812</v>
      </c>
      <c r="O641">
        <v>2.0942072093735681E-2</v>
      </c>
      <c r="P641">
        <v>2.9065721665554618E-2</v>
      </c>
      <c r="Q641">
        <v>5.4545728051660584E-3</v>
      </c>
      <c r="R641">
        <v>1.6646527605779788E-3</v>
      </c>
      <c r="S641">
        <v>0.25100476598483512</v>
      </c>
      <c r="T641">
        <v>1.4272526308697424</v>
      </c>
      <c r="U641">
        <v>0.21211469219155096</v>
      </c>
      <c r="V641">
        <v>0.24702806188980944</v>
      </c>
      <c r="W641">
        <v>9.9725420804591292E-2</v>
      </c>
      <c r="X641">
        <v>1.6504060781127608E-2</v>
      </c>
      <c r="Y641">
        <v>4.5306360616582135E-3</v>
      </c>
    </row>
    <row r="642" spans="1:25" x14ac:dyDescent="0.2">
      <c r="A642" s="1077"/>
      <c r="B642" s="1444">
        <v>392</v>
      </c>
      <c r="C642" s="1081">
        <v>0.99764205997349831</v>
      </c>
      <c r="D642" s="1081">
        <v>1.0137350778881822</v>
      </c>
      <c r="E642" s="1081">
        <v>1.029236186218625</v>
      </c>
      <c r="F642" s="1081">
        <v>0.98763354121330216</v>
      </c>
      <c r="G642" s="1081">
        <v>1.0014775389537791</v>
      </c>
      <c r="H642" s="1081">
        <v>1.0026153689752171</v>
      </c>
      <c r="I642" s="1081">
        <v>0.97175982730050048</v>
      </c>
      <c r="K642">
        <v>2.3946322275775671</v>
      </c>
      <c r="L642">
        <v>0</v>
      </c>
      <c r="M642">
        <v>1.5480573017584397E-3</v>
      </c>
      <c r="N642">
        <v>0.15388784001674408</v>
      </c>
      <c r="O642">
        <v>2.0991594438576199E-2</v>
      </c>
      <c r="P642">
        <v>2.8782325816996406E-2</v>
      </c>
      <c r="Q642">
        <v>5.6555656083145641E-3</v>
      </c>
      <c r="R642">
        <v>1.5276766112992573E-3</v>
      </c>
      <c r="S642">
        <v>0.25064676020061671</v>
      </c>
      <c r="T642">
        <v>1.3553025933950678</v>
      </c>
      <c r="U642">
        <v>0.21257478289948387</v>
      </c>
      <c r="V642">
        <v>0.24582760160112022</v>
      </c>
      <c r="W642">
        <v>9.9372112634557141E-2</v>
      </c>
      <c r="X642">
        <v>1.745359951904971E-2</v>
      </c>
      <c r="Y642">
        <v>4.1578321374970096E-3</v>
      </c>
    </row>
    <row r="643" spans="1:25" x14ac:dyDescent="0.2">
      <c r="A643" s="1077"/>
      <c r="B643" s="1444">
        <v>393</v>
      </c>
      <c r="C643" s="1081">
        <v>1.0161781436555184</v>
      </c>
      <c r="D643" s="1081">
        <v>0.98557653483997743</v>
      </c>
      <c r="E643" s="1081">
        <v>0.97334714821131207</v>
      </c>
      <c r="F643" s="1081">
        <v>0.98337211227266719</v>
      </c>
      <c r="G643" s="1081">
        <v>1.0433590549790659</v>
      </c>
      <c r="H643" s="1081">
        <v>1.0228670086078453</v>
      </c>
      <c r="I643" s="1081">
        <v>0.99914383900039572</v>
      </c>
      <c r="K643">
        <v>2.3856020815808119</v>
      </c>
      <c r="L643">
        <v>0</v>
      </c>
      <c r="M643">
        <v>1.7519642029455496E-3</v>
      </c>
      <c r="N643">
        <v>0.14714049142184232</v>
      </c>
      <c r="O643">
        <v>2.0700180322681623E-2</v>
      </c>
      <c r="P643">
        <v>2.764007446737414E-2</v>
      </c>
      <c r="Q643">
        <v>5.2725744298143355E-3</v>
      </c>
      <c r="R643">
        <v>1.7293556755558479E-3</v>
      </c>
      <c r="S643">
        <v>0.25784708242009657</v>
      </c>
      <c r="T643">
        <v>1.3482658304429789</v>
      </c>
      <c r="U643">
        <v>0.20850918232888757</v>
      </c>
      <c r="V643">
        <v>0.25204508585369201</v>
      </c>
      <c r="W643">
        <v>9.822121738230076E-2</v>
      </c>
      <c r="X643">
        <v>1.5276234971615994E-2</v>
      </c>
      <c r="Y643">
        <v>4.7067360669177851E-3</v>
      </c>
    </row>
    <row r="644" spans="1:25" x14ac:dyDescent="0.2">
      <c r="A644" s="1077"/>
      <c r="B644" s="1444">
        <v>394</v>
      </c>
      <c r="C644" s="1081">
        <v>0.97339639142864065</v>
      </c>
      <c r="D644" s="1081">
        <v>0.9750950746771988</v>
      </c>
      <c r="E644" s="1081">
        <v>1.0178030923761157</v>
      </c>
      <c r="F644" s="1081">
        <v>0.96082072113751305</v>
      </c>
      <c r="G644" s="1081">
        <v>1.0015884254630523</v>
      </c>
      <c r="H644" s="1081">
        <v>1.0017737598223435</v>
      </c>
      <c r="I644" s="1081">
        <v>1.0432146220191678</v>
      </c>
      <c r="K644">
        <v>2.4016857779020762</v>
      </c>
      <c r="L644">
        <v>0</v>
      </c>
      <c r="M644">
        <v>1.6374084756472518E-3</v>
      </c>
      <c r="N644">
        <v>0.15725120325665395</v>
      </c>
      <c r="O644">
        <v>2.1691322113075964E-2</v>
      </c>
      <c r="P644">
        <v>2.8546208870599787E-2</v>
      </c>
      <c r="Q644">
        <v>5.778164820549582E-3</v>
      </c>
      <c r="R644">
        <v>1.6158333367276645E-3</v>
      </c>
      <c r="S644">
        <v>0.28102564443373801</v>
      </c>
      <c r="T644">
        <v>1.3182694068427265</v>
      </c>
      <c r="U644">
        <v>0.21782937099424002</v>
      </c>
      <c r="V644">
        <v>0.24744479334325914</v>
      </c>
      <c r="W644">
        <v>0.10222359840052778</v>
      </c>
      <c r="X644">
        <v>1.7249874282370015E-2</v>
      </c>
      <c r="Y644">
        <v>4.3977656832564068E-3</v>
      </c>
    </row>
    <row r="645" spans="1:25" x14ac:dyDescent="0.2">
      <c r="A645" s="1077"/>
      <c r="B645" s="1444">
        <v>395</v>
      </c>
      <c r="C645" s="1081">
        <v>1.0227514145012022</v>
      </c>
      <c r="D645" s="1081">
        <v>1.0188873907905902</v>
      </c>
      <c r="E645" s="1081">
        <v>1.0288114009852494</v>
      </c>
      <c r="F645" s="1081">
        <v>0.98802922656808279</v>
      </c>
      <c r="G645" s="1081">
        <v>1.0371805500622313</v>
      </c>
      <c r="H645" s="1081">
        <v>0.98063207038804867</v>
      </c>
      <c r="I645" s="1081">
        <v>1.0229958671339656</v>
      </c>
      <c r="K645">
        <v>2.3856173379504138</v>
      </c>
      <c r="L645">
        <v>0</v>
      </c>
      <c r="M645">
        <v>1.4766018744421193E-3</v>
      </c>
      <c r="N645">
        <v>0.14655296487386918</v>
      </c>
      <c r="O645">
        <v>2.0453133702562735E-2</v>
      </c>
      <c r="P645">
        <v>2.883043431565031E-2</v>
      </c>
      <c r="Q645">
        <v>5.5081781875634802E-3</v>
      </c>
      <c r="R645">
        <v>1.4567261237060352E-3</v>
      </c>
      <c r="S645">
        <v>0.25486652157424944</v>
      </c>
      <c r="T645">
        <v>1.3558364529447262</v>
      </c>
      <c r="U645">
        <v>0.20735447825056563</v>
      </c>
      <c r="V645">
        <v>0.25038509679372234</v>
      </c>
      <c r="W645">
        <v>9.4659018559368091E-2</v>
      </c>
      <c r="X645">
        <v>1.7226206199782251E-2</v>
      </c>
      <c r="Y645">
        <v>3.9647282990902082E-3</v>
      </c>
    </row>
    <row r="646" spans="1:25" x14ac:dyDescent="0.2">
      <c r="A646" s="1077"/>
      <c r="B646" s="1444">
        <v>396</v>
      </c>
      <c r="C646" s="1081">
        <v>0.99827343605058916</v>
      </c>
      <c r="D646" s="1081">
        <v>0.97381787677378306</v>
      </c>
      <c r="E646" s="1081">
        <v>1.004294074075601</v>
      </c>
      <c r="F646" s="1081">
        <v>1.0147453255695245</v>
      </c>
      <c r="G646" s="1081">
        <v>0.99686634750327086</v>
      </c>
      <c r="H646" s="1081">
        <v>1.0058026468872461</v>
      </c>
      <c r="I646" s="1081">
        <v>1.0218430925526627</v>
      </c>
      <c r="K646">
        <v>2.4468367188902924</v>
      </c>
      <c r="L646">
        <v>0</v>
      </c>
      <c r="M646">
        <v>1.6491343443548797E-3</v>
      </c>
      <c r="N646">
        <v>0.15205665527099457</v>
      </c>
      <c r="O646">
        <v>2.1147823387408941E-2</v>
      </c>
      <c r="P646">
        <v>2.8997538089348747E-2</v>
      </c>
      <c r="Q646">
        <v>5.5578673434729413E-3</v>
      </c>
      <c r="R646">
        <v>1.6274917419818664E-3</v>
      </c>
      <c r="S646">
        <v>0.26882415903974061</v>
      </c>
      <c r="T646">
        <v>1.3919581407672474</v>
      </c>
      <c r="U646">
        <v>0.21235471200246253</v>
      </c>
      <c r="V646">
        <v>0.24508861257741807</v>
      </c>
      <c r="W646">
        <v>9.9636703539149857E-2</v>
      </c>
      <c r="X646">
        <v>1.6806653456252353E-2</v>
      </c>
      <c r="Y646">
        <v>4.4294960191660852E-3</v>
      </c>
    </row>
    <row r="647" spans="1:25" x14ac:dyDescent="0.2">
      <c r="A647" s="1077"/>
      <c r="B647" s="1444">
        <v>397</v>
      </c>
      <c r="C647" s="1081">
        <v>0.97308178791826494</v>
      </c>
      <c r="D647" s="1081">
        <v>0.98332347355982941</v>
      </c>
      <c r="E647" s="1081">
        <v>0.99456634446140146</v>
      </c>
      <c r="F647" s="1081">
        <v>1.0398240283842881</v>
      </c>
      <c r="G647" s="1081">
        <v>1.0024978601883425</v>
      </c>
      <c r="H647" s="1081">
        <v>1.006431669851785</v>
      </c>
      <c r="I647" s="1081">
        <v>0.99701123362711963</v>
      </c>
      <c r="K647">
        <v>2.4934573374507867</v>
      </c>
      <c r="L647">
        <v>0</v>
      </c>
      <c r="M647">
        <v>1.7237018973518283E-3</v>
      </c>
      <c r="N647">
        <v>0.15433019501585479</v>
      </c>
      <c r="O647">
        <v>2.1642336273681281E-2</v>
      </c>
      <c r="P647">
        <v>2.9347602124611735E-2</v>
      </c>
      <c r="Q647">
        <v>5.6324677740729589E-3</v>
      </c>
      <c r="R647">
        <v>1.7010948375253533E-3</v>
      </c>
      <c r="S647">
        <v>0.26774279014850816</v>
      </c>
      <c r="T647">
        <v>1.426140640451824</v>
      </c>
      <c r="U647">
        <v>0.2178180930018335</v>
      </c>
      <c r="V647">
        <v>0.24770310787126193</v>
      </c>
      <c r="W647">
        <v>0.10171309972621378</v>
      </c>
      <c r="X647">
        <v>1.6779792740769552E-2</v>
      </c>
      <c r="Y647">
        <v>4.62981938198153E-3</v>
      </c>
    </row>
    <row r="648" spans="1:25" x14ac:dyDescent="0.2">
      <c r="A648" s="1077"/>
      <c r="B648" s="1444">
        <v>398</v>
      </c>
      <c r="C648" s="1081">
        <v>0.9992757634751962</v>
      </c>
      <c r="D648" s="1081">
        <v>1.0104671735661572</v>
      </c>
      <c r="E648" s="1081">
        <v>0.9985348136974026</v>
      </c>
      <c r="F648" s="1081">
        <v>0.99789598180384742</v>
      </c>
      <c r="G648" s="1081">
        <v>1.0058760453233602</v>
      </c>
      <c r="H648" s="1081">
        <v>0.99784033936031713</v>
      </c>
      <c r="I648" s="1081">
        <v>1.0224266108793192</v>
      </c>
      <c r="K648">
        <v>2.4125517730938877</v>
      </c>
      <c r="L648">
        <v>0</v>
      </c>
      <c r="M648">
        <v>1.640696002367125E-3</v>
      </c>
      <c r="N648">
        <v>0.14865362555279255</v>
      </c>
      <c r="O648">
        <v>2.0951780556567278E-2</v>
      </c>
      <c r="P648">
        <v>2.8495075525979498E-2</v>
      </c>
      <c r="Q648">
        <v>5.4745853995549019E-3</v>
      </c>
      <c r="R648">
        <v>1.6189923271778847E-3</v>
      </c>
      <c r="S648">
        <v>0.26303771940510834</v>
      </c>
      <c r="T648">
        <v>1.3687210288560512</v>
      </c>
      <c r="U648">
        <v>0.21212200367121289</v>
      </c>
      <c r="V648">
        <v>0.24658509071878082</v>
      </c>
      <c r="W648">
        <v>9.7740453781951772E-2</v>
      </c>
      <c r="X648">
        <v>1.6385749887176757E-2</v>
      </c>
      <c r="Y648">
        <v>4.4063634139009837E-3</v>
      </c>
    </row>
    <row r="649" spans="1:25" x14ac:dyDescent="0.2">
      <c r="A649" s="1077"/>
      <c r="B649" s="1444">
        <v>399</v>
      </c>
      <c r="C649" s="1081">
        <v>1.0274652608797241</v>
      </c>
      <c r="D649" s="1081">
        <v>0.98027337814636739</v>
      </c>
      <c r="E649" s="1081">
        <v>0.99606329226184476</v>
      </c>
      <c r="F649" s="1081">
        <v>1.0075008135653407</v>
      </c>
      <c r="G649" s="1081">
        <v>0.99819449898339696</v>
      </c>
      <c r="H649" s="1081">
        <v>0.98550327566341878</v>
      </c>
      <c r="I649" s="1081">
        <v>1.0010788946098781</v>
      </c>
      <c r="K649">
        <v>2.3973825212107633</v>
      </c>
      <c r="L649">
        <v>0</v>
      </c>
      <c r="M649">
        <v>1.5946574334948027E-3</v>
      </c>
      <c r="N649">
        <v>0.14338323630485261</v>
      </c>
      <c r="O649">
        <v>2.0511797000357605E-2</v>
      </c>
      <c r="P649">
        <v>2.8367822960854903E-2</v>
      </c>
      <c r="Q649">
        <v>5.3463017335893988E-3</v>
      </c>
      <c r="R649">
        <v>1.5732986974871909E-3</v>
      </c>
      <c r="S649">
        <v>0.25327369527046983</v>
      </c>
      <c r="T649">
        <v>1.3818412562023576</v>
      </c>
      <c r="U649">
        <v>0.20629401361626867</v>
      </c>
      <c r="V649">
        <v>0.24356914292592832</v>
      </c>
      <c r="W649">
        <v>9.441403038131764E-2</v>
      </c>
      <c r="X649">
        <v>1.6120583133988325E-2</v>
      </c>
      <c r="Y649">
        <v>4.2820004167838941E-3</v>
      </c>
    </row>
    <row r="650" spans="1:25" x14ac:dyDescent="0.2">
      <c r="A650" s="1077"/>
      <c r="B650" s="1444">
        <v>400</v>
      </c>
      <c r="C650" s="1081">
        <v>0.9842263823905254</v>
      </c>
      <c r="D650" s="1081">
        <v>1.0395910858544339</v>
      </c>
      <c r="E650" s="1081">
        <v>1.0170294699009821</v>
      </c>
      <c r="F650" s="1081">
        <v>1.0383576481933394</v>
      </c>
      <c r="G650" s="1081">
        <v>0.99843705764673163</v>
      </c>
      <c r="H650" s="1081">
        <v>0.99887688359754545</v>
      </c>
      <c r="I650" s="1081">
        <v>0.99925506417709919</v>
      </c>
      <c r="K650">
        <v>2.4740807092485735</v>
      </c>
      <c r="L650">
        <v>0</v>
      </c>
      <c r="M650">
        <v>1.5946795849386298E-3</v>
      </c>
      <c r="N650">
        <v>0.15278467293821021</v>
      </c>
      <c r="O650">
        <v>2.115196293486973E-2</v>
      </c>
      <c r="P650">
        <v>2.9625526280443692E-2</v>
      </c>
      <c r="Q650">
        <v>5.6301516255649487E-3</v>
      </c>
      <c r="R650">
        <v>1.5736065207411823E-3</v>
      </c>
      <c r="S650">
        <v>0.25758064405945946</v>
      </c>
      <c r="T650">
        <v>1.4246345236455897</v>
      </c>
      <c r="U650">
        <v>0.21542977915171183</v>
      </c>
      <c r="V650">
        <v>0.24620408113111203</v>
      </c>
      <c r="W650">
        <v>9.9365115602560228E-2</v>
      </c>
      <c r="X650">
        <v>1.7412486733041323E-2</v>
      </c>
      <c r="Y650">
        <v>4.2828382102073495E-3</v>
      </c>
    </row>
    <row r="651" spans="1:25" x14ac:dyDescent="0.2">
      <c r="A651" s="1077"/>
      <c r="B651" s="1444">
        <v>401</v>
      </c>
      <c r="C651" s="1081">
        <v>0.98315468253862537</v>
      </c>
      <c r="D651" s="1081">
        <v>1.0162266667870945</v>
      </c>
      <c r="E651" s="1081">
        <v>1.019174695550247</v>
      </c>
      <c r="F651" s="1081">
        <v>0.99116319191311686</v>
      </c>
      <c r="G651" s="1081">
        <v>1.035411953727974</v>
      </c>
      <c r="H651" s="1081">
        <v>1.0139356792788223</v>
      </c>
      <c r="I651" s="1081">
        <v>0.9991072412266111</v>
      </c>
      <c r="K651">
        <v>2.4257361824832837</v>
      </c>
      <c r="L651">
        <v>0</v>
      </c>
      <c r="M651">
        <v>1.6213580965890051E-3</v>
      </c>
      <c r="N651">
        <v>0.15638052760049206</v>
      </c>
      <c r="O651">
        <v>2.1282624716938453E-2</v>
      </c>
      <c r="P651">
        <v>2.8930278066375357E-2</v>
      </c>
      <c r="Q651">
        <v>5.6770376376251907E-3</v>
      </c>
      <c r="R651">
        <v>1.6002506957641543E-3</v>
      </c>
      <c r="S651">
        <v>0.2620703531158583</v>
      </c>
      <c r="T651">
        <v>1.359929525421993</v>
      </c>
      <c r="U651">
        <v>0.21567209022418476</v>
      </c>
      <c r="V651">
        <v>0.25257658646540077</v>
      </c>
      <c r="W651">
        <v>0.10157596167690912</v>
      </c>
      <c r="X651">
        <v>1.7306950086958799E-2</v>
      </c>
      <c r="Y651">
        <v>4.3553548713699437E-3</v>
      </c>
    </row>
    <row r="652" spans="1:25" x14ac:dyDescent="0.2">
      <c r="A652" s="1077"/>
      <c r="B652" s="1444">
        <v>402</v>
      </c>
      <c r="C652" s="1081">
        <v>1.0216808172382663</v>
      </c>
      <c r="D652" s="1081">
        <v>0.99530511011444567</v>
      </c>
      <c r="E652" s="1081">
        <v>1.0012122032796229</v>
      </c>
      <c r="F652" s="1081">
        <v>1.0004311833364778</v>
      </c>
      <c r="G652" s="1081">
        <v>1.0056118127233751</v>
      </c>
      <c r="H652" s="1081">
        <v>0.97770447670966054</v>
      </c>
      <c r="I652" s="1081">
        <v>1.0151010450651483</v>
      </c>
      <c r="K652">
        <v>2.3927358148807198</v>
      </c>
      <c r="L652">
        <v>0</v>
      </c>
      <c r="M652">
        <v>1.5688354376387039E-3</v>
      </c>
      <c r="N652">
        <v>0.14325767009068316</v>
      </c>
      <c r="O652">
        <v>2.0562330672387122E-2</v>
      </c>
      <c r="P652">
        <v>2.8416976698936391E-2</v>
      </c>
      <c r="Q652">
        <v>5.3873044190007532E-3</v>
      </c>
      <c r="R652">
        <v>1.5476549475205009E-3</v>
      </c>
      <c r="S652">
        <v>0.2556849253328049</v>
      </c>
      <c r="T652">
        <v>1.3722562596262602</v>
      </c>
      <c r="U652">
        <v>0.20747921009526038</v>
      </c>
      <c r="V652">
        <v>0.24516101143871852</v>
      </c>
      <c r="W652">
        <v>9.4042803979686562E-2</v>
      </c>
      <c r="X652">
        <v>1.6296296434263946E-2</v>
      </c>
      <c r="Y652">
        <v>4.2122065828344686E-3</v>
      </c>
    </row>
    <row r="653" spans="1:25" x14ac:dyDescent="0.2">
      <c r="A653" s="1077"/>
      <c r="B653" s="1444">
        <v>403</v>
      </c>
      <c r="C653" s="1081">
        <v>1.0001385106403173</v>
      </c>
      <c r="D653" s="1081">
        <v>1.0178526980927021</v>
      </c>
      <c r="E653" s="1081">
        <v>0.97798247042353759</v>
      </c>
      <c r="F653" s="1081">
        <v>0.98767234092546563</v>
      </c>
      <c r="G653" s="1081">
        <v>0.99830013995837819</v>
      </c>
      <c r="H653" s="1081">
        <v>0.96603787815802222</v>
      </c>
      <c r="I653" s="1081">
        <v>0.98278453413323108</v>
      </c>
      <c r="K653">
        <v>2.3684642629891397</v>
      </c>
      <c r="L653">
        <v>0</v>
      </c>
      <c r="M653">
        <v>1.6533749260011733E-3</v>
      </c>
      <c r="N653">
        <v>0.14071392408425998</v>
      </c>
      <c r="O653">
        <v>2.0886635347351908E-2</v>
      </c>
      <c r="P653">
        <v>2.7652916370389788E-2</v>
      </c>
      <c r="Q653">
        <v>5.3452512748148077E-3</v>
      </c>
      <c r="R653">
        <v>1.6307835122177268E-3</v>
      </c>
      <c r="S653">
        <v>0.24889478279987298</v>
      </c>
      <c r="T653">
        <v>1.3542602367023888</v>
      </c>
      <c r="U653">
        <v>0.21186891003823655</v>
      </c>
      <c r="V653">
        <v>0.24531180759404136</v>
      </c>
      <c r="W653">
        <v>9.3667826823017275E-2</v>
      </c>
      <c r="X653">
        <v>1.544610823593244E-2</v>
      </c>
      <c r="Y653">
        <v>4.4384551326163311E-3</v>
      </c>
    </row>
    <row r="654" spans="1:25" x14ac:dyDescent="0.2">
      <c r="A654" s="1077"/>
      <c r="B654" s="1444">
        <v>404</v>
      </c>
      <c r="C654" s="1081">
        <v>0.99673462446856465</v>
      </c>
      <c r="D654" s="1081">
        <v>1.0190612340571519</v>
      </c>
      <c r="E654" s="1081">
        <v>0.96460093077421694</v>
      </c>
      <c r="F654" s="1081">
        <v>0.96773316990363834</v>
      </c>
      <c r="G654" s="1081">
        <v>1.0284532932268144</v>
      </c>
      <c r="H654" s="1081">
        <v>1.0350271685781227</v>
      </c>
      <c r="I654" s="1081">
        <v>1.0227969085216486</v>
      </c>
      <c r="K654">
        <v>2.3786772284668052</v>
      </c>
      <c r="L654">
        <v>0</v>
      </c>
      <c r="M654">
        <v>1.8268224643423674E-3</v>
      </c>
      <c r="N654">
        <v>0.14944036450648504</v>
      </c>
      <c r="O654">
        <v>2.094366163647568E-2</v>
      </c>
      <c r="P654">
        <v>2.730779657752494E-2</v>
      </c>
      <c r="Q654">
        <v>5.2870897628308211E-3</v>
      </c>
      <c r="R654">
        <v>1.8035248843230123E-3</v>
      </c>
      <c r="S654">
        <v>0.2656389201519031</v>
      </c>
      <c r="T654">
        <v>1.3266419684819939</v>
      </c>
      <c r="U654">
        <v>0.21254677344695991</v>
      </c>
      <c r="V654">
        <v>0.25072847023049688</v>
      </c>
      <c r="W654">
        <v>0.10028933977784699</v>
      </c>
      <c r="X654">
        <v>1.4967541270997666E-2</v>
      </c>
      <c r="Y654">
        <v>4.9086002033089052E-3</v>
      </c>
    </row>
    <row r="655" spans="1:25" x14ac:dyDescent="0.2">
      <c r="A655" s="1077"/>
      <c r="B655" s="1444">
        <v>405</v>
      </c>
      <c r="C655" s="1081">
        <v>1.0202778201925213</v>
      </c>
      <c r="D655" s="1081">
        <v>1.0032453138202806</v>
      </c>
      <c r="E655" s="1081">
        <v>0.98619916026899934</v>
      </c>
      <c r="F655" s="1081">
        <v>0.97852025254149033</v>
      </c>
      <c r="G655" s="1081">
        <v>0.97593855670214436</v>
      </c>
      <c r="H655" s="1081">
        <v>1.0088182185571677</v>
      </c>
      <c r="I655" s="1081">
        <v>0.97164155305305755</v>
      </c>
      <c r="K655">
        <v>2.3519535886075982</v>
      </c>
      <c r="L655">
        <v>0</v>
      </c>
      <c r="M655">
        <v>1.669289476588412E-3</v>
      </c>
      <c r="N655">
        <v>0.1457295872652615</v>
      </c>
      <c r="O655">
        <v>2.0544893647834482E-2</v>
      </c>
      <c r="P655">
        <v>2.750134445639716E-2</v>
      </c>
      <c r="Q655">
        <v>5.3018361947264796E-3</v>
      </c>
      <c r="R655">
        <v>1.6474478510431312E-3</v>
      </c>
      <c r="S655">
        <v>0.2464991601624214</v>
      </c>
      <c r="T655">
        <v>1.3418844822230063</v>
      </c>
      <c r="U655">
        <v>0.20771426944015589</v>
      </c>
      <c r="V655">
        <v>0.24023053707155645</v>
      </c>
      <c r="W655">
        <v>9.6527252757867318E-2</v>
      </c>
      <c r="X655">
        <v>1.5558257044417143E-2</v>
      </c>
      <c r="Y655">
        <v>4.4838099695012632E-3</v>
      </c>
    </row>
    <row r="656" spans="1:25" x14ac:dyDescent="0.2">
      <c r="A656" s="1077"/>
      <c r="B656" s="1444">
        <v>406</v>
      </c>
      <c r="C656" s="1081">
        <v>0.99025653259802471</v>
      </c>
      <c r="D656" s="1081">
        <v>1.0164210996239087</v>
      </c>
      <c r="E656" s="1081">
        <v>1.0000798451912065</v>
      </c>
      <c r="F656" s="1081">
        <v>1.0011921745056476</v>
      </c>
      <c r="G656" s="1081">
        <v>1.0002430796806447</v>
      </c>
      <c r="H656" s="1081">
        <v>1.0102821846526575</v>
      </c>
      <c r="I656" s="1081">
        <v>1.0360266541174168</v>
      </c>
      <c r="K656">
        <v>2.4309118024343825</v>
      </c>
      <c r="L656">
        <v>0</v>
      </c>
      <c r="M656">
        <v>1.6687618657540717E-3</v>
      </c>
      <c r="N656">
        <v>0.15192903544508038</v>
      </c>
      <c r="O656">
        <v>2.1116331529503474E-2</v>
      </c>
      <c r="P656">
        <v>2.869645984321742E-2</v>
      </c>
      <c r="Q656">
        <v>5.5261606049434343E-3</v>
      </c>
      <c r="R656">
        <v>1.6469587836367451E-3</v>
      </c>
      <c r="S656">
        <v>0.26929281167136682</v>
      </c>
      <c r="T656">
        <v>1.3732755610977914</v>
      </c>
      <c r="U656">
        <v>0.21405933805620206</v>
      </c>
      <c r="V656">
        <v>0.24618625613784062</v>
      </c>
      <c r="W656">
        <v>9.9802312143655814E-2</v>
      </c>
      <c r="X656">
        <v>1.6566860097657968E-2</v>
      </c>
      <c r="Y656">
        <v>4.4824788892421086E-3</v>
      </c>
    </row>
    <row r="657" spans="1:25" x14ac:dyDescent="0.2">
      <c r="A657" s="1077"/>
      <c r="B657" s="1444">
        <v>407</v>
      </c>
      <c r="C657" s="1081">
        <v>0.99272629737810369</v>
      </c>
      <c r="D657" s="1081">
        <v>1.0095808125527197</v>
      </c>
      <c r="E657" s="1081">
        <v>0.99444790772556779</v>
      </c>
      <c r="F657" s="1081">
        <v>0.96902610466886085</v>
      </c>
      <c r="G657" s="1081">
        <v>0.99723003009060418</v>
      </c>
      <c r="H657" s="1081">
        <v>1.0197437354361372</v>
      </c>
      <c r="I657" s="1081">
        <v>1.0050127022415161</v>
      </c>
      <c r="K657">
        <v>2.3782532718696903</v>
      </c>
      <c r="L657">
        <v>0</v>
      </c>
      <c r="M657">
        <v>1.7024622973976339E-3</v>
      </c>
      <c r="N657">
        <v>0.15240040577739042</v>
      </c>
      <c r="O657">
        <v>2.1091356046536142E-2</v>
      </c>
      <c r="P657">
        <v>2.7862392153343758E-2</v>
      </c>
      <c r="Q657">
        <v>5.4884184761292447E-3</v>
      </c>
      <c r="R657">
        <v>1.680425287068153E-3</v>
      </c>
      <c r="S657">
        <v>0.26222601868039652</v>
      </c>
      <c r="T657">
        <v>1.3290373116834633</v>
      </c>
      <c r="U657">
        <v>0.21350740425165871</v>
      </c>
      <c r="V657">
        <v>0.24553508231718801</v>
      </c>
      <c r="W657">
        <v>0.10044835109898653</v>
      </c>
      <c r="X657">
        <v>1.6105004715574783E-2</v>
      </c>
      <c r="Y657">
        <v>4.5735636793525084E-3</v>
      </c>
    </row>
    <row r="658" spans="1:25" x14ac:dyDescent="0.2">
      <c r="A658" s="1077"/>
      <c r="B658" s="1444">
        <v>408</v>
      </c>
      <c r="C658" s="1081">
        <v>1.0119305349888423</v>
      </c>
      <c r="D658" s="1081">
        <v>0.99474675315161676</v>
      </c>
      <c r="E658" s="1081">
        <v>1.0212446313598127</v>
      </c>
      <c r="F658" s="1081">
        <v>1.0436316616204944</v>
      </c>
      <c r="G658" s="1081">
        <v>0.9798601634100671</v>
      </c>
      <c r="H658" s="1081">
        <v>1.0270647089140832</v>
      </c>
      <c r="I658" s="1081">
        <v>0.99240364680486626</v>
      </c>
      <c r="K658">
        <v>2.4727326863634591</v>
      </c>
      <c r="L658">
        <v>0</v>
      </c>
      <c r="M658">
        <v>1.5962766973963156E-3</v>
      </c>
      <c r="N658">
        <v>0.15495195303242007</v>
      </c>
      <c r="O658">
        <v>2.0776194873020397E-2</v>
      </c>
      <c r="P658">
        <v>2.9657281216320705E-2</v>
      </c>
      <c r="Q658">
        <v>5.5533646434159463E-3</v>
      </c>
      <c r="R658">
        <v>1.5757614581708153E-3</v>
      </c>
      <c r="S658">
        <v>0.25673328766585024</v>
      </c>
      <c r="T658">
        <v>1.4319660128632867</v>
      </c>
      <c r="U658">
        <v>0.20954612537141748</v>
      </c>
      <c r="V658">
        <v>0.24128269606646582</v>
      </c>
      <c r="W658">
        <v>0.10052624709713316</v>
      </c>
      <c r="X658">
        <v>1.7471335533835727E-2</v>
      </c>
      <c r="Y658">
        <v>4.288703239515879E-3</v>
      </c>
    </row>
    <row r="659" spans="1:25" x14ac:dyDescent="0.2">
      <c r="A659" s="1077"/>
      <c r="B659" s="1444">
        <v>409</v>
      </c>
      <c r="C659" s="1081">
        <v>0.96953056404448612</v>
      </c>
      <c r="D659" s="1081">
        <v>1.0122397556909395</v>
      </c>
      <c r="E659" s="1081">
        <v>0.96677883194446568</v>
      </c>
      <c r="F659" s="1081">
        <v>1.0049693713833892</v>
      </c>
      <c r="G659" s="1081">
        <v>0.9762193469333722</v>
      </c>
      <c r="H659" s="1081">
        <v>1.0062062864134167</v>
      </c>
      <c r="I659" s="1081">
        <v>1.020889703496958</v>
      </c>
      <c r="K659">
        <v>2.4364345491154302</v>
      </c>
      <c r="L659">
        <v>0</v>
      </c>
      <c r="M659">
        <v>1.8202878505653231E-3</v>
      </c>
      <c r="N659">
        <v>0.14983585881059436</v>
      </c>
      <c r="O659">
        <v>2.1564636725177368E-2</v>
      </c>
      <c r="P659">
        <v>2.8087973561761761E-2</v>
      </c>
      <c r="Q659">
        <v>5.4560115106863814E-3</v>
      </c>
      <c r="R659">
        <v>1.7964086786334921E-3</v>
      </c>
      <c r="S659">
        <v>0.27093896034820636</v>
      </c>
      <c r="T659">
        <v>1.3777351732311109</v>
      </c>
      <c r="U659">
        <v>0.21851825929949048</v>
      </c>
      <c r="V659">
        <v>0.24354713480728513</v>
      </c>
      <c r="W659">
        <v>0.10042109776797055</v>
      </c>
      <c r="X659">
        <v>1.5464089987799627E-2</v>
      </c>
      <c r="Y659">
        <v>4.8892322372786077E-3</v>
      </c>
    </row>
    <row r="660" spans="1:25" x14ac:dyDescent="0.2">
      <c r="A660" s="1077"/>
      <c r="B660" s="1444">
        <v>410</v>
      </c>
      <c r="C660" s="1081">
        <v>0.9953651920485731</v>
      </c>
      <c r="D660" s="1081">
        <v>0.96331700517480356</v>
      </c>
      <c r="E660" s="1081">
        <v>1.0175410565886802</v>
      </c>
      <c r="F660" s="1081">
        <v>0.97913681748793335</v>
      </c>
      <c r="G660" s="1081">
        <v>1.0167694626381967</v>
      </c>
      <c r="H660" s="1081">
        <v>1.0331963544781033</v>
      </c>
      <c r="I660" s="1081">
        <v>0.96169887057590941</v>
      </c>
      <c r="K660">
        <v>2.4020244773543102</v>
      </c>
      <c r="L660">
        <v>0</v>
      </c>
      <c r="M660">
        <v>1.6568200043875533E-3</v>
      </c>
      <c r="N660">
        <v>0.1590542310592078</v>
      </c>
      <c r="O660">
        <v>2.1269182675191817E-2</v>
      </c>
      <c r="P660">
        <v>2.8512699303897805E-2</v>
      </c>
      <c r="Q660">
        <v>5.6642370984139332E-3</v>
      </c>
      <c r="R660">
        <v>1.6356530349453352E-3</v>
      </c>
      <c r="S660">
        <v>0.25751035363334301</v>
      </c>
      <c r="T660">
        <v>1.3433939681875611</v>
      </c>
      <c r="U660">
        <v>0.21302073574870697</v>
      </c>
      <c r="V660">
        <v>0.24862178837157481</v>
      </c>
      <c r="W660">
        <v>0.10341156608366217</v>
      </c>
      <c r="X660">
        <v>1.7135173793947359E-2</v>
      </c>
      <c r="Y660">
        <v>4.4517083682431438E-3</v>
      </c>
    </row>
    <row r="661" spans="1:25" x14ac:dyDescent="0.2">
      <c r="A661" s="1077"/>
      <c r="B661" s="1444">
        <v>411</v>
      </c>
      <c r="C661" s="1081">
        <v>0.9905025288104905</v>
      </c>
      <c r="D661" s="1081">
        <v>0.95393279102024264</v>
      </c>
      <c r="E661" s="1081">
        <v>0.98951994481360228</v>
      </c>
      <c r="F661" s="1081">
        <v>1.0349825344709898</v>
      </c>
      <c r="G661" s="1081">
        <v>0.99621604988874091</v>
      </c>
      <c r="H661" s="1081">
        <v>0.99062404080523181</v>
      </c>
      <c r="I661" s="1081">
        <v>0.96283255524109035</v>
      </c>
      <c r="K661">
        <v>2.4605213918732654</v>
      </c>
      <c r="L661">
        <v>0</v>
      </c>
      <c r="M661">
        <v>1.6955876243051719E-3</v>
      </c>
      <c r="N661">
        <v>0.14948294150696118</v>
      </c>
      <c r="O661">
        <v>2.140069874955745E-2</v>
      </c>
      <c r="P661">
        <v>2.8912294092938631E-2</v>
      </c>
      <c r="Q661">
        <v>5.5412764796132757E-3</v>
      </c>
      <c r="R661">
        <v>1.6729944323008771E-3</v>
      </c>
      <c r="S661">
        <v>0.25657226651185239</v>
      </c>
      <c r="T661">
        <v>1.4193876488777435</v>
      </c>
      <c r="U661">
        <v>0.21396976299518425</v>
      </c>
      <c r="V661">
        <v>0.24552065793886113</v>
      </c>
      <c r="W661">
        <v>9.8816260987508772E-2</v>
      </c>
      <c r="X661">
        <v>1.6386837582790463E-2</v>
      </c>
      <c r="Y661">
        <v>4.5533393422565989E-3</v>
      </c>
    </row>
    <row r="662" spans="1:25" x14ac:dyDescent="0.2">
      <c r="A662" s="1077"/>
      <c r="B662" s="1444">
        <v>412</v>
      </c>
      <c r="C662" s="1081">
        <v>1.0120089762120108</v>
      </c>
      <c r="D662" s="1081">
        <v>1.0115208211073206</v>
      </c>
      <c r="E662" s="1081">
        <v>1.0131875970876256</v>
      </c>
      <c r="F662" s="1081">
        <v>0.96761370766508092</v>
      </c>
      <c r="G662" s="1081">
        <v>0.98162243998843535</v>
      </c>
      <c r="H662" s="1081">
        <v>1.0211544339659109</v>
      </c>
      <c r="I662" s="1081">
        <v>0.98161252366479146</v>
      </c>
      <c r="K662">
        <v>2.3565150282445808</v>
      </c>
      <c r="L662">
        <v>0</v>
      </c>
      <c r="M662">
        <v>1.6078586297984532E-3</v>
      </c>
      <c r="N662">
        <v>0.15231607983195322</v>
      </c>
      <c r="O662">
        <v>2.0693013849246097E-2</v>
      </c>
      <c r="P662">
        <v>2.7971282442631799E-2</v>
      </c>
      <c r="Q662">
        <v>5.4869367473010088E-3</v>
      </c>
      <c r="R662">
        <v>1.5870749399958597E-3</v>
      </c>
      <c r="S662">
        <v>0.25126551195075969</v>
      </c>
      <c r="T662">
        <v>1.3274926613636586</v>
      </c>
      <c r="U662">
        <v>0.20950259757503162</v>
      </c>
      <c r="V662">
        <v>0.2416064338544838</v>
      </c>
      <c r="W662">
        <v>9.9284129981338537E-2</v>
      </c>
      <c r="X662">
        <v>1.6597669530421442E-2</v>
      </c>
      <c r="Y662">
        <v>4.3194948075553673E-3</v>
      </c>
    </row>
    <row r="663" spans="1:25" x14ac:dyDescent="0.2">
      <c r="A663" s="1077"/>
      <c r="B663" s="1444">
        <v>413</v>
      </c>
      <c r="C663" s="1081">
        <v>1.0059514307902993</v>
      </c>
      <c r="D663" s="1081">
        <v>1.0170982369737867</v>
      </c>
      <c r="E663" s="1081">
        <v>1.0220621429742676</v>
      </c>
      <c r="F663" s="1081">
        <v>1.0415037689225906</v>
      </c>
      <c r="G663" s="1081">
        <v>1.0108659255076708</v>
      </c>
      <c r="H663" s="1081">
        <v>1.0370035136773146</v>
      </c>
      <c r="I663" s="1081">
        <v>0.9564993360866253</v>
      </c>
      <c r="K663">
        <v>2.4699474939315533</v>
      </c>
      <c r="L663">
        <v>0</v>
      </c>
      <c r="M663">
        <v>1.6106541558782569E-3</v>
      </c>
      <c r="N663">
        <v>0.15675316444598478</v>
      </c>
      <c r="O663">
        <v>2.0798301729681959E-2</v>
      </c>
      <c r="P663">
        <v>2.9595292037959572E-2</v>
      </c>
      <c r="Q663">
        <v>5.5637895674286392E-3</v>
      </c>
      <c r="R663">
        <v>1.5901525307587619E-3</v>
      </c>
      <c r="S663">
        <v>0.24698643393612957</v>
      </c>
      <c r="T663">
        <v>1.4290648268267088</v>
      </c>
      <c r="U663">
        <v>0.21079439814700371</v>
      </c>
      <c r="V663">
        <v>0.24693814964484065</v>
      </c>
      <c r="W663">
        <v>0.1016462319852761</v>
      </c>
      <c r="X663">
        <v>1.7499536240575247E-2</v>
      </c>
      <c r="Y663">
        <v>4.3278709950844655E-3</v>
      </c>
    </row>
    <row r="664" spans="1:25" x14ac:dyDescent="0.2">
      <c r="A664" s="1077"/>
      <c r="B664" s="1444">
        <v>414</v>
      </c>
      <c r="C664" s="1081">
        <v>0.96844463079850041</v>
      </c>
      <c r="D664" s="1081">
        <v>1.0162893406020594</v>
      </c>
      <c r="E664" s="1081">
        <v>1.0096385846175793</v>
      </c>
      <c r="F664" s="1081">
        <v>1.0148235724383143</v>
      </c>
      <c r="G664" s="1081">
        <v>0.98219488913427166</v>
      </c>
      <c r="H664" s="1081">
        <v>1.0318377121670117</v>
      </c>
      <c r="I664" s="1081">
        <v>1.0217357050898601</v>
      </c>
      <c r="K664">
        <v>2.4723240398823414</v>
      </c>
      <c r="L664">
        <v>0</v>
      </c>
      <c r="M664">
        <v>1.708562317386132E-3</v>
      </c>
      <c r="N664">
        <v>0.16015291516720859</v>
      </c>
      <c r="O664">
        <v>2.1599074604423042E-2</v>
      </c>
      <c r="P664">
        <v>2.9263075176310993E-2</v>
      </c>
      <c r="Q664">
        <v>5.7069200806002364E-3</v>
      </c>
      <c r="R664">
        <v>1.6867055643336236E-3</v>
      </c>
      <c r="S664">
        <v>0.27358763475203896</v>
      </c>
      <c r="T664">
        <v>1.3921829437398234</v>
      </c>
      <c r="U664">
        <v>0.21891427740137265</v>
      </c>
      <c r="V664">
        <v>0.24449030086486925</v>
      </c>
      <c r="W664">
        <v>0.1046108656168796</v>
      </c>
      <c r="X664">
        <v>1.7247232708087895E-2</v>
      </c>
      <c r="Y664">
        <v>4.5906565237762743E-3</v>
      </c>
    </row>
    <row r="665" spans="1:25" x14ac:dyDescent="0.2">
      <c r="A665" s="1077"/>
      <c r="B665" s="1444">
        <v>415</v>
      </c>
      <c r="C665" s="1081">
        <v>0.99207876648441362</v>
      </c>
      <c r="D665" s="1081">
        <v>0.96632941465087197</v>
      </c>
      <c r="E665" s="1081">
        <v>0.98969303378064699</v>
      </c>
      <c r="F665" s="1081">
        <v>0.99786720031031395</v>
      </c>
      <c r="G665" s="1081">
        <v>0.99985880867301313</v>
      </c>
      <c r="H665" s="1081">
        <v>1.0048062203291788</v>
      </c>
      <c r="I665" s="1081">
        <v>1.0147779512656909</v>
      </c>
      <c r="K665">
        <v>2.4244525921955562</v>
      </c>
      <c r="L665">
        <v>0</v>
      </c>
      <c r="M665">
        <v>1.7116454710720821E-3</v>
      </c>
      <c r="N665">
        <v>0.15100637011431609</v>
      </c>
      <c r="O665">
        <v>2.1306206367595538E-2</v>
      </c>
      <c r="P665">
        <v>2.8403976610617519E-2</v>
      </c>
      <c r="Q665">
        <v>5.5177750697411217E-3</v>
      </c>
      <c r="R665">
        <v>1.6891602211662905E-3</v>
      </c>
      <c r="S665">
        <v>0.26946815760466336</v>
      </c>
      <c r="T665">
        <v>1.3684909554393598</v>
      </c>
      <c r="U665">
        <v>0.21363039828885375</v>
      </c>
      <c r="V665">
        <v>0.24604222767402439</v>
      </c>
      <c r="W665">
        <v>9.9812975752325131E-2</v>
      </c>
      <c r="X665">
        <v>1.6198697233464635E-2</v>
      </c>
      <c r="Y665">
        <v>4.5973372904973874E-3</v>
      </c>
    </row>
    <row r="666" spans="1:25" x14ac:dyDescent="0.2">
      <c r="A666" s="1077"/>
      <c r="B666" s="1444">
        <v>416</v>
      </c>
      <c r="C666" s="1081">
        <v>0.95501677853431277</v>
      </c>
      <c r="D666" s="1081">
        <v>1.0021814108809504</v>
      </c>
      <c r="E666" s="1081">
        <v>0.98927894339052624</v>
      </c>
      <c r="F666" s="1081">
        <v>0.99592514973441104</v>
      </c>
      <c r="G666" s="1081">
        <v>1.0035006452151332</v>
      </c>
      <c r="H666" s="1081">
        <v>0.9875660850137028</v>
      </c>
      <c r="I666" s="1081">
        <v>1.0440836998774661</v>
      </c>
      <c r="K666">
        <v>2.4493345437075442</v>
      </c>
      <c r="L666">
        <v>0</v>
      </c>
      <c r="M666">
        <v>1.7351003332758664E-3</v>
      </c>
      <c r="N666">
        <v>0.15284856494540436</v>
      </c>
      <c r="O666">
        <v>2.1956087385906504E-2</v>
      </c>
      <c r="P666">
        <v>2.8671213127602364E-2</v>
      </c>
      <c r="Q666">
        <v>5.6836979359351928E-3</v>
      </c>
      <c r="R666">
        <v>1.7119090572678057E-3</v>
      </c>
      <c r="S666">
        <v>0.28118043421427036</v>
      </c>
      <c r="T666">
        <v>1.3658186959359484</v>
      </c>
      <c r="U666">
        <v>0.22191941930962966</v>
      </c>
      <c r="V666">
        <v>0.2491061019407646</v>
      </c>
      <c r="W666">
        <v>0.10105571477525911</v>
      </c>
      <c r="X666">
        <v>1.6458553289616765E-2</v>
      </c>
      <c r="Y666">
        <v>4.659252123213907E-3</v>
      </c>
    </row>
    <row r="667" spans="1:25" x14ac:dyDescent="0.2">
      <c r="A667" s="1077"/>
      <c r="B667" s="1444">
        <v>417</v>
      </c>
      <c r="C667" s="1081">
        <v>1.023102168300275</v>
      </c>
      <c r="D667" s="1081">
        <v>0.979061781030233</v>
      </c>
      <c r="E667" s="1081">
        <v>1.0369511519738603</v>
      </c>
      <c r="F667" s="1081">
        <v>1.0420853313423628</v>
      </c>
      <c r="G667" s="1081">
        <v>0.96861345147922573</v>
      </c>
      <c r="H667" s="1081">
        <v>1.0030055196405498</v>
      </c>
      <c r="I667" s="1081">
        <v>1.0215766894840648</v>
      </c>
      <c r="K667">
        <v>2.4661954108201036</v>
      </c>
      <c r="L667">
        <v>0</v>
      </c>
      <c r="M667">
        <v>1.4974483821401335E-3</v>
      </c>
      <c r="N667">
        <v>0.15235953050166545</v>
      </c>
      <c r="O667">
        <v>2.0631590699227043E-2</v>
      </c>
      <c r="P667">
        <v>2.9971992220906626E-2</v>
      </c>
      <c r="Q667">
        <v>5.6010623115831278E-3</v>
      </c>
      <c r="R667">
        <v>1.4777416435205264E-3</v>
      </c>
      <c r="S667">
        <v>0.26155599625516601</v>
      </c>
      <c r="T667">
        <v>1.4302002994853509</v>
      </c>
      <c r="U667">
        <v>0.20731071974106635</v>
      </c>
      <c r="V667">
        <v>0.23863708883447238</v>
      </c>
      <c r="W667">
        <v>9.794666030563158E-2</v>
      </c>
      <c r="X667">
        <v>1.7978251587390626E-2</v>
      </c>
      <c r="Y667">
        <v>4.0219256162610075E-3</v>
      </c>
    </row>
    <row r="668" spans="1:25" x14ac:dyDescent="0.2">
      <c r="A668" s="1077"/>
      <c r="B668" s="1444">
        <v>418</v>
      </c>
      <c r="C668" s="1081">
        <v>0.99510744209477542</v>
      </c>
      <c r="D668" s="1081">
        <v>0.99616738845186803</v>
      </c>
      <c r="E668" s="1081">
        <v>1.0086934088996706</v>
      </c>
      <c r="F668" s="1081">
        <v>1.0129760696889845</v>
      </c>
      <c r="G668" s="1081">
        <v>0.97701122414287511</v>
      </c>
      <c r="H668" s="1081">
        <v>0.98745442236390069</v>
      </c>
      <c r="I668" s="1081">
        <v>1.0236285754404875</v>
      </c>
      <c r="K668">
        <v>2.434285083973684</v>
      </c>
      <c r="L668">
        <v>0</v>
      </c>
      <c r="M668">
        <v>1.6014179560946611E-3</v>
      </c>
      <c r="N668">
        <v>0.14959475524953961</v>
      </c>
      <c r="O668">
        <v>2.1112403654321439E-2</v>
      </c>
      <c r="P668">
        <v>2.8980285870234639E-2</v>
      </c>
      <c r="Q668">
        <v>5.5730610637557626E-3</v>
      </c>
      <c r="R668">
        <v>1.5800110525107656E-3</v>
      </c>
      <c r="S668">
        <v>0.26551940193097762</v>
      </c>
      <c r="T668">
        <v>1.3896277065293587</v>
      </c>
      <c r="U668">
        <v>0.21304545837854616</v>
      </c>
      <c r="V668">
        <v>0.24188205191431505</v>
      </c>
      <c r="W668">
        <v>9.7768854559817486E-2</v>
      </c>
      <c r="X668">
        <v>1.6902242491968658E-2</v>
      </c>
      <c r="Y668">
        <v>4.3002692344308252E-3</v>
      </c>
    </row>
    <row r="669" spans="1:25" x14ac:dyDescent="0.2">
      <c r="A669" s="1077"/>
      <c r="B669" s="1444">
        <v>419</v>
      </c>
      <c r="C669" s="1081">
        <v>1.0197114676417616</v>
      </c>
      <c r="D669" s="1081">
        <v>0.96125552837060801</v>
      </c>
      <c r="E669" s="1081">
        <v>1.0141781009339319</v>
      </c>
      <c r="F669" s="1081">
        <v>1.0076660058954281</v>
      </c>
      <c r="G669" s="1081">
        <v>1.036012319732911</v>
      </c>
      <c r="H669" s="1081">
        <v>1.0041384619986387</v>
      </c>
      <c r="I669" s="1081">
        <v>1.00957012835865</v>
      </c>
      <c r="K669">
        <v>2.4273863244147682</v>
      </c>
      <c r="L669">
        <v>0</v>
      </c>
      <c r="M669">
        <v>1.5835538205718857E-3</v>
      </c>
      <c r="N669">
        <v>0.15042938019810914</v>
      </c>
      <c r="O669">
        <v>2.0768940945304272E-2</v>
      </c>
      <c r="P669">
        <v>2.8992834903661297E-2</v>
      </c>
      <c r="Q669">
        <v>5.5125139176718145E-3</v>
      </c>
      <c r="R669">
        <v>1.5627374292046287E-3</v>
      </c>
      <c r="S669">
        <v>0.26166081976873656</v>
      </c>
      <c r="T669">
        <v>1.3824630242264346</v>
      </c>
      <c r="U669">
        <v>0.20792342630238739</v>
      </c>
      <c r="V669">
        <v>0.25042174422578178</v>
      </c>
      <c r="W669">
        <v>9.7997234588039633E-2</v>
      </c>
      <c r="X669">
        <v>1.6983965603967706E-2</v>
      </c>
      <c r="Y669">
        <v>4.253256126039915E-3</v>
      </c>
    </row>
    <row r="670" spans="1:25" x14ac:dyDescent="0.2">
      <c r="A670" s="1077"/>
      <c r="B670" s="1444">
        <v>420</v>
      </c>
      <c r="C670" s="1081">
        <v>0.96586191691737389</v>
      </c>
      <c r="D670" s="1081">
        <v>0.97418482188795563</v>
      </c>
      <c r="E670" s="1081">
        <v>0.95439259246388797</v>
      </c>
      <c r="F670" s="1081">
        <v>1.0388210870404582</v>
      </c>
      <c r="G670" s="1081">
        <v>1.0097057648333829</v>
      </c>
      <c r="H670" s="1081">
        <v>1.001271799434603</v>
      </c>
      <c r="I670" s="1081">
        <v>0.98851485884147794</v>
      </c>
      <c r="K670">
        <v>2.486547378222872</v>
      </c>
      <c r="L670">
        <v>0</v>
      </c>
      <c r="M670">
        <v>1.8810528722201922E-3</v>
      </c>
      <c r="N670">
        <v>0.14912453602969108</v>
      </c>
      <c r="O670">
        <v>2.1821300387144561E-2</v>
      </c>
      <c r="P670">
        <v>2.8478249904741397E-2</v>
      </c>
      <c r="Q670">
        <v>5.4511323113671578E-3</v>
      </c>
      <c r="R670">
        <v>1.8562549532461739E-3</v>
      </c>
      <c r="S670">
        <v>0.26791320086841919</v>
      </c>
      <c r="T670">
        <v>1.4238672745845877</v>
      </c>
      <c r="U670">
        <v>0.2193047094523401</v>
      </c>
      <c r="V670">
        <v>0.24956170519738557</v>
      </c>
      <c r="W670">
        <v>0.10070636589358377</v>
      </c>
      <c r="X670">
        <v>1.5291587444128851E-2</v>
      </c>
      <c r="Y670">
        <v>5.0521140684552032E-3</v>
      </c>
    </row>
    <row r="671" spans="1:25" x14ac:dyDescent="0.2">
      <c r="A671" s="1077"/>
      <c r="B671" s="1444">
        <v>421</v>
      </c>
      <c r="C671" s="1081">
        <v>1.010290217199225</v>
      </c>
      <c r="D671" s="1081">
        <v>1.010572497913377</v>
      </c>
      <c r="E671" s="1081">
        <v>1.00544228326144</v>
      </c>
      <c r="F671" s="1081">
        <v>1.0246494416536684</v>
      </c>
      <c r="G671" s="1081">
        <v>1.0160074776432986</v>
      </c>
      <c r="H671" s="1081">
        <v>1.0226950272863216</v>
      </c>
      <c r="I671" s="1081">
        <v>0.98960302737186634</v>
      </c>
      <c r="K671">
        <v>2.4443195796227362</v>
      </c>
      <c r="L671">
        <v>0</v>
      </c>
      <c r="M671">
        <v>1.6395243748543785E-3</v>
      </c>
      <c r="N671">
        <v>0.15172903002497373</v>
      </c>
      <c r="O671">
        <v>2.0727412034139497E-2</v>
      </c>
      <c r="P671">
        <v>2.9004557834364054E-2</v>
      </c>
      <c r="Q671">
        <v>5.4536527084343587E-3</v>
      </c>
      <c r="R671">
        <v>1.6183632888705053E-3</v>
      </c>
      <c r="S671">
        <v>0.25392607483980695</v>
      </c>
      <c r="T671">
        <v>1.4055693996485155</v>
      </c>
      <c r="U671">
        <v>0.20983277104535089</v>
      </c>
      <c r="V671">
        <v>0.24760930782891666</v>
      </c>
      <c r="W671">
        <v>9.9354457963186829E-2</v>
      </c>
      <c r="X671">
        <v>1.6729425402041379E-2</v>
      </c>
      <c r="Y671">
        <v>4.4046513789907189E-3</v>
      </c>
    </row>
    <row r="672" spans="1:25" x14ac:dyDescent="0.2">
      <c r="A672" s="1077"/>
      <c r="B672" s="1444">
        <v>422</v>
      </c>
      <c r="C672" s="1081">
        <v>1.0337875410254327</v>
      </c>
      <c r="D672" s="1081">
        <v>1.0033359286926151</v>
      </c>
      <c r="E672" s="1081">
        <v>0.99785380533669876</v>
      </c>
      <c r="F672" s="1081">
        <v>1.0181911735004696</v>
      </c>
      <c r="G672" s="1081">
        <v>1.0322501914072555</v>
      </c>
      <c r="H672" s="1081">
        <v>1.0495353800928331</v>
      </c>
      <c r="I672" s="1081">
        <v>0.97974485069612127</v>
      </c>
      <c r="K672">
        <v>2.4250953542500828</v>
      </c>
      <c r="L672">
        <v>0</v>
      </c>
      <c r="M672">
        <v>1.6730472767961292E-3</v>
      </c>
      <c r="N672">
        <v>0.15137306372202919</v>
      </c>
      <c r="O672">
        <v>2.0283473620964779E-2</v>
      </c>
      <c r="P672">
        <v>2.8600271728341602E-2</v>
      </c>
      <c r="Q672">
        <v>5.2963300656689123E-3</v>
      </c>
      <c r="R672">
        <v>1.6520057452063502E-3</v>
      </c>
      <c r="S672">
        <v>0.24866594524882965</v>
      </c>
      <c r="T672">
        <v>1.396543062611636</v>
      </c>
      <c r="U672">
        <v>0.20503830968243686</v>
      </c>
      <c r="V672">
        <v>0.24900738719754775</v>
      </c>
      <c r="W672">
        <v>9.9568847313766834E-2</v>
      </c>
      <c r="X672">
        <v>1.6243489535547613E-2</v>
      </c>
      <c r="Y672">
        <v>4.4962150549041372E-3</v>
      </c>
    </row>
    <row r="673" spans="1:25" x14ac:dyDescent="0.2">
      <c r="A673" s="1077"/>
      <c r="B673" s="1444">
        <v>423</v>
      </c>
      <c r="C673" s="1081">
        <v>1.0217286242509749</v>
      </c>
      <c r="D673" s="1081">
        <v>1.035401562421941</v>
      </c>
      <c r="E673" s="1081">
        <v>1.0186509580654806</v>
      </c>
      <c r="F673" s="1081">
        <v>1.0020835092581071</v>
      </c>
      <c r="G673" s="1081">
        <v>1.0147967164865359</v>
      </c>
      <c r="H673" s="1081">
        <v>0.96742924994313151</v>
      </c>
      <c r="I673" s="1081">
        <v>1.0044415835794918</v>
      </c>
      <c r="K673">
        <v>2.3874030134042727</v>
      </c>
      <c r="L673">
        <v>0</v>
      </c>
      <c r="M673">
        <v>1.4840933406446365E-3</v>
      </c>
      <c r="N673">
        <v>0.14282467417926259</v>
      </c>
      <c r="O673">
        <v>2.0394743997074301E-2</v>
      </c>
      <c r="P673">
        <v>2.8727673068857335E-2</v>
      </c>
      <c r="Q673">
        <v>5.4373662230287811E-3</v>
      </c>
      <c r="R673">
        <v>1.4638441242872606E-3</v>
      </c>
      <c r="S673">
        <v>0.24731581114607387</v>
      </c>
      <c r="T673">
        <v>1.3749013982190574</v>
      </c>
      <c r="U673">
        <v>0.20752793347367371</v>
      </c>
      <c r="V673">
        <v>0.24666317405248606</v>
      </c>
      <c r="W673">
        <v>9.2799299623240697E-2</v>
      </c>
      <c r="X673">
        <v>1.6847087487651305E-2</v>
      </c>
      <c r="Y673">
        <v>3.9841011502240418E-3</v>
      </c>
    </row>
    <row r="674" spans="1:25" x14ac:dyDescent="0.2">
      <c r="A674" s="1077"/>
      <c r="B674" s="1444">
        <v>424</v>
      </c>
      <c r="C674" s="1081">
        <v>1.017634553382998</v>
      </c>
      <c r="D674" s="1081">
        <v>1.0136837736159858</v>
      </c>
      <c r="E674" s="1081">
        <v>0.99678608386853695</v>
      </c>
      <c r="F674" s="1081">
        <v>1.022757572891011</v>
      </c>
      <c r="G674" s="1081">
        <v>0.96575308345944144</v>
      </c>
      <c r="H674" s="1081">
        <v>0.95998681542277708</v>
      </c>
      <c r="I674" s="1081">
        <v>0.97274073634457681</v>
      </c>
      <c r="K674">
        <v>2.398869371192172</v>
      </c>
      <c r="L674">
        <v>0</v>
      </c>
      <c r="M674">
        <v>1.5545223319278227E-3</v>
      </c>
      <c r="N674">
        <v>0.14002959200604159</v>
      </c>
      <c r="O674">
        <v>2.0558279770645761E-2</v>
      </c>
      <c r="P674">
        <v>2.8478123476179618E-2</v>
      </c>
      <c r="Q674">
        <v>5.3623194586483996E-3</v>
      </c>
      <c r="R674">
        <v>1.5331477359044839E-3</v>
      </c>
      <c r="S674">
        <v>0.24226855306508249</v>
      </c>
      <c r="T674">
        <v>1.4027826946286928</v>
      </c>
      <c r="U674">
        <v>0.20828931279309584</v>
      </c>
      <c r="V674">
        <v>0.23861257743666078</v>
      </c>
      <c r="W674">
        <v>9.2166031299984588E-2</v>
      </c>
      <c r="X674">
        <v>1.6170539118045144E-2</v>
      </c>
      <c r="Y674">
        <v>4.1727227351166926E-3</v>
      </c>
    </row>
    <row r="675" spans="1:25" x14ac:dyDescent="0.2">
      <c r="A675" s="1077"/>
      <c r="B675" s="1444">
        <v>425</v>
      </c>
      <c r="C675" s="1081">
        <v>0.98295482673222301</v>
      </c>
      <c r="D675" s="1081">
        <v>0.99058159376017507</v>
      </c>
      <c r="E675" s="1081">
        <v>0.99569264488859943</v>
      </c>
      <c r="F675" s="1081">
        <v>0.99116465097120965</v>
      </c>
      <c r="G675" s="1081">
        <v>1.0100980633855723</v>
      </c>
      <c r="H675" s="1081">
        <v>0.98648059447037362</v>
      </c>
      <c r="I675" s="1081">
        <v>1.0450727082701452</v>
      </c>
      <c r="K675">
        <v>2.4230002908331105</v>
      </c>
      <c r="L675">
        <v>0</v>
      </c>
      <c r="M675">
        <v>1.665964261459756E-3</v>
      </c>
      <c r="N675">
        <v>0.14962908700288682</v>
      </c>
      <c r="O675">
        <v>2.1391081339017175E-2</v>
      </c>
      <c r="P675">
        <v>2.8542888121244586E-2</v>
      </c>
      <c r="Q675">
        <v>5.5734013892913608E-3</v>
      </c>
      <c r="R675">
        <v>1.6436725531017273E-3</v>
      </c>
      <c r="S675">
        <v>0.27500892136774763</v>
      </c>
      <c r="T675">
        <v>1.3594273963887766</v>
      </c>
      <c r="U675">
        <v>0.21563418848648289</v>
      </c>
      <c r="V675">
        <v>0.24835313164040462</v>
      </c>
      <c r="W675">
        <v>9.8548534087203765E-2</v>
      </c>
      <c r="X675">
        <v>1.6440417865382518E-2</v>
      </c>
      <c r="Y675">
        <v>4.4735348530313924E-3</v>
      </c>
    </row>
    <row r="676" spans="1:25" x14ac:dyDescent="0.2">
      <c r="A676" s="1077"/>
      <c r="B676" s="1444">
        <v>426</v>
      </c>
      <c r="C676" s="1081">
        <v>0.98909809010568439</v>
      </c>
      <c r="D676" s="1081">
        <v>0.95100193153830082</v>
      </c>
      <c r="E676" s="1081">
        <v>1.0254661515347561</v>
      </c>
      <c r="F676" s="1081">
        <v>1.0045028993597507</v>
      </c>
      <c r="G676" s="1081">
        <v>0.98228569816323952</v>
      </c>
      <c r="H676" s="1081">
        <v>0.96400727617831239</v>
      </c>
      <c r="I676" s="1081">
        <v>0.99024269765425588</v>
      </c>
      <c r="K676">
        <v>2.4249218827196111</v>
      </c>
      <c r="L676">
        <v>0</v>
      </c>
      <c r="M676">
        <v>1.534554398881957E-3</v>
      </c>
      <c r="N676">
        <v>0.15074076677715695</v>
      </c>
      <c r="O676">
        <v>2.1470014669565184E-2</v>
      </c>
      <c r="P676">
        <v>2.9178990027402735E-2</v>
      </c>
      <c r="Q676">
        <v>5.7629096061810603E-3</v>
      </c>
      <c r="R676">
        <v>1.5135423600388376E-3</v>
      </c>
      <c r="S676">
        <v>0.26267188690056942</v>
      </c>
      <c r="T676">
        <v>1.3783696103917014</v>
      </c>
      <c r="U676">
        <v>0.21439795128201922</v>
      </c>
      <c r="V676">
        <v>0.24310611341717586</v>
      </c>
      <c r="W676">
        <v>9.7553607337318382E-2</v>
      </c>
      <c r="X676">
        <v>1.7571680984441843E-2</v>
      </c>
      <c r="Y676">
        <v>4.119363364920821E-3</v>
      </c>
    </row>
    <row r="677" spans="1:25" x14ac:dyDescent="0.2">
      <c r="A677" s="1077"/>
      <c r="B677" s="1444">
        <v>427</v>
      </c>
      <c r="C677" s="1081">
        <v>0.99048228647962344</v>
      </c>
      <c r="D677" s="1081">
        <v>0.95503088462306596</v>
      </c>
      <c r="E677" s="1081">
        <v>0.97770972670831735</v>
      </c>
      <c r="F677" s="1081">
        <v>1.0167518993185454</v>
      </c>
      <c r="G677" s="1081">
        <v>1.0070216236412559</v>
      </c>
      <c r="H677" s="1081">
        <v>1.0015174483344442</v>
      </c>
      <c r="I677" s="1081">
        <v>1.0291762425269759</v>
      </c>
      <c r="K677">
        <v>2.4553936075834795</v>
      </c>
      <c r="L677">
        <v>0</v>
      </c>
      <c r="M677">
        <v>1.7562278075094065E-3</v>
      </c>
      <c r="N677">
        <v>0.14941741136273781</v>
      </c>
      <c r="O677">
        <v>2.138774708722813E-2</v>
      </c>
      <c r="P677">
        <v>2.8587925463277861E-2</v>
      </c>
      <c r="Q677">
        <v>5.4719754867472168E-3</v>
      </c>
      <c r="R677">
        <v>1.733081136026603E-3</v>
      </c>
      <c r="S677">
        <v>0.27496661516396731</v>
      </c>
      <c r="T677">
        <v>1.3941270946382671</v>
      </c>
      <c r="U677">
        <v>0.2139334847837808</v>
      </c>
      <c r="V677">
        <v>0.24741109646385237</v>
      </c>
      <c r="W677">
        <v>9.9477811845385539E-2</v>
      </c>
      <c r="X677">
        <v>1.5918716417496964E-2</v>
      </c>
      <c r="Y677">
        <v>4.7168755422214662E-3</v>
      </c>
    </row>
    <row r="678" spans="1:25" x14ac:dyDescent="0.2">
      <c r="A678" s="1077"/>
      <c r="B678" s="1444">
        <v>428</v>
      </c>
      <c r="C678" s="1081">
        <v>1.0351502720273831</v>
      </c>
      <c r="D678" s="1081">
        <v>0.98481360248691796</v>
      </c>
      <c r="E678" s="1081">
        <v>1.0045432602618487</v>
      </c>
      <c r="F678" s="1081">
        <v>0.99033630353599145</v>
      </c>
      <c r="G678" s="1081">
        <v>1.0053036855169184</v>
      </c>
      <c r="H678" s="1081">
        <v>0.98896620352370368</v>
      </c>
      <c r="I678" s="1081">
        <v>0.97968100170312078</v>
      </c>
      <c r="K678">
        <v>2.3656343742371129</v>
      </c>
      <c r="L678">
        <v>0</v>
      </c>
      <c r="M678">
        <v>1.559097970796111E-3</v>
      </c>
      <c r="N678">
        <v>0.14383060992382113</v>
      </c>
      <c r="O678">
        <v>2.0344284864557458E-2</v>
      </c>
      <c r="P678">
        <v>2.811476902885908E-2</v>
      </c>
      <c r="Q678">
        <v>5.3480252040418175E-3</v>
      </c>
      <c r="R678">
        <v>1.5382886371156476E-3</v>
      </c>
      <c r="S678">
        <v>0.24579272599281307</v>
      </c>
      <c r="T678">
        <v>1.3584808581547692</v>
      </c>
      <c r="U678">
        <v>0.20479047931863661</v>
      </c>
      <c r="V678">
        <v>0.24430163586584083</v>
      </c>
      <c r="W678">
        <v>9.4232593299222164E-2</v>
      </c>
      <c r="X678">
        <v>1.623248734471601E-2</v>
      </c>
      <c r="Y678">
        <v>4.1867145735158548E-3</v>
      </c>
    </row>
    <row r="679" spans="1:25" x14ac:dyDescent="0.2">
      <c r="A679" s="1077"/>
      <c r="B679" s="1444">
        <v>429</v>
      </c>
      <c r="C679" s="1081">
        <v>1.0306957663396472</v>
      </c>
      <c r="D679" s="1081">
        <v>0.95920498051592773</v>
      </c>
      <c r="E679" s="1081">
        <v>0.98481835538289131</v>
      </c>
      <c r="F679" s="1081">
        <v>0.96701928938574588</v>
      </c>
      <c r="G679" s="1081">
        <v>0.99046964829650541</v>
      </c>
      <c r="H679" s="1081">
        <v>1.0101188255454938</v>
      </c>
      <c r="I679" s="1081">
        <v>1.0338830597029407</v>
      </c>
      <c r="K679">
        <v>2.3550668737570559</v>
      </c>
      <c r="L679">
        <v>0</v>
      </c>
      <c r="M679">
        <v>1.6757502884110955E-3</v>
      </c>
      <c r="N679">
        <v>0.14568643466856773</v>
      </c>
      <c r="O679">
        <v>2.0538181066809422E-2</v>
      </c>
      <c r="P679">
        <v>2.7514894113628344E-2</v>
      </c>
      <c r="Q679">
        <v>5.2926934574529377E-3</v>
      </c>
      <c r="R679">
        <v>1.6538523587664902E-3</v>
      </c>
      <c r="S679">
        <v>0.26566137407286111</v>
      </c>
      <c r="T679">
        <v>1.3260839515648251</v>
      </c>
      <c r="U679">
        <v>0.20561019067896846</v>
      </c>
      <c r="V679">
        <v>0.24210000768867304</v>
      </c>
      <c r="W679">
        <v>9.6578809525721968E-2</v>
      </c>
      <c r="X679">
        <v>1.5520993920914663E-2</v>
      </c>
      <c r="Y679">
        <v>4.501240928278841E-3</v>
      </c>
    </row>
    <row r="680" spans="1:25" x14ac:dyDescent="0.2">
      <c r="A680" s="1077"/>
      <c r="B680" s="1444">
        <v>430</v>
      </c>
      <c r="C680" s="1081">
        <v>1.0357240094518669</v>
      </c>
      <c r="D680" s="1081">
        <v>1.036426623378482</v>
      </c>
      <c r="E680" s="1081">
        <v>0.99239741813777749</v>
      </c>
      <c r="F680" s="1081">
        <v>1.0149119009616885</v>
      </c>
      <c r="G680" s="1081">
        <v>0.98498231439815132</v>
      </c>
      <c r="H680" s="1081">
        <v>0.95851107282404813</v>
      </c>
      <c r="I680" s="1081">
        <v>1.0033417025570359</v>
      </c>
      <c r="K680">
        <v>2.3794741800405981</v>
      </c>
      <c r="L680">
        <v>0</v>
      </c>
      <c r="M680">
        <v>1.53146452046529E-3</v>
      </c>
      <c r="N680">
        <v>0.13613187665011345</v>
      </c>
      <c r="O680">
        <v>2.0098072210403339E-2</v>
      </c>
      <c r="P680">
        <v>2.8223266572946042E-2</v>
      </c>
      <c r="Q680">
        <v>5.2191372859524366E-3</v>
      </c>
      <c r="R680">
        <v>1.5103745474493451E-3</v>
      </c>
      <c r="S680">
        <v>0.24265512371610937</v>
      </c>
      <c r="T680">
        <v>1.3919255842896505</v>
      </c>
      <c r="U680">
        <v>0.20463696040884691</v>
      </c>
      <c r="V680">
        <v>0.2408415197338937</v>
      </c>
      <c r="W680">
        <v>8.9835616344215496E-2</v>
      </c>
      <c r="X680">
        <v>1.5817371178163363E-2</v>
      </c>
      <c r="Y680">
        <v>4.1107416233213626E-3</v>
      </c>
    </row>
    <row r="681" spans="1:25" x14ac:dyDescent="0.2">
      <c r="A681" s="1077"/>
      <c r="B681" s="1444">
        <v>431</v>
      </c>
      <c r="C681" s="1081">
        <v>1.01203641566323</v>
      </c>
      <c r="D681" s="1081">
        <v>0.98891369668351825</v>
      </c>
      <c r="E681" s="1081">
        <v>1.0447795398579329</v>
      </c>
      <c r="F681" s="1081">
        <v>1.0293861110255822</v>
      </c>
      <c r="G681" s="1081">
        <v>0.97640491642950356</v>
      </c>
      <c r="H681" s="1081">
        <v>1.0132802354742605</v>
      </c>
      <c r="I681" s="1081">
        <v>0.97196955009975605</v>
      </c>
      <c r="K681">
        <v>2.4494843164740727</v>
      </c>
      <c r="L681">
        <v>0</v>
      </c>
      <c r="M681">
        <v>1.501234394841014E-3</v>
      </c>
      <c r="N681">
        <v>0.15641048476618355</v>
      </c>
      <c r="O681">
        <v>2.0816465351117745E-2</v>
      </c>
      <c r="P681">
        <v>2.9812203063103445E-2</v>
      </c>
      <c r="Q681">
        <v>5.6949001642643262E-3</v>
      </c>
      <c r="R681">
        <v>1.48167816410053E-3</v>
      </c>
      <c r="S681">
        <v>0.25121816331150321</v>
      </c>
      <c r="T681">
        <v>1.4129470298611133</v>
      </c>
      <c r="U681">
        <v>0.20960408673731981</v>
      </c>
      <c r="V681">
        <v>0.24060740314454948</v>
      </c>
      <c r="W681">
        <v>0.10009884901639593</v>
      </c>
      <c r="X681">
        <v>1.8261647761652261E-2</v>
      </c>
      <c r="Y681">
        <v>4.032639527606117E-3</v>
      </c>
    </row>
    <row r="682" spans="1:25" x14ac:dyDescent="0.2">
      <c r="A682" s="1077"/>
      <c r="B682" s="1444">
        <v>432</v>
      </c>
      <c r="C682" s="1081">
        <v>0.97535966150003772</v>
      </c>
      <c r="D682" s="1081">
        <v>1.0137935657058736</v>
      </c>
      <c r="E682" s="1081">
        <v>0.99144146331299621</v>
      </c>
      <c r="F682" s="1081">
        <v>1.0033807346450723</v>
      </c>
      <c r="G682" s="1081">
        <v>0.98750794829237065</v>
      </c>
      <c r="H682" s="1081">
        <v>1.0071225765080356</v>
      </c>
      <c r="I682" s="1081">
        <v>1.0017332891718349</v>
      </c>
      <c r="K682">
        <v>2.43254056230565</v>
      </c>
      <c r="L682">
        <v>0</v>
      </c>
      <c r="M682">
        <v>1.7204461082222274E-3</v>
      </c>
      <c r="N682">
        <v>0.15259191459467544</v>
      </c>
      <c r="O682">
        <v>2.1445201246098288E-2</v>
      </c>
      <c r="P682">
        <v>2.8510628251155391E-2</v>
      </c>
      <c r="Q682">
        <v>5.5635917688965433E-3</v>
      </c>
      <c r="R682">
        <v>1.6978972290211916E-3</v>
      </c>
      <c r="S682">
        <v>0.26434935489202332</v>
      </c>
      <c r="T682">
        <v>1.3760901746212528</v>
      </c>
      <c r="U682">
        <v>0.21729845715926424</v>
      </c>
      <c r="V682">
        <v>0.24500415108215987</v>
      </c>
      <c r="W682">
        <v>0.10075545644016251</v>
      </c>
      <c r="X682">
        <v>1.6333064583435825E-2</v>
      </c>
      <c r="Y682">
        <v>4.6211165457245625E-3</v>
      </c>
    </row>
    <row r="683" spans="1:25" x14ac:dyDescent="0.2">
      <c r="A683" s="1077"/>
      <c r="B683" s="1444">
        <v>433</v>
      </c>
      <c r="C683" s="1081">
        <v>1.0307037588644381</v>
      </c>
      <c r="D683" s="1081">
        <v>0.98056244983702012</v>
      </c>
      <c r="E683" s="1081">
        <v>0.97568179479382711</v>
      </c>
      <c r="F683" s="1081">
        <v>1.022656918637487</v>
      </c>
      <c r="G683" s="1081">
        <v>0.96480289008441356</v>
      </c>
      <c r="H683" s="1081">
        <v>0.95843076791605797</v>
      </c>
      <c r="I683" s="1081">
        <v>0.97186279447081714</v>
      </c>
      <c r="K683">
        <v>2.3886393215496429</v>
      </c>
      <c r="L683">
        <v>0</v>
      </c>
      <c r="M683">
        <v>1.6124838768856856E-3</v>
      </c>
      <c r="N683">
        <v>0.13626662448037716</v>
      </c>
      <c r="O683">
        <v>2.0432871280251088E-2</v>
      </c>
      <c r="P683">
        <v>2.7978421597329963E-2</v>
      </c>
      <c r="Q683">
        <v>5.2168901575674843E-3</v>
      </c>
      <c r="R683">
        <v>1.5902763164797715E-3</v>
      </c>
      <c r="S683">
        <v>0.24273614924317843</v>
      </c>
      <c r="T683">
        <v>1.4021791686984826</v>
      </c>
      <c r="U683">
        <v>0.20557839191528787</v>
      </c>
      <c r="V683">
        <v>0.23774664223328471</v>
      </c>
      <c r="W683">
        <v>9.0833847024484063E-2</v>
      </c>
      <c r="X683">
        <v>1.5364314580793842E-2</v>
      </c>
      <c r="Y683">
        <v>4.3282078990111023E-3</v>
      </c>
    </row>
    <row r="684" spans="1:25" x14ac:dyDescent="0.2">
      <c r="A684" s="1077"/>
      <c r="B684" s="1444">
        <v>434</v>
      </c>
      <c r="C684" s="1081">
        <v>0.9912255516149685</v>
      </c>
      <c r="D684" s="1081">
        <v>1.0129373667643184</v>
      </c>
      <c r="E684" s="1081">
        <v>1.0134605702482067</v>
      </c>
      <c r="F684" s="1081">
        <v>1.0003522053423866</v>
      </c>
      <c r="G684" s="1081">
        <v>1.0361351341318326</v>
      </c>
      <c r="H684" s="1081">
        <v>0.99812356196351015</v>
      </c>
      <c r="I684" s="1081">
        <v>0.97148848821815226</v>
      </c>
      <c r="K684">
        <v>2.4181131143554229</v>
      </c>
      <c r="L684">
        <v>0</v>
      </c>
      <c r="M684">
        <v>1.6031438525853164E-3</v>
      </c>
      <c r="N684">
        <v>0.15194868758845484</v>
      </c>
      <c r="O684">
        <v>2.1120571774927682E-2</v>
      </c>
      <c r="P684">
        <v>2.8809953593336997E-2</v>
      </c>
      <c r="Q684">
        <v>5.6018331248933462E-3</v>
      </c>
      <c r="R684">
        <v>1.5819429473582164E-3</v>
      </c>
      <c r="S684">
        <v>0.25179813928913153</v>
      </c>
      <c r="T684">
        <v>1.372413320208943</v>
      </c>
      <c r="U684">
        <v>0.21389626603281564</v>
      </c>
      <c r="V684">
        <v>0.25220417852753879</v>
      </c>
      <c r="W684">
        <v>9.9028753005751452E-2</v>
      </c>
      <c r="X684">
        <v>1.700708489949785E-2</v>
      </c>
      <c r="Y684">
        <v>4.3055272153566205E-3</v>
      </c>
    </row>
    <row r="685" spans="1:25" x14ac:dyDescent="0.2">
      <c r="A685" s="1077"/>
      <c r="B685" s="1444">
        <v>435</v>
      </c>
      <c r="C685" s="1081">
        <v>0.9979000381653621</v>
      </c>
      <c r="D685" s="1081">
        <v>0.96777710777649939</v>
      </c>
      <c r="E685" s="1081">
        <v>0.99913258276291361</v>
      </c>
      <c r="F685" s="1081">
        <v>1.0112009072692636</v>
      </c>
      <c r="G685" s="1081">
        <v>1.0117939905586979</v>
      </c>
      <c r="H685" s="1081">
        <v>1.0003819662022755</v>
      </c>
      <c r="I685" s="1081">
        <v>0.99244220134076755</v>
      </c>
      <c r="K685">
        <v>2.4349001237450012</v>
      </c>
      <c r="L685">
        <v>0</v>
      </c>
      <c r="M685">
        <v>1.660799224975629E-3</v>
      </c>
      <c r="N685">
        <v>0.15075221750045284</v>
      </c>
      <c r="O685">
        <v>2.1181259006733261E-2</v>
      </c>
      <c r="P685">
        <v>2.8754835648663817E-2</v>
      </c>
      <c r="Q685">
        <v>5.5378755245266229E-3</v>
      </c>
      <c r="R685">
        <v>1.6388854348608208E-3</v>
      </c>
      <c r="S685">
        <v>0.26150295820313973</v>
      </c>
      <c r="T685">
        <v>1.3869832270796019</v>
      </c>
      <c r="U685">
        <v>0.21241648662399451</v>
      </c>
      <c r="V685">
        <v>0.24767964689595429</v>
      </c>
      <c r="W685">
        <v>9.9085046046459624E-2</v>
      </c>
      <c r="X685">
        <v>1.6567979110337888E-2</v>
      </c>
      <c r="Y685">
        <v>4.4605058952527504E-3</v>
      </c>
    </row>
    <row r="686" spans="1:25" x14ac:dyDescent="0.2">
      <c r="A686" s="1077"/>
      <c r="B686" s="1444">
        <v>436</v>
      </c>
      <c r="C686" s="1081">
        <v>1.0065147320478369</v>
      </c>
      <c r="D686" s="1081">
        <v>0.96688979246378037</v>
      </c>
      <c r="E686" s="1081">
        <v>1.0073116129347437</v>
      </c>
      <c r="F686" s="1081">
        <v>0.96311226227852031</v>
      </c>
      <c r="G686" s="1081">
        <v>0.98602650446276818</v>
      </c>
      <c r="H686" s="1081">
        <v>1.0093343832274626</v>
      </c>
      <c r="I686" s="1081">
        <v>1.0132120714413788</v>
      </c>
      <c r="K686">
        <v>2.3670605824572752</v>
      </c>
      <c r="L686">
        <v>0</v>
      </c>
      <c r="M686">
        <v>1.6336877749315469E-3</v>
      </c>
      <c r="N686">
        <v>0.15201844344092513</v>
      </c>
      <c r="O686">
        <v>2.100964419000639E-2</v>
      </c>
      <c r="P686">
        <v>2.7991823177401995E-2</v>
      </c>
      <c r="Q686">
        <v>5.5382718147938019E-3</v>
      </c>
      <c r="R686">
        <v>1.6123229071382031E-3</v>
      </c>
      <c r="S686">
        <v>0.26565433586070825</v>
      </c>
      <c r="T686">
        <v>1.3211943704314473</v>
      </c>
      <c r="U686">
        <v>0.2106262185968622</v>
      </c>
      <c r="V686">
        <v>0.24271534083038715</v>
      </c>
      <c r="W686">
        <v>9.9433990009751422E-2</v>
      </c>
      <c r="X686">
        <v>1.6511297521655185E-2</v>
      </c>
      <c r="Y686">
        <v>4.3882114511266954E-3</v>
      </c>
    </row>
    <row r="687" spans="1:25" x14ac:dyDescent="0.2">
      <c r="A687" s="1077"/>
      <c r="B687" s="1444">
        <v>437</v>
      </c>
      <c r="C687" s="1081">
        <v>1.0082017336760891</v>
      </c>
      <c r="D687" s="1081">
        <v>1.0247274148133196</v>
      </c>
      <c r="E687" s="1081">
        <v>0.99939031357175756</v>
      </c>
      <c r="F687" s="1081">
        <v>1.0434090477894751</v>
      </c>
      <c r="G687" s="1081">
        <v>1.0157941065328895</v>
      </c>
      <c r="H687" s="1081">
        <v>1.0093622935819355</v>
      </c>
      <c r="I687" s="1081">
        <v>1.0001293967805398</v>
      </c>
      <c r="K687">
        <v>2.4661464201443506</v>
      </c>
      <c r="L687">
        <v>0</v>
      </c>
      <c r="M687">
        <v>1.6369768610561828E-3</v>
      </c>
      <c r="N687">
        <v>0.14872328331068191</v>
      </c>
      <c r="O687">
        <v>2.0702922075590137E-2</v>
      </c>
      <c r="P687">
        <v>2.9234664156326331E-2</v>
      </c>
      <c r="Q687">
        <v>5.4142165646374682E-3</v>
      </c>
      <c r="R687">
        <v>1.6155695715624745E-3</v>
      </c>
      <c r="S687">
        <v>0.25422096065647309</v>
      </c>
      <c r="T687">
        <v>1.431166367022926</v>
      </c>
      <c r="U687">
        <v>0.21024691181429175</v>
      </c>
      <c r="V687">
        <v>0.24772295637539149</v>
      </c>
      <c r="W687">
        <v>9.7736505376666616E-2</v>
      </c>
      <c r="X687">
        <v>1.66019922794312E-2</v>
      </c>
      <c r="Y687">
        <v>4.3970478014269208E-3</v>
      </c>
    </row>
    <row r="688" spans="1:25" x14ac:dyDescent="0.2">
      <c r="A688" s="1077"/>
      <c r="B688" s="1444">
        <v>438</v>
      </c>
      <c r="C688" s="1081">
        <v>1.013212537866937</v>
      </c>
      <c r="D688" s="1081">
        <v>0.97760501921488108</v>
      </c>
      <c r="E688" s="1081">
        <v>0.98255226779461269</v>
      </c>
      <c r="F688" s="1081">
        <v>1.0247841572152203</v>
      </c>
      <c r="G688" s="1081">
        <v>1.005214960904866</v>
      </c>
      <c r="H688" s="1081">
        <v>1.0311632538708244</v>
      </c>
      <c r="I688" s="1081">
        <v>1.0005733673860076</v>
      </c>
      <c r="K688">
        <v>2.4463440775576339</v>
      </c>
      <c r="L688">
        <v>0</v>
      </c>
      <c r="M688">
        <v>1.7410649300912515E-3</v>
      </c>
      <c r="N688">
        <v>0.15037139351392009</v>
      </c>
      <c r="O688">
        <v>2.0803931579307194E-2</v>
      </c>
      <c r="P688">
        <v>2.8564307683862061E-2</v>
      </c>
      <c r="Q688">
        <v>5.3488687379157091E-3</v>
      </c>
      <c r="R688">
        <v>1.7187778200267554E-3</v>
      </c>
      <c r="S688">
        <v>0.26080327898478367</v>
      </c>
      <c r="T688">
        <v>1.4052474780201072</v>
      </c>
      <c r="U688">
        <v>0.20915041941104648</v>
      </c>
      <c r="V688">
        <v>0.24567180445442119</v>
      </c>
      <c r="W688">
        <v>9.9820669149643507E-2</v>
      </c>
      <c r="X688">
        <v>1.5906266501533171E-2</v>
      </c>
      <c r="Y688">
        <v>4.6779466311567307E-3</v>
      </c>
    </row>
    <row r="689" spans="1:25" x14ac:dyDescent="0.2">
      <c r="A689" s="1077"/>
      <c r="B689" s="1444">
        <v>439</v>
      </c>
      <c r="C689" s="1081">
        <v>0.97874589147218582</v>
      </c>
      <c r="D689" s="1081">
        <v>1.0141272188712043</v>
      </c>
      <c r="E689" s="1081">
        <v>0.98011558343972416</v>
      </c>
      <c r="F689" s="1081">
        <v>1.0120740865817224</v>
      </c>
      <c r="G689" s="1081">
        <v>0.97657744832888016</v>
      </c>
      <c r="H689" s="1081">
        <v>0.96771789040081058</v>
      </c>
      <c r="I689" s="1081">
        <v>1.0116019950503534</v>
      </c>
      <c r="K689">
        <v>2.4257499774090361</v>
      </c>
      <c r="L689">
        <v>0</v>
      </c>
      <c r="M689">
        <v>1.6863635435553483E-3</v>
      </c>
      <c r="N689">
        <v>0.14445432255415105</v>
      </c>
      <c r="O689">
        <v>2.1361819920770925E-2</v>
      </c>
      <c r="P689">
        <v>2.8361003139930611E-2</v>
      </c>
      <c r="Q689">
        <v>5.478731025414324E-3</v>
      </c>
      <c r="R689">
        <v>1.6633613817939367E-3</v>
      </c>
      <c r="S689">
        <v>0.26243967610500701</v>
      </c>
      <c r="T689">
        <v>1.3877655096849582</v>
      </c>
      <c r="U689">
        <v>0.21650719035596738</v>
      </c>
      <c r="V689">
        <v>0.24295544972869912</v>
      </c>
      <c r="W689">
        <v>9.6033798779998195E-2</v>
      </c>
      <c r="X689">
        <v>1.5888356921588395E-2</v>
      </c>
      <c r="Y689">
        <v>4.5271213543109532E-3</v>
      </c>
    </row>
    <row r="690" spans="1:25" x14ac:dyDescent="0.2">
      <c r="A690" s="1077"/>
      <c r="B690" s="1444">
        <v>440</v>
      </c>
      <c r="C690" s="1081">
        <v>0.97565514721549096</v>
      </c>
      <c r="D690" s="1081">
        <v>0.97804483522158725</v>
      </c>
      <c r="E690" s="1081">
        <v>1.0153865819656855</v>
      </c>
      <c r="F690" s="1081">
        <v>1.0244577497853364</v>
      </c>
      <c r="G690" s="1081">
        <v>0.99336751166735404</v>
      </c>
      <c r="H690" s="1081">
        <v>1.0067579626065957</v>
      </c>
      <c r="I690" s="1081">
        <v>1.030388608520608</v>
      </c>
      <c r="K690">
        <v>2.4841663860383676</v>
      </c>
      <c r="L690">
        <v>0</v>
      </c>
      <c r="M690">
        <v>1.6489205688831443E-3</v>
      </c>
      <c r="N690">
        <v>0.1572166542799327</v>
      </c>
      <c r="O690">
        <v>2.16250719916272E-2</v>
      </c>
      <c r="P690">
        <v>2.9615125990861028E-2</v>
      </c>
      <c r="Q690">
        <v>5.7466688844503384E-3</v>
      </c>
      <c r="R690">
        <v>1.6273013060865145E-3</v>
      </c>
      <c r="S690">
        <v>0.2769359263628805</v>
      </c>
      <c r="T690">
        <v>1.4055272397120748</v>
      </c>
      <c r="U690">
        <v>0.21731658266327772</v>
      </c>
      <c r="V690">
        <v>0.24590152871702403</v>
      </c>
      <c r="W690">
        <v>0.10234612020272774</v>
      </c>
      <c r="X690">
        <v>1.7528108780869838E-2</v>
      </c>
      <c r="Y690">
        <v>4.428977715436112E-3</v>
      </c>
    </row>
    <row r="691" spans="1:25" x14ac:dyDescent="0.2">
      <c r="A691" s="1077"/>
      <c r="B691" s="1444">
        <v>441</v>
      </c>
      <c r="C691" s="1081">
        <v>0.9891208453030913</v>
      </c>
      <c r="D691" s="1081">
        <v>1.021625056924687</v>
      </c>
      <c r="E691" s="1081">
        <v>0.95940052582093083</v>
      </c>
      <c r="F691" s="1081">
        <v>0.99032415258757334</v>
      </c>
      <c r="G691" s="1081">
        <v>1.0198094583015616</v>
      </c>
      <c r="H691" s="1081">
        <v>0.98387914542020194</v>
      </c>
      <c r="I691" s="1081">
        <v>1.0021523004191839</v>
      </c>
      <c r="K691">
        <v>2.3905128959945405</v>
      </c>
      <c r="L691">
        <v>0</v>
      </c>
      <c r="M691">
        <v>1.7677994502291409E-3</v>
      </c>
      <c r="N691">
        <v>0.14225590007331612</v>
      </c>
      <c r="O691">
        <v>2.1089761184434685E-2</v>
      </c>
      <c r="P691">
        <v>2.7507959374548148E-2</v>
      </c>
      <c r="Q691">
        <v>5.2956226240541441E-3</v>
      </c>
      <c r="R691">
        <v>1.7440825756101742E-3</v>
      </c>
      <c r="S691">
        <v>0.25752980456779517</v>
      </c>
      <c r="T691">
        <v>1.3575009032628227</v>
      </c>
      <c r="U691">
        <v>0.21416499740308706</v>
      </c>
      <c r="V691">
        <v>0.24975226579701021</v>
      </c>
      <c r="W691">
        <v>9.5772431396471194E-2</v>
      </c>
      <c r="X691">
        <v>1.4920149351475558E-2</v>
      </c>
      <c r="Y691">
        <v>4.7468178341443608E-3</v>
      </c>
    </row>
    <row r="692" spans="1:25" x14ac:dyDescent="0.2">
      <c r="A692" s="1077"/>
      <c r="B692" s="1444">
        <v>442</v>
      </c>
      <c r="C692" s="1081">
        <v>1.0027105930926759</v>
      </c>
      <c r="D692" s="1081">
        <v>1.0036303824657196</v>
      </c>
      <c r="E692" s="1081">
        <v>1.0009904925487525</v>
      </c>
      <c r="F692" s="1081">
        <v>0.98112008312200005</v>
      </c>
      <c r="G692" s="1081">
        <v>1.0197295835533597</v>
      </c>
      <c r="H692" s="1081">
        <v>0.98461409053856508</v>
      </c>
      <c r="I692" s="1081">
        <v>0.98623524810080709</v>
      </c>
      <c r="K692">
        <v>2.3766624115923798</v>
      </c>
      <c r="L692">
        <v>0</v>
      </c>
      <c r="M692">
        <v>1.6076050793734184E-3</v>
      </c>
      <c r="N692">
        <v>0.14671370595103483</v>
      </c>
      <c r="O692">
        <v>2.0912842421696103E-2</v>
      </c>
      <c r="P692">
        <v>2.81110894381803E-2</v>
      </c>
      <c r="Q692">
        <v>5.4779178549650871E-3</v>
      </c>
      <c r="R692">
        <v>1.5860534781990832E-3</v>
      </c>
      <c r="S692">
        <v>0.25263159897681053</v>
      </c>
      <c r="T692">
        <v>1.3457631970837984</v>
      </c>
      <c r="U692">
        <v>0.2114037414190667</v>
      </c>
      <c r="V692">
        <v>0.24872804935697596</v>
      </c>
      <c r="W692">
        <v>9.6324231277948827E-2</v>
      </c>
      <c r="X692">
        <v>1.6300874687806999E-2</v>
      </c>
      <c r="Y692">
        <v>4.3167147252693326E-3</v>
      </c>
    </row>
    <row r="693" spans="1:25" x14ac:dyDescent="0.2">
      <c r="A693" s="1077"/>
      <c r="B693" s="1444">
        <v>443</v>
      </c>
      <c r="C693" s="1081">
        <v>0.97235948451351462</v>
      </c>
      <c r="D693" s="1081">
        <v>0.97207043466225618</v>
      </c>
      <c r="E693" s="1081">
        <v>1.0287807941979152</v>
      </c>
      <c r="F693" s="1081">
        <v>0.9902455908900577</v>
      </c>
      <c r="G693" s="1081">
        <v>0.98191190229558478</v>
      </c>
      <c r="H693" s="1081">
        <v>0.97874299228258166</v>
      </c>
      <c r="I693" s="1081">
        <v>1.0012111533515879</v>
      </c>
      <c r="K693">
        <v>2.4241017414588151</v>
      </c>
      <c r="L693">
        <v>0</v>
      </c>
      <c r="M693">
        <v>1.5663585281195506E-3</v>
      </c>
      <c r="N693">
        <v>0.15544288856639241</v>
      </c>
      <c r="O693">
        <v>2.1736866062673759E-2</v>
      </c>
      <c r="P693">
        <v>2.9124482304261474E-2</v>
      </c>
      <c r="Q693">
        <v>5.8537194239167145E-3</v>
      </c>
      <c r="R693">
        <v>1.5452339167093148E-3</v>
      </c>
      <c r="S693">
        <v>0.26848377899317005</v>
      </c>
      <c r="T693">
        <v>1.3588772296348171</v>
      </c>
      <c r="U693">
        <v>0.2181003880103066</v>
      </c>
      <c r="V693">
        <v>0.24411751686588587</v>
      </c>
      <c r="W693">
        <v>0.10040283356454041</v>
      </c>
      <c r="X693">
        <v>1.7777545309198485E-2</v>
      </c>
      <c r="Y693">
        <v>4.2056173350590127E-3</v>
      </c>
    </row>
    <row r="694" spans="1:25" x14ac:dyDescent="0.2">
      <c r="A694" s="1077"/>
      <c r="B694" s="1444">
        <v>444</v>
      </c>
      <c r="C694" s="1081">
        <v>1.0250587945732474</v>
      </c>
      <c r="D694" s="1081">
        <v>1.0256752650821173</v>
      </c>
      <c r="E694" s="1081">
        <v>1.031326600876926</v>
      </c>
      <c r="F694" s="1081">
        <v>1.0226320829079247</v>
      </c>
      <c r="G694" s="1081">
        <v>1.0055782510559665</v>
      </c>
      <c r="H694" s="1081">
        <v>0.9817699390031932</v>
      </c>
      <c r="I694" s="1081">
        <v>0.97534916840589314</v>
      </c>
      <c r="K694">
        <v>2.4144107855898658</v>
      </c>
      <c r="L694">
        <v>0</v>
      </c>
      <c r="M694">
        <v>1.4651353239866914E-3</v>
      </c>
      <c r="N694">
        <v>0.1465239826226527</v>
      </c>
      <c r="O694">
        <v>2.0378932297663729E-2</v>
      </c>
      <c r="P694">
        <v>2.9280148889169612E-2</v>
      </c>
      <c r="Q694">
        <v>5.5018595229065943E-3</v>
      </c>
      <c r="R694">
        <v>1.4454367754280775E-3</v>
      </c>
      <c r="S694">
        <v>0.2417567288493154</v>
      </c>
      <c r="T694">
        <v>1.4033766458198664</v>
      </c>
      <c r="U694">
        <v>0.20689615421614121</v>
      </c>
      <c r="V694">
        <v>0.24484640552276921</v>
      </c>
      <c r="W694">
        <v>9.4502231094667266E-2</v>
      </c>
      <c r="X694">
        <v>1.7433392888659908E-2</v>
      </c>
      <c r="Y694">
        <v>3.9340024146102661E-3</v>
      </c>
    </row>
    <row r="695" spans="1:25" x14ac:dyDescent="0.2">
      <c r="A695" s="1077"/>
      <c r="B695" s="1444">
        <v>445</v>
      </c>
      <c r="C695" s="1081">
        <v>1.0072797222387542</v>
      </c>
      <c r="D695" s="1081">
        <v>1.0390703399322045</v>
      </c>
      <c r="E695" s="1081">
        <v>0.96057670395928474</v>
      </c>
      <c r="F695" s="1081">
        <v>1.0409790554751428</v>
      </c>
      <c r="G695" s="1081">
        <v>1.0074702504121409</v>
      </c>
      <c r="H695" s="1081">
        <v>0.9956134178354682</v>
      </c>
      <c r="I695" s="1081">
        <v>1.0235577228321948</v>
      </c>
      <c r="K695">
        <v>2.4507579559343355</v>
      </c>
      <c r="L695">
        <v>0</v>
      </c>
      <c r="M695">
        <v>1.7458650469623878E-3</v>
      </c>
      <c r="N695">
        <v>0.14101501950144327</v>
      </c>
      <c r="O695">
        <v>2.0633326140920241E-2</v>
      </c>
      <c r="P695">
        <v>2.8353533575691314E-2</v>
      </c>
      <c r="Q695">
        <v>5.1872791803619671E-3</v>
      </c>
      <c r="R695">
        <v>1.7227185033962798E-3</v>
      </c>
      <c r="S695">
        <v>0.25713204311202209</v>
      </c>
      <c r="T695">
        <v>1.4269630887027454</v>
      </c>
      <c r="U695">
        <v>0.21030807285115727</v>
      </c>
      <c r="V695">
        <v>0.2465017668332487</v>
      </c>
      <c r="W695">
        <v>9.4868540299484591E-2</v>
      </c>
      <c r="X695">
        <v>1.5129760408584481E-2</v>
      </c>
      <c r="Y695">
        <v>4.6886718722426541E-3</v>
      </c>
    </row>
    <row r="696" spans="1:25" x14ac:dyDescent="0.2">
      <c r="A696" s="1077"/>
      <c r="B696" s="1444">
        <v>446</v>
      </c>
      <c r="C696" s="1081">
        <v>0.97742715252415802</v>
      </c>
      <c r="D696" s="1081">
        <v>1.0183513468288266</v>
      </c>
      <c r="E696" s="1081">
        <v>0.99342043187345641</v>
      </c>
      <c r="F696" s="1081">
        <v>0.979102267936802</v>
      </c>
      <c r="G696" s="1081">
        <v>0.99568140514691483</v>
      </c>
      <c r="H696" s="1081">
        <v>0.99357712179477797</v>
      </c>
      <c r="I696" s="1081">
        <v>1.0267834002366185</v>
      </c>
      <c r="K696">
        <v>2.3998613554744437</v>
      </c>
      <c r="L696">
        <v>0</v>
      </c>
      <c r="M696">
        <v>1.6851224398343658E-3</v>
      </c>
      <c r="N696">
        <v>0.15032849754273298</v>
      </c>
      <c r="O696">
        <v>2.1380068241051452E-2</v>
      </c>
      <c r="P696">
        <v>2.816995528961614E-2</v>
      </c>
      <c r="Q696">
        <v>5.5577851465708639E-3</v>
      </c>
      <c r="R696">
        <v>1.6627354296181317E-3</v>
      </c>
      <c r="S696">
        <v>0.26859479168911249</v>
      </c>
      <c r="T696">
        <v>1.3428352255089799</v>
      </c>
      <c r="U696">
        <v>0.21684573172455954</v>
      </c>
      <c r="V696">
        <v>0.24625792446965894</v>
      </c>
      <c r="W696">
        <v>9.9143556157685775E-2</v>
      </c>
      <c r="X696">
        <v>1.6244788995855283E-2</v>
      </c>
      <c r="Y696">
        <v>4.5254177188334905E-3</v>
      </c>
    </row>
    <row r="697" spans="1:25" x14ac:dyDescent="0.2">
      <c r="A697" s="1077"/>
      <c r="B697" s="1444">
        <v>447</v>
      </c>
      <c r="C697" s="1081">
        <v>1.0026464723791269</v>
      </c>
      <c r="D697" s="1081">
        <v>1.0442200933144741</v>
      </c>
      <c r="E697" s="1081">
        <v>0.99637852272280003</v>
      </c>
      <c r="F697" s="1081">
        <v>0.9918483843590693</v>
      </c>
      <c r="G697" s="1081">
        <v>0.98513450443343265</v>
      </c>
      <c r="H697" s="1081">
        <v>1.0149879140550508</v>
      </c>
      <c r="I697" s="1081">
        <v>0.9847445789961321</v>
      </c>
      <c r="K697">
        <v>2.386876232621538</v>
      </c>
      <c r="L697">
        <v>0</v>
      </c>
      <c r="M697">
        <v>1.6586999884281577E-3</v>
      </c>
      <c r="N697">
        <v>0.14934262599725348</v>
      </c>
      <c r="O697">
        <v>2.0729531648798333E-2</v>
      </c>
      <c r="P697">
        <v>2.8094764619207166E-2</v>
      </c>
      <c r="Q697">
        <v>5.4047691148651081E-3</v>
      </c>
      <c r="R697">
        <v>1.6371288438770829E-3</v>
      </c>
      <c r="S697">
        <v>0.24979943176459965</v>
      </c>
      <c r="T697">
        <v>1.3603798694556639</v>
      </c>
      <c r="U697">
        <v>0.21140154106920486</v>
      </c>
      <c r="V697">
        <v>0.24284058485144966</v>
      </c>
      <c r="W697">
        <v>9.8319651731137131E-2</v>
      </c>
      <c r="X697">
        <v>1.6129308480254734E-2</v>
      </c>
      <c r="Y697">
        <v>4.4557250336550768E-3</v>
      </c>
    </row>
    <row r="698" spans="1:25" x14ac:dyDescent="0.2">
      <c r="A698" s="1077"/>
      <c r="B698" s="1444">
        <v>448</v>
      </c>
      <c r="C698" s="1081">
        <v>0.99967302335931241</v>
      </c>
      <c r="D698" s="1081">
        <v>0.99449226501931287</v>
      </c>
      <c r="E698" s="1081">
        <v>0.95675511004931058</v>
      </c>
      <c r="F698" s="1081">
        <v>1.0044129300810045</v>
      </c>
      <c r="G698" s="1081">
        <v>1.0164458308986022</v>
      </c>
      <c r="H698" s="1081">
        <v>1.0312197272650951</v>
      </c>
      <c r="I698" s="1081">
        <v>1.0019640510428169</v>
      </c>
      <c r="K698">
        <v>2.4212204487914764</v>
      </c>
      <c r="L698">
        <v>0</v>
      </c>
      <c r="M698">
        <v>1.8542696348955625E-3</v>
      </c>
      <c r="N698">
        <v>0.14811513841952545</v>
      </c>
      <c r="O698">
        <v>2.0989338007721479E-2</v>
      </c>
      <c r="P698">
        <v>2.7721903407999553E-2</v>
      </c>
      <c r="Q698">
        <v>5.256080483366286E-3</v>
      </c>
      <c r="R698">
        <v>1.8305347083303444E-3</v>
      </c>
      <c r="S698">
        <v>0.26223865223573589</v>
      </c>
      <c r="T698">
        <v>1.3767563364404878</v>
      </c>
      <c r="U698">
        <v>0.21189536807830878</v>
      </c>
      <c r="V698">
        <v>0.2485218830118042</v>
      </c>
      <c r="W698">
        <v>9.9879322212094612E-2</v>
      </c>
      <c r="X698">
        <v>1.4888049380523802E-2</v>
      </c>
      <c r="Y698">
        <v>4.9821120404707738E-3</v>
      </c>
    </row>
    <row r="699" spans="1:25" x14ac:dyDescent="0.2">
      <c r="A699" s="1077"/>
      <c r="B699" s="1444">
        <v>449</v>
      </c>
      <c r="C699" s="1081">
        <v>0.98874131668911225</v>
      </c>
      <c r="D699" s="1081">
        <v>0.98652862210527026</v>
      </c>
      <c r="E699" s="1081">
        <v>1.0051331641454959</v>
      </c>
      <c r="F699" s="1081">
        <v>1.0109723104752897</v>
      </c>
      <c r="G699" s="1081">
        <v>0.97787892376241836</v>
      </c>
      <c r="H699" s="1081">
        <v>0.99554059234897863</v>
      </c>
      <c r="I699" s="1081">
        <v>1.021967492617089</v>
      </c>
      <c r="K699">
        <v>2.440421459630377</v>
      </c>
      <c r="L699">
        <v>0</v>
      </c>
      <c r="M699">
        <v>1.6404899904547546E-3</v>
      </c>
      <c r="N699">
        <v>0.15162263242676652</v>
      </c>
      <c r="O699">
        <v>2.1291438782592292E-2</v>
      </c>
      <c r="P699">
        <v>2.8936350551163115E-2</v>
      </c>
      <c r="Q699">
        <v>5.6003201901235937E-3</v>
      </c>
      <c r="R699">
        <v>1.6187389102138622E-3</v>
      </c>
      <c r="S699">
        <v>0.26878657530232758</v>
      </c>
      <c r="T699">
        <v>1.3868009415896947</v>
      </c>
      <c r="U699">
        <v>0.2144048546831358</v>
      </c>
      <c r="V699">
        <v>0.24244620474213421</v>
      </c>
      <c r="W699">
        <v>9.9302953868836627E-2</v>
      </c>
      <c r="X699">
        <v>1.6845264877379116E-2</v>
      </c>
      <c r="Y699">
        <v>4.4056736964637935E-3</v>
      </c>
    </row>
    <row r="700" spans="1:25" x14ac:dyDescent="0.2">
      <c r="A700" s="1077"/>
      <c r="B700" s="1444">
        <v>450</v>
      </c>
      <c r="C700" s="1081">
        <v>1.0006776449811476</v>
      </c>
      <c r="D700" s="1081">
        <v>0.99098686736386277</v>
      </c>
      <c r="E700" s="1081">
        <v>1.0203991541156543</v>
      </c>
      <c r="F700" s="1081">
        <v>1.0360997209268807</v>
      </c>
      <c r="G700" s="1081">
        <v>1.0241647033943586</v>
      </c>
      <c r="H700" s="1081">
        <v>0.99481042833051603</v>
      </c>
      <c r="I700" s="1081">
        <v>0.98579630320881961</v>
      </c>
      <c r="K700">
        <v>2.4668353519724553</v>
      </c>
      <c r="L700">
        <v>0</v>
      </c>
      <c r="M700">
        <v>1.5675922348069116E-3</v>
      </c>
      <c r="N700">
        <v>0.1517158546683596</v>
      </c>
      <c r="O700">
        <v>2.1026776113013124E-2</v>
      </c>
      <c r="P700">
        <v>2.9627646068325617E-2</v>
      </c>
      <c r="Q700">
        <v>5.6156237288504099E-3</v>
      </c>
      <c r="R700">
        <v>1.5467924427739197E-3</v>
      </c>
      <c r="S700">
        <v>0.25566284620709906</v>
      </c>
      <c r="T700">
        <v>1.4216124202937834</v>
      </c>
      <c r="U700">
        <v>0.21189963081184654</v>
      </c>
      <c r="V700">
        <v>0.24954082082290668</v>
      </c>
      <c r="W700">
        <v>9.8475471203321882E-2</v>
      </c>
      <c r="X700">
        <v>1.7469202717738611E-2</v>
      </c>
      <c r="Y700">
        <v>4.2098591292388876E-3</v>
      </c>
    </row>
    <row r="701" spans="1:25" x14ac:dyDescent="0.2">
      <c r="A701" s="1077"/>
      <c r="B701" s="1444">
        <v>451</v>
      </c>
      <c r="C701" s="1081">
        <v>1.006916589629423</v>
      </c>
      <c r="D701" s="1081">
        <v>1.0166841489971463</v>
      </c>
      <c r="E701" s="1081">
        <v>1.0119864376394658</v>
      </c>
      <c r="F701" s="1081">
        <v>1.0244459259266854</v>
      </c>
      <c r="G701" s="1081">
        <v>0.99148923675508982</v>
      </c>
      <c r="H701" s="1081">
        <v>0.98700547176174491</v>
      </c>
      <c r="I701" s="1081">
        <v>1.0336207580577199</v>
      </c>
      <c r="K701">
        <v>2.4423257882867766</v>
      </c>
      <c r="L701">
        <v>0</v>
      </c>
      <c r="M701">
        <v>1.5641001786469244E-3</v>
      </c>
      <c r="N701">
        <v>0.14756761482150971</v>
      </c>
      <c r="O701">
        <v>2.0773593259358562E-2</v>
      </c>
      <c r="P701">
        <v>2.9213110317312382E-2</v>
      </c>
      <c r="Q701">
        <v>5.5017025263632844E-3</v>
      </c>
      <c r="R701">
        <v>1.5431826089986251E-3</v>
      </c>
      <c r="S701">
        <v>0.26226179126317883</v>
      </c>
      <c r="T701">
        <v>1.4054354763276933</v>
      </c>
      <c r="U701">
        <v>0.21055805183620432</v>
      </c>
      <c r="V701">
        <v>0.2436068577425208</v>
      </c>
      <c r="W701">
        <v>9.6256955411039763E-2</v>
      </c>
      <c r="X701">
        <v>1.6971517999559718E-2</v>
      </c>
      <c r="Y701">
        <v>4.200034351683919E-3</v>
      </c>
    </row>
    <row r="702" spans="1:25" x14ac:dyDescent="0.2">
      <c r="A702" s="1077"/>
      <c r="B702" s="1444">
        <v>452</v>
      </c>
      <c r="C702" s="1081">
        <v>0.96152126747347744</v>
      </c>
      <c r="D702" s="1081">
        <v>0.99515933644492194</v>
      </c>
      <c r="E702" s="1081">
        <v>0.96187452617322411</v>
      </c>
      <c r="F702" s="1081">
        <v>0.98984272796975947</v>
      </c>
      <c r="G702" s="1081">
        <v>0.96941511042386941</v>
      </c>
      <c r="H702" s="1081">
        <v>0.98482221753411425</v>
      </c>
      <c r="I702" s="1081">
        <v>0.99538863961966717</v>
      </c>
      <c r="K702">
        <v>2.4089171880492883</v>
      </c>
      <c r="L702">
        <v>0</v>
      </c>
      <c r="M702">
        <v>1.8215140713740551E-3</v>
      </c>
      <c r="N702">
        <v>0.14768317498742461</v>
      </c>
      <c r="O702">
        <v>2.1822458910849638E-2</v>
      </c>
      <c r="P702">
        <v>2.7665737619890451E-2</v>
      </c>
      <c r="Q702">
        <v>5.493548642907531E-3</v>
      </c>
      <c r="R702">
        <v>1.7970999605718234E-3</v>
      </c>
      <c r="S702">
        <v>0.26672244550193586</v>
      </c>
      <c r="T702">
        <v>1.3568935088718099</v>
      </c>
      <c r="U702">
        <v>0.22032114351185092</v>
      </c>
      <c r="V702">
        <v>0.24293713965024874</v>
      </c>
      <c r="W702">
        <v>9.9275576533588566E-2</v>
      </c>
      <c r="X702">
        <v>1.5235754250746542E-2</v>
      </c>
      <c r="Y702">
        <v>4.8911136788337157E-3</v>
      </c>
    </row>
    <row r="703" spans="1:25" x14ac:dyDescent="0.2">
      <c r="A703" s="1077"/>
      <c r="B703" s="1444">
        <v>453</v>
      </c>
      <c r="C703" s="1081">
        <v>0.99830256442484944</v>
      </c>
      <c r="D703" s="1081">
        <v>0.9906051798090082</v>
      </c>
      <c r="E703" s="1081">
        <v>1.0195449535219838</v>
      </c>
      <c r="F703" s="1081">
        <v>0.99562179071300805</v>
      </c>
      <c r="G703" s="1081">
        <v>1.0104276050619956</v>
      </c>
      <c r="H703" s="1081">
        <v>1.0166983545648967</v>
      </c>
      <c r="I703" s="1081">
        <v>0.99391800466615177</v>
      </c>
      <c r="K703">
        <v>2.4194534582894072</v>
      </c>
      <c r="L703">
        <v>0</v>
      </c>
      <c r="M703">
        <v>1.608887149626304E-3</v>
      </c>
      <c r="N703">
        <v>0.15535670527027814</v>
      </c>
      <c r="O703">
        <v>2.1078016881581417E-2</v>
      </c>
      <c r="P703">
        <v>2.8880537665977209E-2</v>
      </c>
      <c r="Q703">
        <v>5.6245301632775807E-3</v>
      </c>
      <c r="R703">
        <v>1.5879990139060498E-3</v>
      </c>
      <c r="S703">
        <v>0.26028419424013577</v>
      </c>
      <c r="T703">
        <v>1.3660549675795246</v>
      </c>
      <c r="U703">
        <v>0.21240083149759714</v>
      </c>
      <c r="V703">
        <v>0.24734768169584515</v>
      </c>
      <c r="W703">
        <v>0.1008890764726296</v>
      </c>
      <c r="X703">
        <v>1.7235795126161801E-2</v>
      </c>
      <c r="Y703">
        <v>4.3220098321180228E-3</v>
      </c>
    </row>
    <row r="704" spans="1:25" x14ac:dyDescent="0.2">
      <c r="A704" s="1077"/>
      <c r="B704" s="1444">
        <v>454</v>
      </c>
      <c r="C704" s="1081">
        <v>0.95652267475381292</v>
      </c>
      <c r="D704" s="1081">
        <v>1.0107304184118648</v>
      </c>
      <c r="E704" s="1081">
        <v>1.0437296769854902</v>
      </c>
      <c r="F704" s="1081">
        <v>1.0064462700565189</v>
      </c>
      <c r="G704" s="1081">
        <v>0.99753712668873962</v>
      </c>
      <c r="H704" s="1081">
        <v>1.0073198415978031</v>
      </c>
      <c r="I704" s="1081">
        <v>0.9782858793046757</v>
      </c>
      <c r="K704">
        <v>2.4639307062454252</v>
      </c>
      <c r="L704">
        <v>0</v>
      </c>
      <c r="M704">
        <v>1.574904987013065E-3</v>
      </c>
      <c r="N704">
        <v>0.16355534310416356</v>
      </c>
      <c r="O704">
        <v>2.1918379227669621E-2</v>
      </c>
      <c r="P704">
        <v>2.9799918691986168E-2</v>
      </c>
      <c r="Q704">
        <v>5.9901855494621983E-3</v>
      </c>
      <c r="R704">
        <v>1.5542676722517439E-3</v>
      </c>
      <c r="S704">
        <v>0.26409766511016913</v>
      </c>
      <c r="T704">
        <v>1.3814364980050706</v>
      </c>
      <c r="U704">
        <v>0.2217651103005952</v>
      </c>
      <c r="V704">
        <v>0.24779592167081391</v>
      </c>
      <c r="W704">
        <v>0.10473448134903152</v>
      </c>
      <c r="X704">
        <v>1.8627636311554306E-2</v>
      </c>
      <c r="Y704">
        <v>4.2302042396687896E-3</v>
      </c>
    </row>
    <row r="705" spans="1:25" x14ac:dyDescent="0.2">
      <c r="A705" s="1077"/>
      <c r="B705" s="1444">
        <v>455</v>
      </c>
      <c r="C705" s="1081">
        <v>1.004050432567767</v>
      </c>
      <c r="D705" s="1081">
        <v>0.96690825913057765</v>
      </c>
      <c r="E705" s="1081">
        <v>1.0136347236517236</v>
      </c>
      <c r="F705" s="1081">
        <v>0.98945574364582989</v>
      </c>
      <c r="G705" s="1081">
        <v>1.0156892756166056</v>
      </c>
      <c r="H705" s="1081">
        <v>1.0070263157314039</v>
      </c>
      <c r="I705" s="1081">
        <v>0.9528761300672508</v>
      </c>
      <c r="K705">
        <v>2.3958131502570303</v>
      </c>
      <c r="L705">
        <v>0</v>
      </c>
      <c r="M705">
        <v>1.6126204510940373E-3</v>
      </c>
      <c r="N705">
        <v>0.15294537686579987</v>
      </c>
      <c r="O705">
        <v>2.1065338351381486E-2</v>
      </c>
      <c r="P705">
        <v>2.849024692563993E-2</v>
      </c>
      <c r="Q705">
        <v>5.5881543595692812E-3</v>
      </c>
      <c r="R705">
        <v>1.5914827592697113E-3</v>
      </c>
      <c r="S705">
        <v>0.25030796841858072</v>
      </c>
      <c r="T705">
        <v>1.3574678731483205</v>
      </c>
      <c r="U705">
        <v>0.21116473231676555</v>
      </c>
      <c r="V705">
        <v>0.24790910489192308</v>
      </c>
      <c r="W705">
        <v>9.966811299861493E-2</v>
      </c>
      <c r="X705">
        <v>1.6895888233676618E-2</v>
      </c>
      <c r="Y705">
        <v>4.3314914385815572E-3</v>
      </c>
    </row>
    <row r="706" spans="1:25" x14ac:dyDescent="0.2">
      <c r="A706" s="1077"/>
      <c r="B706" s="1444">
        <v>456</v>
      </c>
      <c r="C706" s="1081">
        <v>0.97142193787967479</v>
      </c>
      <c r="D706" s="1081">
        <v>0.95938914946294762</v>
      </c>
      <c r="E706" s="1081">
        <v>1.0045027579740549</v>
      </c>
      <c r="F706" s="1081">
        <v>0.97920364325241993</v>
      </c>
      <c r="G706" s="1081">
        <v>0.97283164270588385</v>
      </c>
      <c r="H706" s="1081">
        <v>0.97157670563598275</v>
      </c>
      <c r="I706" s="1081">
        <v>1.0474996866811797</v>
      </c>
      <c r="K706">
        <v>2.4142197080495129</v>
      </c>
      <c r="L706">
        <v>0</v>
      </c>
      <c r="M706">
        <v>1.6417237745589941E-3</v>
      </c>
      <c r="N706">
        <v>0.15139785214812657</v>
      </c>
      <c r="O706">
        <v>2.180401123818235E-2</v>
      </c>
      <c r="P706">
        <v>2.8565124318067875E-2</v>
      </c>
      <c r="Q706">
        <v>5.7315195406275783E-3</v>
      </c>
      <c r="R706">
        <v>1.6194194430095739E-3</v>
      </c>
      <c r="S706">
        <v>0.28216548842594014</v>
      </c>
      <c r="T706">
        <v>1.3432089186131242</v>
      </c>
      <c r="U706">
        <v>0.21822523618744843</v>
      </c>
      <c r="V706">
        <v>0.24271171818215126</v>
      </c>
      <c r="W706">
        <v>9.9192754912676415E-2</v>
      </c>
      <c r="X706">
        <v>1.6831862932320554E-2</v>
      </c>
      <c r="Y706">
        <v>4.4075258823961455E-3</v>
      </c>
    </row>
    <row r="707" spans="1:25" x14ac:dyDescent="0.2">
      <c r="A707" s="1077"/>
      <c r="B707" s="1444">
        <v>457</v>
      </c>
      <c r="C707" s="1081">
        <v>0.97019315631776781</v>
      </c>
      <c r="D707" s="1081">
        <v>1.001137668242241</v>
      </c>
      <c r="E707" s="1081">
        <v>0.98363368152274999</v>
      </c>
      <c r="F707" s="1081">
        <v>0.9976651265667682</v>
      </c>
      <c r="G707" s="1081">
        <v>0.96696064139947391</v>
      </c>
      <c r="H707" s="1081">
        <v>1.0001658712478627</v>
      </c>
      <c r="I707" s="1081">
        <v>0.96614583862079395</v>
      </c>
      <c r="K707">
        <v>2.4138186969393534</v>
      </c>
      <c r="L707">
        <v>0</v>
      </c>
      <c r="M707">
        <v>1.7504818701646375E-3</v>
      </c>
      <c r="N707">
        <v>0.15161912723601512</v>
      </c>
      <c r="O707">
        <v>2.1613738982345015E-2</v>
      </c>
      <c r="P707">
        <v>2.8112944685577557E-2</v>
      </c>
      <c r="Q707">
        <v>5.5631780378566547E-3</v>
      </c>
      <c r="R707">
        <v>1.7273797518069219E-3</v>
      </c>
      <c r="S707">
        <v>0.25727583528384662</v>
      </c>
      <c r="T707">
        <v>1.3680834377812534</v>
      </c>
      <c r="U707">
        <v>0.21842816802789536</v>
      </c>
      <c r="V707">
        <v>0.24186188007060411</v>
      </c>
      <c r="W707">
        <v>0.10058340931551912</v>
      </c>
      <c r="X707">
        <v>1.5998721382960344E-2</v>
      </c>
      <c r="Y707">
        <v>4.7013582538362967E-3</v>
      </c>
    </row>
    <row r="708" spans="1:25" x14ac:dyDescent="0.2">
      <c r="A708" s="1077"/>
      <c r="B708" s="1444">
        <v>458</v>
      </c>
      <c r="C708" s="1081">
        <v>1.0325657766603611</v>
      </c>
      <c r="D708" s="1081">
        <v>1.0271090274785368</v>
      </c>
      <c r="E708" s="1081">
        <v>0.99802318843962634</v>
      </c>
      <c r="F708" s="1081">
        <v>1.0026421528219733</v>
      </c>
      <c r="G708" s="1081">
        <v>1.0244594000799836</v>
      </c>
      <c r="H708" s="1081">
        <v>1.0036330560933648</v>
      </c>
      <c r="I708" s="1081">
        <v>0.98220020292324695</v>
      </c>
      <c r="K708">
        <v>2.3841839219723195</v>
      </c>
      <c r="L708">
        <v>0</v>
      </c>
      <c r="M708">
        <v>1.5929776134044847E-3</v>
      </c>
      <c r="N708">
        <v>0.14411834738312568</v>
      </c>
      <c r="O708">
        <v>2.0203228906825785E-2</v>
      </c>
      <c r="P708">
        <v>2.8222560634424704E-2</v>
      </c>
      <c r="Q708">
        <v>5.2762762141672801E-3</v>
      </c>
      <c r="R708">
        <v>1.5720267978245623E-3</v>
      </c>
      <c r="S708">
        <v>0.24302034505439052</v>
      </c>
      <c r="T708">
        <v>1.3752198188856133</v>
      </c>
      <c r="U708">
        <v>0.20528147802047347</v>
      </c>
      <c r="V708">
        <v>0.24774764248950665</v>
      </c>
      <c r="W708">
        <v>9.4787345112590293E-2</v>
      </c>
      <c r="X708">
        <v>1.6049291361595629E-2</v>
      </c>
      <c r="Y708">
        <v>4.2785387251838307E-3</v>
      </c>
    </row>
    <row r="709" spans="1:25" x14ac:dyDescent="0.2">
      <c r="A709" s="1077"/>
      <c r="B709" s="1444">
        <v>459</v>
      </c>
      <c r="C709" s="1081">
        <v>0.98507340572040625</v>
      </c>
      <c r="D709" s="1081">
        <v>1.0132250185818206</v>
      </c>
      <c r="E709" s="1081">
        <v>0.98453714787973767</v>
      </c>
      <c r="F709" s="1081">
        <v>0.99115329788547024</v>
      </c>
      <c r="G709" s="1081">
        <v>0.97131596463715486</v>
      </c>
      <c r="H709" s="1081">
        <v>0.99569524136628007</v>
      </c>
      <c r="I709" s="1081">
        <v>1.0220236913957674</v>
      </c>
      <c r="K709">
        <v>2.4040200581017226</v>
      </c>
      <c r="L709">
        <v>0</v>
      </c>
      <c r="M709">
        <v>1.708610620731222E-3</v>
      </c>
      <c r="N709">
        <v>0.14838849157469472</v>
      </c>
      <c r="O709">
        <v>2.1231722814368102E-2</v>
      </c>
      <c r="P709">
        <v>2.8082835164746044E-2</v>
      </c>
      <c r="Q709">
        <v>5.4698597583772452E-3</v>
      </c>
      <c r="R709">
        <v>1.6859598549939226E-3</v>
      </c>
      <c r="S709">
        <v>0.26605561464261868</v>
      </c>
      <c r="T709">
        <v>1.3591731676884391</v>
      </c>
      <c r="U709">
        <v>0.21513177895011851</v>
      </c>
      <c r="V709">
        <v>0.24163163179322689</v>
      </c>
      <c r="W709">
        <v>9.8386706557182832E-2</v>
      </c>
      <c r="X709">
        <v>1.5902272974911796E-2</v>
      </c>
      <c r="Y709">
        <v>4.588626948776626E-3</v>
      </c>
    </row>
    <row r="710" spans="1:25" x14ac:dyDescent="0.2">
      <c r="A710" s="1077"/>
      <c r="B710" s="1444">
        <v>460</v>
      </c>
      <c r="C710" s="1081">
        <v>0.98537761750488584</v>
      </c>
      <c r="D710" s="1081">
        <v>1.0117189266629818</v>
      </c>
      <c r="E710" s="1081">
        <v>0.98090784174841139</v>
      </c>
      <c r="F710" s="1081">
        <v>1.0136348923042442</v>
      </c>
      <c r="G710" s="1081">
        <v>1.0315799273141542</v>
      </c>
      <c r="H710" s="1081">
        <v>1.0267957943512225</v>
      </c>
      <c r="I710" s="1081">
        <v>1.0046490608724343</v>
      </c>
      <c r="K710">
        <v>2.4510572717168833</v>
      </c>
      <c r="L710">
        <v>0</v>
      </c>
      <c r="M710">
        <v>1.7752904261163903E-3</v>
      </c>
      <c r="N710">
        <v>0.15255806365995997</v>
      </c>
      <c r="O710">
        <v>2.1229683851429506E-2</v>
      </c>
      <c r="P710">
        <v>2.8533159706217347E-2</v>
      </c>
      <c r="Q710">
        <v>5.4492266589660499E-3</v>
      </c>
      <c r="R710">
        <v>1.7524685392458694E-3</v>
      </c>
      <c r="S710">
        <v>0.26430507694802197</v>
      </c>
      <c r="T710">
        <v>1.3899230002446104</v>
      </c>
      <c r="U710">
        <v>0.21505280708484581</v>
      </c>
      <c r="V710">
        <v>0.25192165337816463</v>
      </c>
      <c r="W710">
        <v>0.10137271055257772</v>
      </c>
      <c r="X710">
        <v>1.5965069856230595E-2</v>
      </c>
      <c r="Y710">
        <v>4.7696416627285541E-3</v>
      </c>
    </row>
    <row r="711" spans="1:25" x14ac:dyDescent="0.2">
      <c r="A711" s="1077"/>
      <c r="B711" s="1444">
        <v>461</v>
      </c>
      <c r="C711" s="1081">
        <v>1.0132252879037216</v>
      </c>
      <c r="D711" s="1081">
        <v>0.98274851285315967</v>
      </c>
      <c r="E711" s="1081">
        <v>0.98426636436395132</v>
      </c>
      <c r="F711" s="1081">
        <v>1.0013684907298404</v>
      </c>
      <c r="G711" s="1081">
        <v>1.0283016924711712</v>
      </c>
      <c r="H711" s="1081">
        <v>0.99865603730503061</v>
      </c>
      <c r="I711" s="1081">
        <v>1.0353641858815881</v>
      </c>
      <c r="K711">
        <v>2.4152488689720739</v>
      </c>
      <c r="L711">
        <v>0</v>
      </c>
      <c r="M711">
        <v>1.6782493581095253E-3</v>
      </c>
      <c r="N711">
        <v>0.14563816715361258</v>
      </c>
      <c r="O711">
        <v>2.0780790797915456E-2</v>
      </c>
      <c r="P711">
        <v>2.8296650583679341E-2</v>
      </c>
      <c r="Q711">
        <v>5.3522179501499165E-3</v>
      </c>
      <c r="R711">
        <v>1.6560670478033164E-3</v>
      </c>
      <c r="S711">
        <v>0.26633985438475977</v>
      </c>
      <c r="T711">
        <v>1.3731754637329372</v>
      </c>
      <c r="U711">
        <v>0.2091535548955098</v>
      </c>
      <c r="V711">
        <v>0.24960901228366666</v>
      </c>
      <c r="W711">
        <v>9.6578881172622602E-2</v>
      </c>
      <c r="X711">
        <v>1.5839189745761418E-2</v>
      </c>
      <c r="Y711">
        <v>4.507268581765039E-3</v>
      </c>
    </row>
    <row r="712" spans="1:25" x14ac:dyDescent="0.2">
      <c r="A712" s="1077"/>
      <c r="B712" s="1444">
        <v>462</v>
      </c>
      <c r="C712" s="1081">
        <v>0.99132690070178242</v>
      </c>
      <c r="D712" s="1081">
        <v>0.98966602544280013</v>
      </c>
      <c r="E712" s="1081">
        <v>0.99632351690208554</v>
      </c>
      <c r="F712" s="1081">
        <v>1.011668141838705</v>
      </c>
      <c r="G712" s="1081">
        <v>1.0188425450029308</v>
      </c>
      <c r="H712" s="1081">
        <v>0.99176336047596181</v>
      </c>
      <c r="I712" s="1081">
        <v>1.0158503340857636</v>
      </c>
      <c r="K712">
        <v>2.4403958437600859</v>
      </c>
      <c r="L712">
        <v>0</v>
      </c>
      <c r="M712">
        <v>1.658907758186539E-3</v>
      </c>
      <c r="N712">
        <v>0.14929042841187387</v>
      </c>
      <c r="O712">
        <v>2.1215165214107295E-2</v>
      </c>
      <c r="P712">
        <v>2.8800118672308309E-2</v>
      </c>
      <c r="Q712">
        <v>5.5310809336761415E-3</v>
      </c>
      <c r="R712">
        <v>1.6368287074810643E-3</v>
      </c>
      <c r="S712">
        <v>0.26565169636831787</v>
      </c>
      <c r="T712">
        <v>1.3875626593330783</v>
      </c>
      <c r="U712">
        <v>0.21381526249689073</v>
      </c>
      <c r="V712">
        <v>0.24930825986053132</v>
      </c>
      <c r="W712">
        <v>9.8288509986668313E-2</v>
      </c>
      <c r="X712">
        <v>1.64998333720115E-2</v>
      </c>
      <c r="Y712">
        <v>4.4549081613250519E-3</v>
      </c>
    </row>
    <row r="713" spans="1:25" x14ac:dyDescent="0.2">
      <c r="A713" s="1077"/>
      <c r="B713" s="1444">
        <v>463</v>
      </c>
      <c r="C713" s="1081">
        <v>0.98435590501178227</v>
      </c>
      <c r="D713" s="1081">
        <v>1.0028410654119448</v>
      </c>
      <c r="E713" s="1081">
        <v>1.000587014734462</v>
      </c>
      <c r="F713" s="1081">
        <v>1.0015018402835743</v>
      </c>
      <c r="G713" s="1081">
        <v>0.96566430120444025</v>
      </c>
      <c r="H713" s="1081">
        <v>0.97965042881776598</v>
      </c>
      <c r="I713" s="1081">
        <v>0.99685844742932195</v>
      </c>
      <c r="K713">
        <v>2.4120935866011197</v>
      </c>
      <c r="L713">
        <v>0</v>
      </c>
      <c r="M713">
        <v>1.6309723615665452E-3</v>
      </c>
      <c r="N713">
        <v>0.14865470053892088</v>
      </c>
      <c r="O713">
        <v>2.1306207235256714E-2</v>
      </c>
      <c r="P713">
        <v>2.8525547383193083E-2</v>
      </c>
      <c r="Q713">
        <v>5.5786939749297368E-3</v>
      </c>
      <c r="R713">
        <v>1.6089967137193383E-3</v>
      </c>
      <c r="S713">
        <v>0.2597862803158516</v>
      </c>
      <c r="T713">
        <v>1.3737112975833043</v>
      </c>
      <c r="U713">
        <v>0.21534425760968121</v>
      </c>
      <c r="V713">
        <v>0.24065718213160897</v>
      </c>
      <c r="W713">
        <v>9.7621975517567183E-2</v>
      </c>
      <c r="X713">
        <v>1.6550261309532962E-2</v>
      </c>
      <c r="Y713">
        <v>4.3791586491199108E-3</v>
      </c>
    </row>
    <row r="714" spans="1:25" x14ac:dyDescent="0.2">
      <c r="A714" s="1077"/>
      <c r="B714" s="1444">
        <v>464</v>
      </c>
      <c r="C714" s="1081">
        <v>1.0254711249210771</v>
      </c>
      <c r="D714" s="1081">
        <v>0.99826271541218747</v>
      </c>
      <c r="E714" s="1081">
        <v>1.0397484458077511</v>
      </c>
      <c r="F714" s="1081">
        <v>0.97514414319206555</v>
      </c>
      <c r="G714" s="1081">
        <v>0.98508715074661601</v>
      </c>
      <c r="H714" s="1081">
        <v>1.0009024554174157</v>
      </c>
      <c r="I714" s="1081">
        <v>0.99531360551799719</v>
      </c>
      <c r="K714">
        <v>2.3629756814135536</v>
      </c>
      <c r="L714">
        <v>0</v>
      </c>
      <c r="M714">
        <v>1.4758615323719612E-3</v>
      </c>
      <c r="N714">
        <v>0.15142975532785932</v>
      </c>
      <c r="O714">
        <v>2.0497987772220748E-2</v>
      </c>
      <c r="P714">
        <v>2.8633784012685234E-2</v>
      </c>
      <c r="Q714">
        <v>5.5801329924616457E-3</v>
      </c>
      <c r="R714">
        <v>1.4563980710250264E-3</v>
      </c>
      <c r="S714">
        <v>0.25162482111483864</v>
      </c>
      <c r="T714">
        <v>1.3383869222001399</v>
      </c>
      <c r="U714">
        <v>0.20684118568527293</v>
      </c>
      <c r="V714">
        <v>0.24129697802293171</v>
      </c>
      <c r="W714">
        <v>9.7192026589118491E-2</v>
      </c>
      <c r="X714">
        <v>1.754771570953512E-2</v>
      </c>
      <c r="Y714">
        <v>3.9638354478350388E-3</v>
      </c>
    </row>
    <row r="715" spans="1:25" x14ac:dyDescent="0.2">
      <c r="A715" s="1077"/>
      <c r="B715" s="1444">
        <v>465</v>
      </c>
      <c r="C715" s="1081">
        <v>1.0301995734837126</v>
      </c>
      <c r="D715" s="1081">
        <v>0.97821181123020418</v>
      </c>
      <c r="E715" s="1081">
        <v>0.98022169663428227</v>
      </c>
      <c r="F715" s="1081">
        <v>1.0160165772043697</v>
      </c>
      <c r="G715" s="1081">
        <v>1.0330393667139721</v>
      </c>
      <c r="H715" s="1081">
        <v>0.98632327145637888</v>
      </c>
      <c r="I715" s="1081">
        <v>0.99309712366656622</v>
      </c>
      <c r="K715">
        <v>2.4078033051334127</v>
      </c>
      <c r="L715">
        <v>0</v>
      </c>
      <c r="M715">
        <v>1.6455841822032421E-3</v>
      </c>
      <c r="N715">
        <v>0.14104319872052323</v>
      </c>
      <c r="O715">
        <v>2.0456596915813828E-2</v>
      </c>
      <c r="P715">
        <v>2.8220893020330158E-2</v>
      </c>
      <c r="Q715">
        <v>5.247131560401107E-3</v>
      </c>
      <c r="R715">
        <v>1.6235616607108057E-3</v>
      </c>
      <c r="S715">
        <v>0.25079597584682434</v>
      </c>
      <c r="T715">
        <v>1.3931738121914508</v>
      </c>
      <c r="U715">
        <v>0.20569401313422361</v>
      </c>
      <c r="V715">
        <v>0.24941958924787033</v>
      </c>
      <c r="W715">
        <v>9.3760063373453925E-2</v>
      </c>
      <c r="X715">
        <v>1.5595254010514936E-2</v>
      </c>
      <c r="Y715">
        <v>4.4187996334972002E-3</v>
      </c>
    </row>
    <row r="716" spans="1:25" x14ac:dyDescent="0.2">
      <c r="A716" s="1077"/>
      <c r="B716" s="1444">
        <v>466</v>
      </c>
      <c r="C716" s="1081">
        <v>1.0034885432618614</v>
      </c>
      <c r="D716" s="1081">
        <v>0.98646728006110274</v>
      </c>
      <c r="E716" s="1081">
        <v>0.99704227482278029</v>
      </c>
      <c r="F716" s="1081">
        <v>1.0304920556280532</v>
      </c>
      <c r="G716" s="1081">
        <v>0.9854459207785643</v>
      </c>
      <c r="H716" s="1081">
        <v>0.99815191550238691</v>
      </c>
      <c r="I716" s="1081">
        <v>1.0009638940080179</v>
      </c>
      <c r="K716">
        <v>2.4498166460442596</v>
      </c>
      <c r="L716">
        <v>0</v>
      </c>
      <c r="M716">
        <v>1.6480767951922656E-3</v>
      </c>
      <c r="N716">
        <v>0.14865104740911814</v>
      </c>
      <c r="O716">
        <v>2.0973459596739148E-2</v>
      </c>
      <c r="P716">
        <v>2.8961059636683262E-2</v>
      </c>
      <c r="Q716">
        <v>5.4720242712361835E-3</v>
      </c>
      <c r="R716">
        <v>1.6262822897533599E-3</v>
      </c>
      <c r="S716">
        <v>0.2595575026469587</v>
      </c>
      <c r="T716">
        <v>1.4133967786007224</v>
      </c>
      <c r="U716">
        <v>0.21122640464357131</v>
      </c>
      <c r="V716">
        <v>0.24283921264576189</v>
      </c>
      <c r="W716">
        <v>9.7825651216152276E-2</v>
      </c>
      <c r="X716">
        <v>1.6509095593857451E-2</v>
      </c>
      <c r="Y716">
        <v>4.4262042888959102E-3</v>
      </c>
    </row>
    <row r="717" spans="1:25" x14ac:dyDescent="0.2">
      <c r="A717" s="1077"/>
      <c r="B717" s="1444">
        <v>467</v>
      </c>
      <c r="C717" s="1081">
        <v>1.0106896954187754</v>
      </c>
      <c r="D717" s="1081">
        <v>0.96846413127141229</v>
      </c>
      <c r="E717" s="1081">
        <v>0.9662119330830985</v>
      </c>
      <c r="F717" s="1081">
        <v>0.99270227836515312</v>
      </c>
      <c r="G717" s="1081">
        <v>0.99422221101517028</v>
      </c>
      <c r="H717" s="1081">
        <v>1.0364183786956906</v>
      </c>
      <c r="I717" s="1081">
        <v>0.9712047508436541</v>
      </c>
      <c r="K717">
        <v>2.3931378195042199</v>
      </c>
      <c r="L717">
        <v>0</v>
      </c>
      <c r="M717">
        <v>1.8182925828323347E-3</v>
      </c>
      <c r="N717">
        <v>0.14947275823281606</v>
      </c>
      <c r="O717">
        <v>2.0888248639523255E-2</v>
      </c>
      <c r="P717">
        <v>2.7531256147515625E-2</v>
      </c>
      <c r="Q717">
        <v>5.2818131166525268E-3</v>
      </c>
      <c r="R717">
        <v>1.7951349118191877E-3</v>
      </c>
      <c r="S717">
        <v>0.25527927274514689</v>
      </c>
      <c r="T717">
        <v>1.3609058526338007</v>
      </c>
      <c r="U717">
        <v>0.20961745724057862</v>
      </c>
      <c r="V717">
        <v>0.24400712964896065</v>
      </c>
      <c r="W717">
        <v>0.10021241212916235</v>
      </c>
      <c r="X717">
        <v>1.5079011177169076E-2</v>
      </c>
      <c r="Y717">
        <v>4.8857654639071881E-3</v>
      </c>
    </row>
    <row r="718" spans="1:25" x14ac:dyDescent="0.2">
      <c r="A718" s="1077"/>
      <c r="B718" s="1444">
        <v>468</v>
      </c>
      <c r="C718" s="1081">
        <v>0.99271005846155913</v>
      </c>
      <c r="D718" s="1081">
        <v>1.0122708364617001</v>
      </c>
      <c r="E718" s="1081">
        <v>0.96193054414074486</v>
      </c>
      <c r="F718" s="1081">
        <v>1.0242168389693591</v>
      </c>
      <c r="G718" s="1081">
        <v>0.97116584557217112</v>
      </c>
      <c r="H718" s="1081">
        <v>1.0084122592093527</v>
      </c>
      <c r="I718" s="1081">
        <v>0.97502482792902767</v>
      </c>
      <c r="K718">
        <v>2.4298952085556813</v>
      </c>
      <c r="L718">
        <v>0</v>
      </c>
      <c r="M718">
        <v>1.7995761160939311E-3</v>
      </c>
      <c r="N718">
        <v>0.14597564954340278</v>
      </c>
      <c r="O718">
        <v>2.1057752627583522E-2</v>
      </c>
      <c r="P718">
        <v>2.7993099135822066E-2</v>
      </c>
      <c r="Q718">
        <v>5.3013476792426991E-3</v>
      </c>
      <c r="R718">
        <v>1.7760202909286947E-3</v>
      </c>
      <c r="S718">
        <v>0.25286568850454499</v>
      </c>
      <c r="T718">
        <v>1.4040153649261145</v>
      </c>
      <c r="U718">
        <v>0.21339932404044454</v>
      </c>
      <c r="V718">
        <v>0.24119876355538014</v>
      </c>
      <c r="W718">
        <v>9.8124376714452441E-2</v>
      </c>
      <c r="X718">
        <v>1.5153655886881735E-2</v>
      </c>
      <c r="Y718">
        <v>4.8337417669763504E-3</v>
      </c>
    </row>
    <row r="719" spans="1:25" x14ac:dyDescent="0.2">
      <c r="A719" s="1077"/>
      <c r="B719" s="1444">
        <v>469</v>
      </c>
      <c r="C719" s="1081">
        <v>1.0113428810877025</v>
      </c>
      <c r="D719" s="1081">
        <v>1.0014790007272254</v>
      </c>
      <c r="E719" s="1081">
        <v>1.0303360905763523</v>
      </c>
      <c r="F719" s="1081">
        <v>1.0000537782239889</v>
      </c>
      <c r="G719" s="1081">
        <v>0.98932274072772985</v>
      </c>
      <c r="H719" s="1081">
        <v>0.95880011982726077</v>
      </c>
      <c r="I719" s="1081">
        <v>0.97296113183644195</v>
      </c>
      <c r="K719">
        <v>2.3865667730866571</v>
      </c>
      <c r="L719">
        <v>0</v>
      </c>
      <c r="M719">
        <v>1.4609114990536765E-3</v>
      </c>
      <c r="N719">
        <v>0.1456184350140062</v>
      </c>
      <c r="O719">
        <v>2.0763429816574672E-2</v>
      </c>
      <c r="P719">
        <v>2.8890517588962841E-2</v>
      </c>
      <c r="Q719">
        <v>5.6001808141116684E-3</v>
      </c>
      <c r="R719">
        <v>1.4407991847984836E-3</v>
      </c>
      <c r="S719">
        <v>0.24548655500047431</v>
      </c>
      <c r="T719">
        <v>1.3723704743001217</v>
      </c>
      <c r="U719">
        <v>0.20969873313310941</v>
      </c>
      <c r="V719">
        <v>0.24290216330315723</v>
      </c>
      <c r="W719">
        <v>9.3972168514493512E-2</v>
      </c>
      <c r="X719">
        <v>1.7362847494201392E-2</v>
      </c>
      <c r="Y719">
        <v>3.9213804216978523E-3</v>
      </c>
    </row>
    <row r="720" spans="1:25" x14ac:dyDescent="0.2">
      <c r="A720" s="1077"/>
      <c r="B720" s="1444">
        <v>470</v>
      </c>
      <c r="C720" s="1081">
        <v>0.9706252927272232</v>
      </c>
      <c r="D720" s="1081">
        <v>0.9934551800700282</v>
      </c>
      <c r="E720" s="1081">
        <v>1.0266738061585017</v>
      </c>
      <c r="F720" s="1081">
        <v>0.98443735528952891</v>
      </c>
      <c r="G720" s="1081">
        <v>0.97623863834689872</v>
      </c>
      <c r="H720" s="1081">
        <v>1.0422017596802253</v>
      </c>
      <c r="I720" s="1081">
        <v>0.97183266880004937</v>
      </c>
      <c r="K720">
        <v>2.4262524777352685</v>
      </c>
      <c r="L720">
        <v>0</v>
      </c>
      <c r="M720">
        <v>1.6702311079136423E-3</v>
      </c>
      <c r="N720">
        <v>0.16483850010270618</v>
      </c>
      <c r="O720">
        <v>2.1670255184081475E-2</v>
      </c>
      <c r="P720">
        <v>2.889416346659588E-2</v>
      </c>
      <c r="Q720">
        <v>5.8236217660639729E-3</v>
      </c>
      <c r="R720">
        <v>1.6490771817367169E-3</v>
      </c>
      <c r="S720">
        <v>0.26361788012819576</v>
      </c>
      <c r="T720">
        <v>1.350861699904198</v>
      </c>
      <c r="U720">
        <v>0.21848261123686527</v>
      </c>
      <c r="V720">
        <v>0.24327119389784091</v>
      </c>
      <c r="W720">
        <v>0.10660212947327294</v>
      </c>
      <c r="X720">
        <v>1.7723332031084782E-2</v>
      </c>
      <c r="Y720">
        <v>4.4882444705404839E-3</v>
      </c>
    </row>
    <row r="721" spans="1:25" x14ac:dyDescent="0.2">
      <c r="A721" s="1077"/>
      <c r="B721" s="1444">
        <v>471</v>
      </c>
      <c r="C721" s="1081">
        <v>0.98663076760739021</v>
      </c>
      <c r="D721" s="1081">
        <v>1.0430736651408457</v>
      </c>
      <c r="E721" s="1081">
        <v>1.0016726229501371</v>
      </c>
      <c r="F721" s="1081">
        <v>0.99547010181309137</v>
      </c>
      <c r="G721" s="1081">
        <v>1.022241144933915</v>
      </c>
      <c r="H721" s="1081">
        <v>1.0084112519835404</v>
      </c>
      <c r="I721" s="1081">
        <v>0.9872984574184096</v>
      </c>
      <c r="K721">
        <v>2.4116903975169413</v>
      </c>
      <c r="L721">
        <v>0</v>
      </c>
      <c r="M721">
        <v>1.6568159394277197E-3</v>
      </c>
      <c r="N721">
        <v>0.15156529025160911</v>
      </c>
      <c r="O721">
        <v>2.1074647741465297E-2</v>
      </c>
      <c r="P721">
        <v>2.8481887394536144E-2</v>
      </c>
      <c r="Q721">
        <v>5.524084777643057E-3</v>
      </c>
      <c r="R721">
        <v>1.6351287736374586E-3</v>
      </c>
      <c r="S721">
        <v>0.25413878637043086</v>
      </c>
      <c r="T721">
        <v>1.365461234480597</v>
      </c>
      <c r="U721">
        <v>0.21485150277781059</v>
      </c>
      <c r="V721">
        <v>0.25016857871840942</v>
      </c>
      <c r="W721">
        <v>9.9469224676984658E-2</v>
      </c>
      <c r="X721">
        <v>1.652656599145488E-2</v>
      </c>
      <c r="Y721">
        <v>4.4502815017857982E-3</v>
      </c>
    </row>
    <row r="722" spans="1:25" x14ac:dyDescent="0.2">
      <c r="A722" s="1077"/>
      <c r="B722" s="1444">
        <v>472</v>
      </c>
      <c r="C722" s="1081">
        <v>1.013491771674446</v>
      </c>
      <c r="D722" s="1081">
        <v>0.97744319528881207</v>
      </c>
      <c r="E722" s="1081">
        <v>1.010975134994897</v>
      </c>
      <c r="F722" s="1081">
        <v>0.99361229412237728</v>
      </c>
      <c r="G722" s="1081">
        <v>0.99381931998705164</v>
      </c>
      <c r="H722" s="1081">
        <v>0.9653298468175624</v>
      </c>
      <c r="I722" s="1081">
        <v>0.97728842754847156</v>
      </c>
      <c r="K722">
        <v>2.37962495038584</v>
      </c>
      <c r="L722">
        <v>0</v>
      </c>
      <c r="M722">
        <v>1.5362696734629085E-3</v>
      </c>
      <c r="N722">
        <v>0.14445611726162624</v>
      </c>
      <c r="O722">
        <v>2.0817653664606757E-2</v>
      </c>
      <c r="P722">
        <v>2.8414414357405271E-2</v>
      </c>
      <c r="Q722">
        <v>5.5078052264282921E-3</v>
      </c>
      <c r="R722">
        <v>1.5152629682197917E-3</v>
      </c>
      <c r="S722">
        <v>0.24948469501710041</v>
      </c>
      <c r="T722">
        <v>1.3631130911155929</v>
      </c>
      <c r="U722">
        <v>0.20918860754747373</v>
      </c>
      <c r="V722">
        <v>0.24360611348014438</v>
      </c>
      <c r="W722">
        <v>9.4283497913151604E-2</v>
      </c>
      <c r="X722">
        <v>1.6649915214363206E-2</v>
      </c>
      <c r="Y722">
        <v>4.1240462931910454E-3</v>
      </c>
    </row>
    <row r="723" spans="1:25" x14ac:dyDescent="0.2">
      <c r="A723" s="1077"/>
      <c r="B723" s="1444">
        <v>473</v>
      </c>
      <c r="C723" s="1081">
        <v>0.98652742204595645</v>
      </c>
      <c r="D723" s="1081">
        <v>0.98376922684849266</v>
      </c>
      <c r="E723" s="1081">
        <v>1.0454741415822149</v>
      </c>
      <c r="F723" s="1081">
        <v>1.0109039499739647</v>
      </c>
      <c r="G723" s="1081">
        <v>0.96703252585866828</v>
      </c>
      <c r="H723" s="1081">
        <v>1.0222952085420636</v>
      </c>
      <c r="I723" s="1081">
        <v>0.99785606040519281</v>
      </c>
      <c r="K723">
        <v>2.454866728579193</v>
      </c>
      <c r="L723">
        <v>0</v>
      </c>
      <c r="M723">
        <v>1.5532829563707151E-3</v>
      </c>
      <c r="N723">
        <v>0.16219103758989695</v>
      </c>
      <c r="O723">
        <v>2.137971399294929E-2</v>
      </c>
      <c r="P723">
        <v>2.9755148548464203E-2</v>
      </c>
      <c r="Q723">
        <v>5.852976879702286E-3</v>
      </c>
      <c r="R723">
        <v>1.5332271342077448E-3</v>
      </c>
      <c r="S723">
        <v>0.26605590510757138</v>
      </c>
      <c r="T723">
        <v>1.3875935240874082</v>
      </c>
      <c r="U723">
        <v>0.21502631762473293</v>
      </c>
      <c r="V723">
        <v>0.2406018949141718</v>
      </c>
      <c r="W723">
        <v>0.10375691000342356</v>
      </c>
      <c r="X723">
        <v>1.8500416821910896E-2</v>
      </c>
      <c r="Y723">
        <v>4.172938831124527E-3</v>
      </c>
    </row>
    <row r="724" spans="1:25" x14ac:dyDescent="0.2">
      <c r="A724" s="1077"/>
      <c r="B724" s="1444">
        <v>474</v>
      </c>
      <c r="C724" s="1081">
        <v>0.99264351350689051</v>
      </c>
      <c r="D724" s="1081">
        <v>1.027416409356178</v>
      </c>
      <c r="E724" s="1081">
        <v>1.0419613210666905</v>
      </c>
      <c r="F724" s="1081">
        <v>0.97097297261778093</v>
      </c>
      <c r="G724" s="1081">
        <v>1.0144363735177107</v>
      </c>
      <c r="H724" s="1081">
        <v>1.0361780219994765</v>
      </c>
      <c r="I724" s="1081">
        <v>0.99290191496173497</v>
      </c>
      <c r="K724">
        <v>2.3959198702272393</v>
      </c>
      <c r="L724">
        <v>0</v>
      </c>
      <c r="M724">
        <v>1.5612131369866691E-3</v>
      </c>
      <c r="N724">
        <v>0.16133187077503083</v>
      </c>
      <c r="O724">
        <v>2.1043672424643639E-2</v>
      </c>
      <c r="P724">
        <v>2.8892974438653376E-2</v>
      </c>
      <c r="Q724">
        <v>5.7411565781927314E-3</v>
      </c>
      <c r="R724">
        <v>1.541325002913015E-3</v>
      </c>
      <c r="S724">
        <v>0.25862306904025018</v>
      </c>
      <c r="T724">
        <v>1.3327088196479633</v>
      </c>
      <c r="U724">
        <v>0.21368927569317392</v>
      </c>
      <c r="V724">
        <v>0.24830920721925237</v>
      </c>
      <c r="W724">
        <v>0.10341569451572563</v>
      </c>
      <c r="X724">
        <v>1.7989039468145739E-2</v>
      </c>
      <c r="Y724">
        <v>4.1949785602785703E-3</v>
      </c>
    </row>
    <row r="725" spans="1:25" x14ac:dyDescent="0.2">
      <c r="A725" s="1077"/>
      <c r="B725" s="1444">
        <v>475</v>
      </c>
      <c r="C725" s="1081">
        <v>1.0102189021988843</v>
      </c>
      <c r="D725" s="1081">
        <v>0.99464575237844821</v>
      </c>
      <c r="E725" s="1081">
        <v>1.0089248334370859</v>
      </c>
      <c r="F725" s="1081">
        <v>0.99411642817689971</v>
      </c>
      <c r="G725" s="1081">
        <v>0.98185165197112301</v>
      </c>
      <c r="H725" s="1081">
        <v>1.0197067695787665</v>
      </c>
      <c r="I725" s="1081">
        <v>0.9877520072566941</v>
      </c>
      <c r="K725">
        <v>2.3982669543567905</v>
      </c>
      <c r="L725">
        <v>0</v>
      </c>
      <c r="M725">
        <v>1.6287510616235386E-3</v>
      </c>
      <c r="N725">
        <v>0.15231964133775777</v>
      </c>
      <c r="O725">
        <v>2.0803739255766746E-2</v>
      </c>
      <c r="P725">
        <v>2.8443689819185096E-2</v>
      </c>
      <c r="Q725">
        <v>5.4928540424885944E-3</v>
      </c>
      <c r="R725">
        <v>1.6076674198944371E-3</v>
      </c>
      <c r="S725">
        <v>0.25526305668142502</v>
      </c>
      <c r="T725">
        <v>1.3637605297229156</v>
      </c>
      <c r="U725">
        <v>0.20985938079197167</v>
      </c>
      <c r="V725">
        <v>0.24176960826331656</v>
      </c>
      <c r="W725">
        <v>9.9536128831329493E-2</v>
      </c>
      <c r="X725">
        <v>1.6663868502828621E-2</v>
      </c>
      <c r="Y725">
        <v>4.3755407495301209E-3</v>
      </c>
    </row>
    <row r="726" spans="1:25" x14ac:dyDescent="0.2">
      <c r="A726" s="1077"/>
      <c r="B726" s="1444">
        <v>476</v>
      </c>
      <c r="C726" s="1081">
        <v>1.0012867753517678</v>
      </c>
      <c r="D726" s="1081">
        <v>1.0220758722301022</v>
      </c>
      <c r="E726" s="1081">
        <v>0.96447896208311401</v>
      </c>
      <c r="F726" s="1081">
        <v>0.98299304347540695</v>
      </c>
      <c r="G726" s="1081">
        <v>1.0006069790757106</v>
      </c>
      <c r="H726" s="1081">
        <v>0.97473959028453883</v>
      </c>
      <c r="I726" s="1081">
        <v>0.99196887985028603</v>
      </c>
      <c r="K726">
        <v>2.3625188971323263</v>
      </c>
      <c r="L726">
        <v>0</v>
      </c>
      <c r="M726">
        <v>1.711911440958284E-3</v>
      </c>
      <c r="N726">
        <v>0.13987667222024291</v>
      </c>
      <c r="O726">
        <v>2.0834821410408166E-2</v>
      </c>
      <c r="P726">
        <v>2.7309239103900543E-2</v>
      </c>
      <c r="Q726">
        <v>5.2589561317702765E-3</v>
      </c>
      <c r="R726">
        <v>1.688729013634748E-3</v>
      </c>
      <c r="S726">
        <v>0.25103470771536218</v>
      </c>
      <c r="T726">
        <v>1.3475587858295572</v>
      </c>
      <c r="U726">
        <v>0.21158005791533421</v>
      </c>
      <c r="V726">
        <v>0.24568436786915854</v>
      </c>
      <c r="W726">
        <v>9.3878150580101613E-2</v>
      </c>
      <c r="X726">
        <v>1.4930157098068863E-2</v>
      </c>
      <c r="Y726">
        <v>4.5961636857440548E-3</v>
      </c>
    </row>
    <row r="727" spans="1:25" x14ac:dyDescent="0.2">
      <c r="A727" s="1077"/>
      <c r="B727" s="1444">
        <v>477</v>
      </c>
      <c r="C727" s="1081">
        <v>1.0210029681304233</v>
      </c>
      <c r="D727" s="1081">
        <v>0.97279347602308519</v>
      </c>
      <c r="E727" s="1081">
        <v>0.99941621984148843</v>
      </c>
      <c r="F727" s="1081">
        <v>1.0325254449455012</v>
      </c>
      <c r="G727" s="1081">
        <v>1.0175892714205217</v>
      </c>
      <c r="H727" s="1081">
        <v>0.96054685863734979</v>
      </c>
      <c r="I727" s="1081">
        <v>0.99005742824467635</v>
      </c>
      <c r="K727">
        <v>2.4318513063828551</v>
      </c>
      <c r="L727">
        <v>0</v>
      </c>
      <c r="M727">
        <v>1.5558954635920869E-3</v>
      </c>
      <c r="N727">
        <v>0.14127271063593941</v>
      </c>
      <c r="O727">
        <v>2.0678628634279526E-2</v>
      </c>
      <c r="P727">
        <v>2.8945363324718761E-2</v>
      </c>
      <c r="Q727">
        <v>5.4080042290138679E-3</v>
      </c>
      <c r="R727">
        <v>1.5345144604699647E-3</v>
      </c>
      <c r="S727">
        <v>0.25100373351578203</v>
      </c>
      <c r="T727">
        <v>1.4162387192302788</v>
      </c>
      <c r="U727">
        <v>0.20761094350662224</v>
      </c>
      <c r="V727">
        <v>0.24725351277631527</v>
      </c>
      <c r="W727">
        <v>9.2838781117162525E-2</v>
      </c>
      <c r="X727">
        <v>1.6445847907022516E-2</v>
      </c>
      <c r="Y727">
        <v>4.1764425088433007E-3</v>
      </c>
    </row>
    <row r="728" spans="1:25" x14ac:dyDescent="0.2">
      <c r="A728" s="1077"/>
      <c r="B728" s="1444">
        <v>478</v>
      </c>
      <c r="C728" s="1081">
        <v>0.96858312894520793</v>
      </c>
      <c r="D728" s="1081">
        <v>0.97315137472498803</v>
      </c>
      <c r="E728" s="1081">
        <v>0.99364437892296553</v>
      </c>
      <c r="F728" s="1081">
        <v>0.99227629614779533</v>
      </c>
      <c r="G728" s="1081">
        <v>1.0172612808702512</v>
      </c>
      <c r="H728" s="1081">
        <v>1.0093422179095068</v>
      </c>
      <c r="I728" s="1081">
        <v>1.0303399429892011</v>
      </c>
      <c r="K728">
        <v>2.4456953776105341</v>
      </c>
      <c r="L728">
        <v>0</v>
      </c>
      <c r="M728">
        <v>1.7440224409299445E-3</v>
      </c>
      <c r="N728">
        <v>0.15572101458030255</v>
      </c>
      <c r="O728">
        <v>2.179201819446595E-2</v>
      </c>
      <c r="P728">
        <v>2.8655732141419789E-2</v>
      </c>
      <c r="Q728">
        <v>5.6661521618360921E-3</v>
      </c>
      <c r="R728">
        <v>1.7212148272437479E-3</v>
      </c>
      <c r="S728">
        <v>0.27969278498866207</v>
      </c>
      <c r="T728">
        <v>1.360908157506677</v>
      </c>
      <c r="U728">
        <v>0.21882651523019328</v>
      </c>
      <c r="V728">
        <v>0.25052581186780642</v>
      </c>
      <c r="W728">
        <v>0.10268625106864528</v>
      </c>
      <c r="X728">
        <v>1.6559168122767181E-2</v>
      </c>
      <c r="Y728">
        <v>4.6845793614421717E-3</v>
      </c>
    </row>
    <row r="729" spans="1:25" x14ac:dyDescent="0.2">
      <c r="A729" s="1077"/>
      <c r="B729" s="1444">
        <v>479</v>
      </c>
      <c r="C729" s="1081">
        <v>0.97086183513319502</v>
      </c>
      <c r="D729" s="1081">
        <v>0.97369011952313334</v>
      </c>
      <c r="E729" s="1081">
        <v>1.0134644901876722</v>
      </c>
      <c r="F729" s="1081">
        <v>0.97939546931406762</v>
      </c>
      <c r="G729" s="1081">
        <v>1.0247175074666297</v>
      </c>
      <c r="H729" s="1081">
        <v>0.99319089036242225</v>
      </c>
      <c r="I729" s="1081">
        <v>1.0052447093626595</v>
      </c>
      <c r="K729">
        <v>2.4195331449091455</v>
      </c>
      <c r="L729">
        <v>0</v>
      </c>
      <c r="M729">
        <v>1.6428883011703208E-3</v>
      </c>
      <c r="N729">
        <v>0.15570721146266675</v>
      </c>
      <c r="O729">
        <v>2.1751859384537851E-2</v>
      </c>
      <c r="P729">
        <v>2.873031595448337E-2</v>
      </c>
      <c r="Q729">
        <v>5.7692928150691715E-3</v>
      </c>
      <c r="R729">
        <v>1.6210538878093964E-3</v>
      </c>
      <c r="S729">
        <v>0.27090337438622691</v>
      </c>
      <c r="T729">
        <v>1.3436622261101492</v>
      </c>
      <c r="U729">
        <v>0.21838272969574732</v>
      </c>
      <c r="V729">
        <v>0.25157567008576914</v>
      </c>
      <c r="W729">
        <v>0.10147804291637985</v>
      </c>
      <c r="X729">
        <v>1.7182282209129408E-2</v>
      </c>
      <c r="Y729">
        <v>4.4119743023466789E-3</v>
      </c>
    </row>
    <row r="730" spans="1:25" x14ac:dyDescent="0.2">
      <c r="A730" s="1077"/>
      <c r="B730" s="1444">
        <v>480</v>
      </c>
      <c r="C730" s="1081">
        <v>0.97487305255802115</v>
      </c>
      <c r="D730" s="1081">
        <v>0.99142687457134704</v>
      </c>
      <c r="E730" s="1081">
        <v>1.0206618604766406</v>
      </c>
      <c r="F730" s="1081">
        <v>1.010999184732879</v>
      </c>
      <c r="G730" s="1081">
        <v>0.99378892518101292</v>
      </c>
      <c r="H730" s="1081">
        <v>0.9820327662811299</v>
      </c>
      <c r="I730" s="1081">
        <v>0.97091650505082538</v>
      </c>
      <c r="K730">
        <v>2.4398122662634361</v>
      </c>
      <c r="L730">
        <v>0</v>
      </c>
      <c r="M730">
        <v>1.587395210971804E-3</v>
      </c>
      <c r="N730">
        <v>0.15372734063780844</v>
      </c>
      <c r="O730">
        <v>2.1581420478012387E-2</v>
      </c>
      <c r="P730">
        <v>2.920810151229913E-2</v>
      </c>
      <c r="Q730">
        <v>5.7652577332927384E-3</v>
      </c>
      <c r="R730">
        <v>1.5660586065487155E-3</v>
      </c>
      <c r="S730">
        <v>0.2573282187795361</v>
      </c>
      <c r="T730">
        <v>1.387178226838532</v>
      </c>
      <c r="U730">
        <v>0.21750947344585925</v>
      </c>
      <c r="V730">
        <v>0.24600652361722297</v>
      </c>
      <c r="W730">
        <v>9.9765754629255868E-2</v>
      </c>
      <c r="X730">
        <v>1.7500989920094887E-2</v>
      </c>
      <c r="Y730">
        <v>4.2622952759446995E-3</v>
      </c>
    </row>
    <row r="731" spans="1:25" x14ac:dyDescent="0.2">
      <c r="A731" s="1077"/>
      <c r="B731" s="1444">
        <v>481</v>
      </c>
      <c r="C731" s="1081">
        <v>1.0402386568510906</v>
      </c>
      <c r="D731" s="1081">
        <v>1.0261631282732602</v>
      </c>
      <c r="E731" s="1081">
        <v>1.0140587800773158</v>
      </c>
      <c r="F731" s="1081">
        <v>1.0248020154500832</v>
      </c>
      <c r="G731" s="1081">
        <v>0.99608095425269927</v>
      </c>
      <c r="H731" s="1081">
        <v>0.99802719750211299</v>
      </c>
      <c r="I731" s="1081">
        <v>1.025560432117929</v>
      </c>
      <c r="K731">
        <v>2.4176018919455768</v>
      </c>
      <c r="L731">
        <v>0</v>
      </c>
      <c r="M731">
        <v>1.5212149322669027E-3</v>
      </c>
      <c r="N731">
        <v>0.14444369651868746</v>
      </c>
      <c r="O731">
        <v>2.0068456076384487E-2</v>
      </c>
      <c r="P731">
        <v>2.9009218579106669E-2</v>
      </c>
      <c r="Q731">
        <v>5.3259566306122748E-3</v>
      </c>
      <c r="R731">
        <v>1.501095560219619E-3</v>
      </c>
      <c r="S731">
        <v>0.25165268177320554</v>
      </c>
      <c r="T731">
        <v>1.4059700464074387</v>
      </c>
      <c r="U731">
        <v>0.20382004845028187</v>
      </c>
      <c r="V731">
        <v>0.24239803930988588</v>
      </c>
      <c r="W731">
        <v>9.4104459942881191E-2</v>
      </c>
      <c r="X731">
        <v>1.6743920350242223E-2</v>
      </c>
      <c r="Y731">
        <v>4.0854872788993668E-3</v>
      </c>
    </row>
    <row r="732" spans="1:25" x14ac:dyDescent="0.2">
      <c r="A732" s="1077"/>
      <c r="B732" s="1444">
        <v>482</v>
      </c>
      <c r="C732" s="1081">
        <v>0.99683178934837069</v>
      </c>
      <c r="D732" s="1081">
        <v>0.98738199310699437</v>
      </c>
      <c r="E732" s="1081">
        <v>1.0344132051090271</v>
      </c>
      <c r="F732" s="1081">
        <v>1.0117896713984416</v>
      </c>
      <c r="G732" s="1081">
        <v>1.0142116164168464</v>
      </c>
      <c r="H732" s="1081">
        <v>1.0181732212514158</v>
      </c>
      <c r="I732" s="1081">
        <v>1.0244256385533776</v>
      </c>
      <c r="K732">
        <v>2.4573151108910891</v>
      </c>
      <c r="L732">
        <v>0</v>
      </c>
      <c r="M732">
        <v>1.5655160329365217E-3</v>
      </c>
      <c r="N732">
        <v>0.15810304170363385</v>
      </c>
      <c r="O732">
        <v>2.1134224256411278E-2</v>
      </c>
      <c r="P732">
        <v>2.9651522115402142E-2</v>
      </c>
      <c r="Q732">
        <v>5.7231830639364852E-3</v>
      </c>
      <c r="R732">
        <v>1.5452204248688241E-3</v>
      </c>
      <c r="S732">
        <v>0.26936444474270754</v>
      </c>
      <c r="T732">
        <v>1.3885653820907906</v>
      </c>
      <c r="U732">
        <v>0.21276541090307308</v>
      </c>
      <c r="V732">
        <v>0.24803304536645529</v>
      </c>
      <c r="W732">
        <v>0.10178814440654259</v>
      </c>
      <c r="X732">
        <v>1.800142723548822E-2</v>
      </c>
      <c r="Y732">
        <v>4.2055806147167796E-3</v>
      </c>
    </row>
    <row r="733" spans="1:25" x14ac:dyDescent="0.2">
      <c r="A733" s="1077"/>
      <c r="B733" s="1444">
        <v>483</v>
      </c>
      <c r="C733" s="1081">
        <v>1.0006362905087933</v>
      </c>
      <c r="D733" s="1081">
        <v>1.0093367854518547</v>
      </c>
      <c r="E733" s="1081">
        <v>0.99513080912098018</v>
      </c>
      <c r="F733" s="1081">
        <v>0.95651554850578147</v>
      </c>
      <c r="G733" s="1081">
        <v>1.0266966690228589</v>
      </c>
      <c r="H733" s="1081">
        <v>0.98419100649027635</v>
      </c>
      <c r="I733" s="1081">
        <v>0.9672896058797128</v>
      </c>
      <c r="K733">
        <v>2.3375289314593117</v>
      </c>
      <c r="L733">
        <v>0</v>
      </c>
      <c r="M733">
        <v>1.6278992522226626E-3</v>
      </c>
      <c r="N733">
        <v>0.14595760719453318</v>
      </c>
      <c r="O733">
        <v>2.0926194156660295E-2</v>
      </c>
      <c r="P733">
        <v>2.7482076418787433E-2</v>
      </c>
      <c r="Q733">
        <v>5.4491898992402787E-3</v>
      </c>
      <c r="R733">
        <v>1.6060662052100126E-3</v>
      </c>
      <c r="S733">
        <v>0.24750674152555602</v>
      </c>
      <c r="T733">
        <v>1.3118929641988297</v>
      </c>
      <c r="U733">
        <v>0.21182196697673222</v>
      </c>
      <c r="V733">
        <v>0.25006857959704609</v>
      </c>
      <c r="W733">
        <v>9.616265059473704E-2</v>
      </c>
      <c r="X733">
        <v>1.5911611173201098E-2</v>
      </c>
      <c r="Y733">
        <v>4.3711827709993966E-3</v>
      </c>
    </row>
    <row r="734" spans="1:25" x14ac:dyDescent="0.2">
      <c r="A734" s="1077"/>
      <c r="B734" s="1444">
        <v>484</v>
      </c>
      <c r="C734" s="1081">
        <v>0.97811082236129332</v>
      </c>
      <c r="D734" s="1081">
        <v>0.97625251405515734</v>
      </c>
      <c r="E734" s="1081">
        <v>1.0250227774303882</v>
      </c>
      <c r="F734" s="1081">
        <v>1.0037535701644729</v>
      </c>
      <c r="G734" s="1081">
        <v>0.98175325880606579</v>
      </c>
      <c r="H734" s="1081">
        <v>1.0046449902775536</v>
      </c>
      <c r="I734" s="1081">
        <v>1.0012757446914777</v>
      </c>
      <c r="K734">
        <v>2.445334726149011</v>
      </c>
      <c r="L734">
        <v>0</v>
      </c>
      <c r="M734">
        <v>1.6093966301889756E-3</v>
      </c>
      <c r="N734">
        <v>0.15797001400957186</v>
      </c>
      <c r="O734">
        <v>2.1586079071229006E-2</v>
      </c>
      <c r="P734">
        <v>2.927934641844146E-2</v>
      </c>
      <c r="Q734">
        <v>5.7915172471747437E-3</v>
      </c>
      <c r="R734">
        <v>1.5882511923016724E-3</v>
      </c>
      <c r="S734">
        <v>0.26858048965943848</v>
      </c>
      <c r="T734">
        <v>1.3773317148570978</v>
      </c>
      <c r="U734">
        <v>0.21680476069582463</v>
      </c>
      <c r="V734">
        <v>0.2437256470733204</v>
      </c>
      <c r="W734">
        <v>0.10225851025788621</v>
      </c>
      <c r="X734">
        <v>1.7705096118331643E-2</v>
      </c>
      <c r="Y734">
        <v>4.3226961785803224E-3</v>
      </c>
    </row>
    <row r="735" spans="1:25" x14ac:dyDescent="0.2">
      <c r="A735" s="1077"/>
      <c r="B735" s="1444">
        <v>485</v>
      </c>
      <c r="C735" s="1081">
        <v>1.0171101081337854</v>
      </c>
      <c r="D735" s="1081">
        <v>1.0047102044940748</v>
      </c>
      <c r="E735" s="1081">
        <v>0.97590132836965182</v>
      </c>
      <c r="F735" s="1081">
        <v>0.99430558375197808</v>
      </c>
      <c r="G735" s="1081">
        <v>0.99893181091388883</v>
      </c>
      <c r="H735" s="1081">
        <v>1.0032053142789139</v>
      </c>
      <c r="I735" s="1081">
        <v>0.98251202166332685</v>
      </c>
      <c r="K735">
        <v>2.378526237398606</v>
      </c>
      <c r="L735">
        <v>0</v>
      </c>
      <c r="M735">
        <v>1.7004697505181388E-3</v>
      </c>
      <c r="N735">
        <v>0.14388720767477095</v>
      </c>
      <c r="O735">
        <v>2.0595572669009864E-2</v>
      </c>
      <c r="P735">
        <v>2.7676128412645579E-2</v>
      </c>
      <c r="Q735">
        <v>5.259607048761451E-3</v>
      </c>
      <c r="R735">
        <v>1.6780956644162816E-3</v>
      </c>
      <c r="S735">
        <v>0.24930950852716427</v>
      </c>
      <c r="T735">
        <v>1.3633109553088736</v>
      </c>
      <c r="U735">
        <v>0.2083266768031595</v>
      </c>
      <c r="V735">
        <v>0.24438681055537262</v>
      </c>
      <c r="W735">
        <v>9.590088882584738E-2</v>
      </c>
      <c r="X735">
        <v>1.5328032444648493E-2</v>
      </c>
      <c r="Y735">
        <v>4.567223214454014E-3</v>
      </c>
    </row>
    <row r="736" spans="1:25" x14ac:dyDescent="0.2">
      <c r="A736" s="1077"/>
      <c r="B736" s="1444">
        <v>486</v>
      </c>
      <c r="C736" s="1081">
        <v>1.000404702789667</v>
      </c>
      <c r="D736" s="1081">
        <v>1.0155221569931641</v>
      </c>
      <c r="E736" s="1081">
        <v>1.0390469950725036</v>
      </c>
      <c r="F736" s="1081">
        <v>0.98602544176736961</v>
      </c>
      <c r="G736" s="1081">
        <v>0.99353503038190949</v>
      </c>
      <c r="H736" s="1081">
        <v>1.0179558590474163</v>
      </c>
      <c r="I736" s="1081">
        <v>0.9923316090582015</v>
      </c>
      <c r="K736">
        <v>2.4017296032940822</v>
      </c>
      <c r="L736">
        <v>0</v>
      </c>
      <c r="M736">
        <v>1.5350707295699118E-3</v>
      </c>
      <c r="N736">
        <v>0.15720758736759938</v>
      </c>
      <c r="O736">
        <v>2.0932035416325441E-2</v>
      </c>
      <c r="P736">
        <v>2.9010221346493496E-2</v>
      </c>
      <c r="Q736">
        <v>5.6943628365707585E-3</v>
      </c>
      <c r="R736">
        <v>1.5151655700327271E-3</v>
      </c>
      <c r="S736">
        <v>0.25639302086254129</v>
      </c>
      <c r="T736">
        <v>1.353306449708132</v>
      </c>
      <c r="U736">
        <v>0.21202144590375591</v>
      </c>
      <c r="V736">
        <v>0.24426594223180007</v>
      </c>
      <c r="W736">
        <v>0.10094119827141504</v>
      </c>
      <c r="X736">
        <v>1.7853463301551888E-2</v>
      </c>
      <c r="Y736">
        <v>4.1237812074331583E-3</v>
      </c>
    </row>
    <row r="737" spans="1:25" x14ac:dyDescent="0.2">
      <c r="A737" s="1077"/>
      <c r="B737" s="1444">
        <v>487</v>
      </c>
      <c r="C737" s="1081">
        <v>0.99685981155994319</v>
      </c>
      <c r="D737" s="1081">
        <v>1.0200078510850061</v>
      </c>
      <c r="E737" s="1081">
        <v>1.0162659075249942</v>
      </c>
      <c r="F737" s="1081">
        <v>1.0098177766687515</v>
      </c>
      <c r="G737" s="1081">
        <v>1.0135358188575379</v>
      </c>
      <c r="H737" s="1081">
        <v>1.0075862957765489</v>
      </c>
      <c r="I737" s="1081">
        <v>1.0201134888352916</v>
      </c>
      <c r="K737">
        <v>2.4381625914231808</v>
      </c>
      <c r="L737">
        <v>0</v>
      </c>
      <c r="M737">
        <v>1.5973910485428814E-3</v>
      </c>
      <c r="N737">
        <v>0.15270991133337</v>
      </c>
      <c r="O737">
        <v>2.0970948308925919E-2</v>
      </c>
      <c r="P737">
        <v>2.9127302928157815E-2</v>
      </c>
      <c r="Q737">
        <v>5.5777263803818379E-3</v>
      </c>
      <c r="R737">
        <v>1.5764646152778305E-3</v>
      </c>
      <c r="S737">
        <v>0.26283985771474888</v>
      </c>
      <c r="T737">
        <v>1.3854608731751119</v>
      </c>
      <c r="U737">
        <v>0.21269696404242441</v>
      </c>
      <c r="V737">
        <v>0.24798040091125378</v>
      </c>
      <c r="W737">
        <v>9.9360987824751723E-2</v>
      </c>
      <c r="X737">
        <v>1.7167928235952042E-2</v>
      </c>
      <c r="Y737">
        <v>4.2906170013654972E-3</v>
      </c>
    </row>
    <row r="738" spans="1:25" x14ac:dyDescent="0.2">
      <c r="A738" s="1077"/>
      <c r="B738" s="1444">
        <v>488</v>
      </c>
      <c r="C738" s="1081">
        <v>0.97596588400077311</v>
      </c>
      <c r="D738" s="1081">
        <v>1.0261188388544427</v>
      </c>
      <c r="E738" s="1081">
        <v>0.99687197845282327</v>
      </c>
      <c r="F738" s="1081">
        <v>1.0192200444117778</v>
      </c>
      <c r="G738" s="1081">
        <v>0.97601312648961236</v>
      </c>
      <c r="H738" s="1081">
        <v>1.004904867446369</v>
      </c>
      <c r="I738" s="1081">
        <v>1.0015878432340388</v>
      </c>
      <c r="K738">
        <v>2.4503943176423211</v>
      </c>
      <c r="L738">
        <v>0</v>
      </c>
      <c r="M738">
        <v>1.6918878730716388E-3</v>
      </c>
      <c r="N738">
        <v>0.15253788518700759</v>
      </c>
      <c r="O738">
        <v>2.1378647316168117E-2</v>
      </c>
      <c r="P738">
        <v>2.886880969537094E-2</v>
      </c>
      <c r="Q738">
        <v>5.5767823711234789E-3</v>
      </c>
      <c r="R738">
        <v>1.6696643531818871E-3</v>
      </c>
      <c r="S738">
        <v>0.26241574743487434</v>
      </c>
      <c r="T738">
        <v>1.3979326220829527</v>
      </c>
      <c r="U738">
        <v>0.21718248428016965</v>
      </c>
      <c r="V738">
        <v>0.24298214960817827</v>
      </c>
      <c r="W738">
        <v>0.10039372250617903</v>
      </c>
      <c r="X738">
        <v>1.6603414715531107E-2</v>
      </c>
      <c r="Y738">
        <v>4.5442759646549952E-3</v>
      </c>
    </row>
    <row r="739" spans="1:25" x14ac:dyDescent="0.2">
      <c r="A739" s="1077"/>
      <c r="B739" s="1444">
        <v>489</v>
      </c>
      <c r="C739" s="1081">
        <v>1.0207621577762294</v>
      </c>
      <c r="D739" s="1081">
        <v>0.97150702980130543</v>
      </c>
      <c r="E739" s="1081">
        <v>0.97520627802023896</v>
      </c>
      <c r="F739" s="1081">
        <v>0.97684851151055352</v>
      </c>
      <c r="G739" s="1081">
        <v>0.97472353207886242</v>
      </c>
      <c r="H739" s="1081">
        <v>0.98331676771085108</v>
      </c>
      <c r="I739" s="1081">
        <v>0.97023363521950889</v>
      </c>
      <c r="K739">
        <v>2.3434418772737216</v>
      </c>
      <c r="L739">
        <v>0</v>
      </c>
      <c r="M739">
        <v>1.6755235687552679E-3</v>
      </c>
      <c r="N739">
        <v>0.14144026701796264</v>
      </c>
      <c r="O739">
        <v>2.0673720276621382E-2</v>
      </c>
      <c r="P739">
        <v>2.7253042783698615E-2</v>
      </c>
      <c r="Q739">
        <v>5.2758263855836197E-3</v>
      </c>
      <c r="R739">
        <v>1.6530318152792594E-3</v>
      </c>
      <c r="S739">
        <v>0.24786465548467676</v>
      </c>
      <c r="T739">
        <v>1.3393606272250627</v>
      </c>
      <c r="U739">
        <v>0.20757901407125745</v>
      </c>
      <c r="V739">
        <v>0.24003300980173348</v>
      </c>
      <c r="W739">
        <v>9.4309713830867295E-2</v>
      </c>
      <c r="X739">
        <v>1.517548447033553E-2</v>
      </c>
      <c r="Y739">
        <v>4.4990076793986885E-3</v>
      </c>
    </row>
    <row r="740" spans="1:25" x14ac:dyDescent="0.2">
      <c r="A740" s="1077"/>
      <c r="B740" s="1444">
        <v>490</v>
      </c>
      <c r="C740" s="1081">
        <v>1.0062211433710326</v>
      </c>
      <c r="D740" s="1081">
        <v>1.0134652966695838</v>
      </c>
      <c r="E740" s="1081">
        <v>0.99738744589376527</v>
      </c>
      <c r="F740" s="1081">
        <v>1.012381803092065</v>
      </c>
      <c r="G740" s="1081">
        <v>1.0090098059742412</v>
      </c>
      <c r="H740" s="1081">
        <v>0.97185177815841239</v>
      </c>
      <c r="I740" s="1081">
        <v>0.98074806917841528</v>
      </c>
      <c r="K740">
        <v>2.4071124013480212</v>
      </c>
      <c r="L740">
        <v>0</v>
      </c>
      <c r="M740">
        <v>1.5896782561970752E-3</v>
      </c>
      <c r="N740">
        <v>0.14348127274809713</v>
      </c>
      <c r="O740">
        <v>2.0792850419577135E-2</v>
      </c>
      <c r="P740">
        <v>2.851819980460139E-2</v>
      </c>
      <c r="Q740">
        <v>5.4267883678844383E-3</v>
      </c>
      <c r="R740">
        <v>1.5680871238886161E-3</v>
      </c>
      <c r="S740">
        <v>0.24804572193457461</v>
      </c>
      <c r="T740">
        <v>1.3885647689896465</v>
      </c>
      <c r="U740">
        <v>0.21065394804057561</v>
      </c>
      <c r="V740">
        <v>0.24669347395135613</v>
      </c>
      <c r="W740">
        <v>9.4404066556570909E-2</v>
      </c>
      <c r="X740">
        <v>1.6285085436000973E-2</v>
      </c>
      <c r="Y740">
        <v>4.2678162314433495E-3</v>
      </c>
    </row>
    <row r="741" spans="1:25" x14ac:dyDescent="0.2">
      <c r="A741" s="1077"/>
      <c r="B741" s="1444">
        <v>491</v>
      </c>
      <c r="C741" s="1081">
        <v>1.0331759109004202</v>
      </c>
      <c r="D741" s="1081">
        <v>1.0271848386706326</v>
      </c>
      <c r="E741" s="1081">
        <v>1.0022672189910553</v>
      </c>
      <c r="F741" s="1081">
        <v>0.99828587269547531</v>
      </c>
      <c r="G741" s="1081">
        <v>1.0264532725457383</v>
      </c>
      <c r="H741" s="1081">
        <v>1.0073210521054432</v>
      </c>
      <c r="I741" s="1081">
        <v>0.9742185174043948</v>
      </c>
      <c r="K741">
        <v>2.3782455887396052</v>
      </c>
      <c r="L741">
        <v>0</v>
      </c>
      <c r="M741">
        <v>1.5838558999851341E-3</v>
      </c>
      <c r="N741">
        <v>0.14514931111227428</v>
      </c>
      <c r="O741">
        <v>2.0193680437046769E-2</v>
      </c>
      <c r="P741">
        <v>2.8209422149426119E-2</v>
      </c>
      <c r="Q741">
        <v>5.2963267997408071E-3</v>
      </c>
      <c r="R741">
        <v>1.5631013187663431E-3</v>
      </c>
      <c r="S741">
        <v>0.24122073036561775</v>
      </c>
      <c r="T741">
        <v>1.3693363995194709</v>
      </c>
      <c r="U741">
        <v>0.20517429216547114</v>
      </c>
      <c r="V741">
        <v>0.24803659458679755</v>
      </c>
      <c r="W741">
        <v>9.5224942058447226E-2</v>
      </c>
      <c r="X741">
        <v>1.6170397613059776E-2</v>
      </c>
      <c r="Y741">
        <v>4.2542465134707387E-3</v>
      </c>
    </row>
    <row r="742" spans="1:25" x14ac:dyDescent="0.2">
      <c r="A742" s="1077"/>
      <c r="B742" s="1444">
        <v>492</v>
      </c>
      <c r="C742" s="1081">
        <v>0.98609708315607181</v>
      </c>
      <c r="D742" s="1081">
        <v>0.98144994927626361</v>
      </c>
      <c r="E742" s="1081">
        <v>0.99675479070027584</v>
      </c>
      <c r="F742" s="1081">
        <v>1.0003001100532101</v>
      </c>
      <c r="G742" s="1081">
        <v>1.0100864880431017</v>
      </c>
      <c r="H742" s="1081">
        <v>1.0227567938533246</v>
      </c>
      <c r="I742" s="1081">
        <v>1.0252260664721025</v>
      </c>
      <c r="K742">
        <v>2.4426171931493821</v>
      </c>
      <c r="L742">
        <v>0</v>
      </c>
      <c r="M742">
        <v>1.721440322856527E-3</v>
      </c>
      <c r="N742">
        <v>0.15518337867840795</v>
      </c>
      <c r="O742">
        <v>2.1367123848445659E-2</v>
      </c>
      <c r="P742">
        <v>2.8702606708127652E-2</v>
      </c>
      <c r="Q742">
        <v>5.5731187051756307E-3</v>
      </c>
      <c r="R742">
        <v>1.6992233022950567E-3</v>
      </c>
      <c r="S742">
        <v>0.27341477548925625</v>
      </c>
      <c r="T742">
        <v>1.3719800557190558</v>
      </c>
      <c r="U742">
        <v>0.21495073710920132</v>
      </c>
      <c r="V742">
        <v>0.24814504233410731</v>
      </c>
      <c r="W742">
        <v>0.10214200175394944</v>
      </c>
      <c r="X742">
        <v>1.6555844144179741E-2</v>
      </c>
      <c r="Y742">
        <v>4.6247256800360861E-3</v>
      </c>
    </row>
    <row r="743" spans="1:25" x14ac:dyDescent="0.2">
      <c r="A743" s="1077"/>
      <c r="B743" s="1444">
        <v>493</v>
      </c>
      <c r="C743" s="1081">
        <v>1.0129310381407157</v>
      </c>
      <c r="D743" s="1081">
        <v>0.99850035232682977</v>
      </c>
      <c r="E743" s="1081">
        <v>0.98905577877159467</v>
      </c>
      <c r="F743" s="1081">
        <v>1.002889402838725</v>
      </c>
      <c r="G743" s="1081">
        <v>0.99819337622953341</v>
      </c>
      <c r="H743" s="1081">
        <v>0.99874825846343673</v>
      </c>
      <c r="I743" s="1081">
        <v>0.97391901655066038</v>
      </c>
      <c r="K743">
        <v>2.3945397291100567</v>
      </c>
      <c r="L743">
        <v>0</v>
      </c>
      <c r="M743">
        <v>1.656524525725336E-3</v>
      </c>
      <c r="N743">
        <v>0.14585034556456422</v>
      </c>
      <c r="O743">
        <v>2.071736888485522E-2</v>
      </c>
      <c r="P743">
        <v>2.8120805992204082E-2</v>
      </c>
      <c r="Q743">
        <v>5.3618249285039225E-3</v>
      </c>
      <c r="R743">
        <v>1.6346313857586994E-3</v>
      </c>
      <c r="S743">
        <v>0.24865838122674919</v>
      </c>
      <c r="T743">
        <v>1.3753646912961337</v>
      </c>
      <c r="U743">
        <v>0.20923044059950491</v>
      </c>
      <c r="V743">
        <v>0.24446556518280427</v>
      </c>
      <c r="W743">
        <v>9.644174809979944E-2</v>
      </c>
      <c r="X743">
        <v>1.5901522698959197E-2</v>
      </c>
      <c r="Y743">
        <v>4.4489277759436853E-3</v>
      </c>
    </row>
    <row r="744" spans="1:25" x14ac:dyDescent="0.2">
      <c r="A744" s="1077"/>
      <c r="B744" s="1444">
        <v>494</v>
      </c>
      <c r="C744" s="1081">
        <v>1.021056216842849</v>
      </c>
      <c r="D744" s="1081">
        <v>1.033446729202592</v>
      </c>
      <c r="E744" s="1081">
        <v>1.0270143040120054</v>
      </c>
      <c r="F744" s="1081">
        <v>0.99645289301741347</v>
      </c>
      <c r="G744" s="1081">
        <v>0.9734934256397777</v>
      </c>
      <c r="H744" s="1081">
        <v>0.99537236650551353</v>
      </c>
      <c r="I744" s="1081">
        <v>1.0255665652615353</v>
      </c>
      <c r="K744">
        <v>2.3901798945483903</v>
      </c>
      <c r="L744">
        <v>0</v>
      </c>
      <c r="M744">
        <v>1.5022199984865501E-3</v>
      </c>
      <c r="N744">
        <v>0.14831986897966923</v>
      </c>
      <c r="O744">
        <v>2.0422076921622925E-2</v>
      </c>
      <c r="P744">
        <v>2.8815037712091325E-2</v>
      </c>
      <c r="Q744">
        <v>5.4900399008190621E-3</v>
      </c>
      <c r="R744">
        <v>1.4822988589270961E-3</v>
      </c>
      <c r="S744">
        <v>0.25536154126352095</v>
      </c>
      <c r="T744">
        <v>1.367357002056184</v>
      </c>
      <c r="U744">
        <v>0.2076926947018454</v>
      </c>
      <c r="V744">
        <v>0.23962526822371807</v>
      </c>
      <c r="W744">
        <v>9.5900419673237702E-2</v>
      </c>
      <c r="X744">
        <v>1.7181537400927642E-2</v>
      </c>
      <c r="Y744">
        <v>4.0343288543120354E-3</v>
      </c>
    </row>
    <row r="745" spans="1:25" x14ac:dyDescent="0.2">
      <c r="A745" s="1077"/>
      <c r="B745" s="1444">
        <v>495</v>
      </c>
      <c r="C745" s="1081">
        <v>1.0390253757566574</v>
      </c>
      <c r="D745" s="1081">
        <v>1.0357639557994203</v>
      </c>
      <c r="E745" s="1081">
        <v>1.0014402290381959</v>
      </c>
      <c r="F745" s="1081">
        <v>1.0132145592111956</v>
      </c>
      <c r="G745" s="1081">
        <v>1.0252611005618717</v>
      </c>
      <c r="H745" s="1081">
        <v>0.99745738806832807</v>
      </c>
      <c r="I745" s="1081">
        <v>0.95471460968657285</v>
      </c>
      <c r="K745">
        <v>2.3846442845775826</v>
      </c>
      <c r="L745">
        <v>0</v>
      </c>
      <c r="M745">
        <v>1.5593397822860099E-3</v>
      </c>
      <c r="N745">
        <v>0.14252731385446027</v>
      </c>
      <c r="O745">
        <v>2.0042761249707785E-2</v>
      </c>
      <c r="P745">
        <v>2.8340432540549885E-2</v>
      </c>
      <c r="Q745">
        <v>5.2523807529008563E-3</v>
      </c>
      <c r="R745">
        <v>1.5387043949210756E-3</v>
      </c>
      <c r="S745">
        <v>0.23332146990851738</v>
      </c>
      <c r="T745">
        <v>1.3897957649118946</v>
      </c>
      <c r="U745">
        <v>0.20401648841617157</v>
      </c>
      <c r="V745">
        <v>0.24749611244441505</v>
      </c>
      <c r="W745">
        <v>9.355068882399506E-2</v>
      </c>
      <c r="X745">
        <v>1.6133660933126796E-2</v>
      </c>
      <c r="Y745">
        <v>4.1878461292077038E-3</v>
      </c>
    </row>
    <row r="746" spans="1:25" x14ac:dyDescent="0.2">
      <c r="A746" s="1077"/>
      <c r="B746" s="1444">
        <v>496</v>
      </c>
      <c r="C746" s="1081">
        <v>1.0145368745888297</v>
      </c>
      <c r="D746" s="1081">
        <v>0.99497277558168651</v>
      </c>
      <c r="E746" s="1081">
        <v>0.98368736091066633</v>
      </c>
      <c r="F746" s="1081">
        <v>1.0204303133418207</v>
      </c>
      <c r="G746" s="1081">
        <v>1.0264624271949523</v>
      </c>
      <c r="H746" s="1081">
        <v>0.99018875765272496</v>
      </c>
      <c r="I746" s="1081">
        <v>1.0356422623551642</v>
      </c>
      <c r="K746">
        <v>2.4351002828250823</v>
      </c>
      <c r="L746">
        <v>0</v>
      </c>
      <c r="M746">
        <v>1.6593419269948621E-3</v>
      </c>
      <c r="N746">
        <v>0.14372894941503284</v>
      </c>
      <c r="O746">
        <v>2.0697180221384486E-2</v>
      </c>
      <c r="P746">
        <v>2.859162936197511E-2</v>
      </c>
      <c r="Q746">
        <v>5.3275542954599455E-3</v>
      </c>
      <c r="R746">
        <v>1.6372219783679024E-3</v>
      </c>
      <c r="S746">
        <v>0.26367918382958344</v>
      </c>
      <c r="T746">
        <v>1.3993021825649747</v>
      </c>
      <c r="U746">
        <v>0.20888121672529802</v>
      </c>
      <c r="V746">
        <v>0.24921738210425504</v>
      </c>
      <c r="W746">
        <v>9.5346021264259187E-2</v>
      </c>
      <c r="X746">
        <v>1.5895124476446865E-2</v>
      </c>
      <c r="Y746">
        <v>4.4559785150373116E-3</v>
      </c>
    </row>
    <row r="747" spans="1:25" x14ac:dyDescent="0.2">
      <c r="A747" s="1077"/>
      <c r="B747" s="1444">
        <v>497</v>
      </c>
      <c r="C747" s="1081">
        <v>0.99252229765536881</v>
      </c>
      <c r="D747" s="1081">
        <v>1.00465162467715</v>
      </c>
      <c r="E747" s="1081">
        <v>1.0383504832505526</v>
      </c>
      <c r="F747" s="1081">
        <v>1.0036877136728874</v>
      </c>
      <c r="G747" s="1081">
        <v>0.97538932027101577</v>
      </c>
      <c r="H747" s="1081">
        <v>1.0244521014209578</v>
      </c>
      <c r="I747" s="1081">
        <v>1.0250666897551586</v>
      </c>
      <c r="K747">
        <v>2.4429010070720159</v>
      </c>
      <c r="L747">
        <v>0</v>
      </c>
      <c r="M747">
        <v>1.5630970756108286E-3</v>
      </c>
      <c r="N747">
        <v>0.15975554437607731</v>
      </c>
      <c r="O747">
        <v>2.1147818001514444E-2</v>
      </c>
      <c r="P747">
        <v>2.9499150243669951E-2</v>
      </c>
      <c r="Q747">
        <v>5.7491228771506513E-3</v>
      </c>
      <c r="R747">
        <v>1.542957027144645E-3</v>
      </c>
      <c r="S747">
        <v>0.26895344808139549</v>
      </c>
      <c r="T747">
        <v>1.3775324441285011</v>
      </c>
      <c r="U747">
        <v>0.21370286340354894</v>
      </c>
      <c r="V747">
        <v>0.24166846473876372</v>
      </c>
      <c r="W747">
        <v>0.1026184116173874</v>
      </c>
      <c r="X747">
        <v>1.809445926023338E-2</v>
      </c>
      <c r="Y747">
        <v>4.1994203922404239E-3</v>
      </c>
    </row>
    <row r="748" spans="1:25" x14ac:dyDescent="0.2">
      <c r="A748" s="1077"/>
      <c r="B748" s="1444">
        <v>498</v>
      </c>
      <c r="C748" s="1081">
        <v>1.0093856471128515</v>
      </c>
      <c r="D748" s="1081">
        <v>1.0071522826715067</v>
      </c>
      <c r="E748" s="1081">
        <v>1.0168712671875622</v>
      </c>
      <c r="F748" s="1081">
        <v>0.95577873213028974</v>
      </c>
      <c r="G748" s="1081">
        <v>1.002935015265684</v>
      </c>
      <c r="H748" s="1081">
        <v>0.98485216474526371</v>
      </c>
      <c r="I748" s="1081">
        <v>1.0228443177447315</v>
      </c>
      <c r="K748">
        <v>2.3459123021155257</v>
      </c>
      <c r="L748">
        <v>0</v>
      </c>
      <c r="M748">
        <v>1.5443371236333867E-3</v>
      </c>
      <c r="N748">
        <v>0.1478625930016973</v>
      </c>
      <c r="O748">
        <v>2.0768981803421932E-2</v>
      </c>
      <c r="P748">
        <v>2.8004147855451429E-2</v>
      </c>
      <c r="Q748">
        <v>5.527340268722176E-3</v>
      </c>
      <c r="R748">
        <v>1.5236386993061019E-3</v>
      </c>
      <c r="S748">
        <v>0.25997090332148126</v>
      </c>
      <c r="T748">
        <v>1.3113323467851292</v>
      </c>
      <c r="U748">
        <v>0.21005958487814885</v>
      </c>
      <c r="V748">
        <v>0.24539185462810992</v>
      </c>
      <c r="W748">
        <v>9.6172911693437863E-2</v>
      </c>
      <c r="X748">
        <v>1.6695494032101445E-2</v>
      </c>
      <c r="Y748">
        <v>4.1468422721489696E-3</v>
      </c>
    </row>
    <row r="749" spans="1:25" x14ac:dyDescent="0.2">
      <c r="A749" s="1077"/>
      <c r="B749" s="1444">
        <v>499</v>
      </c>
      <c r="C749" s="1081">
        <v>0.98998498048612937</v>
      </c>
      <c r="D749" s="1081">
        <v>0.99866119519611207</v>
      </c>
      <c r="E749" s="1081">
        <v>1.0001532369284449</v>
      </c>
      <c r="F749" s="1081">
        <v>0.9849332875485971</v>
      </c>
      <c r="G749" s="1081">
        <v>0.9973286545404908</v>
      </c>
      <c r="H749" s="1081">
        <v>1.0087715646985649</v>
      </c>
      <c r="I749" s="1081">
        <v>0.95593844232314618</v>
      </c>
      <c r="K749">
        <v>2.389582698334789</v>
      </c>
      <c r="L749">
        <v>0</v>
      </c>
      <c r="M749">
        <v>1.6729451672471412E-3</v>
      </c>
      <c r="N749">
        <v>0.15234065100093472</v>
      </c>
      <c r="O749">
        <v>2.1204244316191462E-2</v>
      </c>
      <c r="P749">
        <v>2.8133007107517601E-2</v>
      </c>
      <c r="Q749">
        <v>5.5495768115439662E-3</v>
      </c>
      <c r="R749">
        <v>1.6510546968914437E-3</v>
      </c>
      <c r="S749">
        <v>0.25061566999374096</v>
      </c>
      <c r="T749">
        <v>1.3509757795418369</v>
      </c>
      <c r="U749">
        <v>0.21411830777916127</v>
      </c>
      <c r="V749">
        <v>0.24570557937977913</v>
      </c>
      <c r="W749">
        <v>0.10006833807376969</v>
      </c>
      <c r="X749">
        <v>1.6399808185761915E-2</v>
      </c>
      <c r="Y749">
        <v>4.4936266149039556E-3</v>
      </c>
    </row>
    <row r="750" spans="1:25" x14ac:dyDescent="0.2">
      <c r="A750" s="1077"/>
      <c r="B750" s="1444">
        <v>500</v>
      </c>
      <c r="C750" s="1081">
        <v>0.9949233740624881</v>
      </c>
      <c r="D750" s="1081">
        <v>0.99921131222908754</v>
      </c>
      <c r="E750" s="1081">
        <v>1.0093468481245353</v>
      </c>
      <c r="F750" s="1081">
        <v>0.99805222892686307</v>
      </c>
      <c r="G750" s="1081">
        <v>0.98578608405344181</v>
      </c>
      <c r="H750" s="1081">
        <v>0.96683902300767033</v>
      </c>
      <c r="I750" s="1081">
        <v>0.98126197398832393</v>
      </c>
      <c r="K750">
        <v>2.3963880562527158</v>
      </c>
      <c r="L750">
        <v>0</v>
      </c>
      <c r="M750">
        <v>1.5650966589553384E-3</v>
      </c>
      <c r="N750">
        <v>0.14644824282189786</v>
      </c>
      <c r="O750">
        <v>2.1102577352060184E-2</v>
      </c>
      <c r="P750">
        <v>2.8554998653625572E-2</v>
      </c>
      <c r="Q750">
        <v>5.5741090111496852E-3</v>
      </c>
      <c r="R750">
        <v>1.5437291835910969E-3</v>
      </c>
      <c r="S750">
        <v>0.25246205351486339</v>
      </c>
      <c r="T750">
        <v>1.3691689126123232</v>
      </c>
      <c r="U750">
        <v>0.21308712147343731</v>
      </c>
      <c r="V750">
        <v>0.24338951003520812</v>
      </c>
      <c r="W750">
        <v>9.5675525030355507E-2</v>
      </c>
      <c r="X750">
        <v>1.6744851275612913E-2</v>
      </c>
      <c r="Y750">
        <v>4.2015219475463631E-3</v>
      </c>
    </row>
    <row r="751" spans="1:25" x14ac:dyDescent="0.2">
      <c r="A751" s="1077"/>
      <c r="B751" s="1444">
        <v>501</v>
      </c>
      <c r="C751" s="1081">
        <v>1.0181725417432974</v>
      </c>
      <c r="D751" s="1081">
        <v>1.0288138038270276</v>
      </c>
      <c r="E751" s="1081">
        <v>0.96734027678447143</v>
      </c>
      <c r="F751" s="1081">
        <v>1.0207362239333788</v>
      </c>
      <c r="G751" s="1081">
        <v>1.0148127731979537</v>
      </c>
      <c r="H751" s="1081">
        <v>1.0351865597146426</v>
      </c>
      <c r="I751" s="1081">
        <v>1.0102551068443109</v>
      </c>
      <c r="K751">
        <v>2.42835183600311</v>
      </c>
      <c r="L751">
        <v>0</v>
      </c>
      <c r="M751">
        <v>1.7748305830887323E-3</v>
      </c>
      <c r="N751">
        <v>0.1463971549188029</v>
      </c>
      <c r="O751">
        <v>2.0461534573214171E-2</v>
      </c>
      <c r="P751">
        <v>2.8092791675377291E-2</v>
      </c>
      <c r="Q751">
        <v>5.1798950183594107E-3</v>
      </c>
      <c r="R751">
        <v>1.7521995438641695E-3</v>
      </c>
      <c r="S751">
        <v>0.25568535006563425</v>
      </c>
      <c r="T751">
        <v>1.399362616361491</v>
      </c>
      <c r="U751">
        <v>0.20808068508007638</v>
      </c>
      <c r="V751">
        <v>0.24706903723884621</v>
      </c>
      <c r="W751">
        <v>9.8082852634365517E-2</v>
      </c>
      <c r="X751">
        <v>1.5193639930193611E-2</v>
      </c>
      <c r="Y751">
        <v>4.768909545973872E-3</v>
      </c>
    </row>
    <row r="752" spans="1:25" x14ac:dyDescent="0.2">
      <c r="A752" s="1077"/>
      <c r="B752" s="1444">
        <v>502</v>
      </c>
      <c r="C752" s="1081">
        <v>1.0127750505809678</v>
      </c>
      <c r="D752" s="1081">
        <v>0.99136497216178077</v>
      </c>
      <c r="E752" s="1081">
        <v>1.0099509997025116</v>
      </c>
      <c r="F752" s="1081">
        <v>0.98283348181637398</v>
      </c>
      <c r="G752" s="1081">
        <v>0.99839074357127422</v>
      </c>
      <c r="H752" s="1081">
        <v>1.0213654712941851</v>
      </c>
      <c r="I752" s="1081">
        <v>0.99927741060440345</v>
      </c>
      <c r="K752">
        <v>2.3878007460918962</v>
      </c>
      <c r="L752">
        <v>0</v>
      </c>
      <c r="M752">
        <v>1.6249985180506531E-3</v>
      </c>
      <c r="N752">
        <v>0.15244350040615351</v>
      </c>
      <c r="O752">
        <v>2.0766995959139719E-2</v>
      </c>
      <c r="P752">
        <v>2.8322040143558717E-2</v>
      </c>
      <c r="Q752">
        <v>5.4887818612928867E-3</v>
      </c>
      <c r="R752">
        <v>1.6039976127861788E-3</v>
      </c>
      <c r="S752">
        <v>0.25816347345793583</v>
      </c>
      <c r="T752">
        <v>1.348304079327922</v>
      </c>
      <c r="U752">
        <v>0.2093331840660824</v>
      </c>
      <c r="V752">
        <v>0.2444337510278114</v>
      </c>
      <c r="W752">
        <v>9.9556779551354474E-2</v>
      </c>
      <c r="X752">
        <v>1.6643608451573814E-2</v>
      </c>
      <c r="Y752">
        <v>4.3655527443330301E-3</v>
      </c>
    </row>
    <row r="753" spans="1:25" x14ac:dyDescent="0.2">
      <c r="A753" s="1077"/>
      <c r="B753" s="1444">
        <v>503</v>
      </c>
      <c r="C753" s="1081">
        <v>1.0101595004453274</v>
      </c>
      <c r="D753" s="1081">
        <v>0.99656674502943754</v>
      </c>
      <c r="E753" s="1081">
        <v>0.99520099642177229</v>
      </c>
      <c r="F753" s="1081">
        <v>0.98528255177640811</v>
      </c>
      <c r="G753" s="1081">
        <v>0.99242899506890758</v>
      </c>
      <c r="H753" s="1081">
        <v>1.004851283281218</v>
      </c>
      <c r="I753" s="1081">
        <v>0.97845803519749219</v>
      </c>
      <c r="K753">
        <v>2.3763645688974222</v>
      </c>
      <c r="L753">
        <v>0</v>
      </c>
      <c r="M753">
        <v>1.650781430514753E-3</v>
      </c>
      <c r="N753">
        <v>0.14808200321041665</v>
      </c>
      <c r="O753">
        <v>2.0787106786772345E-2</v>
      </c>
      <c r="P753">
        <v>2.7956878334052821E-2</v>
      </c>
      <c r="Q753">
        <v>5.4133544155757296E-3</v>
      </c>
      <c r="R753">
        <v>1.6290967013751836E-3</v>
      </c>
      <c r="S753">
        <v>0.25129804963555197</v>
      </c>
      <c r="T753">
        <v>1.3513493624765482</v>
      </c>
      <c r="U753">
        <v>0.20982526712287844</v>
      </c>
      <c r="V753">
        <v>0.24362780678114535</v>
      </c>
      <c r="W753">
        <v>9.7558201459802318E-2</v>
      </c>
      <c r="X753">
        <v>1.6054359214259278E-2</v>
      </c>
      <c r="Y753">
        <v>4.4338641895599719E-3</v>
      </c>
    </row>
    <row r="754" spans="1:25" x14ac:dyDescent="0.2">
      <c r="A754" s="1077"/>
      <c r="B754" s="1444">
        <v>504</v>
      </c>
      <c r="C754" s="1081">
        <v>0.96601518306373246</v>
      </c>
      <c r="D754" s="1081">
        <v>0.98234613319146313</v>
      </c>
      <c r="E754" s="1081">
        <v>1.0102151762691649</v>
      </c>
      <c r="F754" s="1081">
        <v>0.99629649552563693</v>
      </c>
      <c r="G754" s="1081">
        <v>1.021213726494987</v>
      </c>
      <c r="H754" s="1081">
        <v>1.0211287039864154</v>
      </c>
      <c r="I754" s="1081">
        <v>1.0415154300827623</v>
      </c>
      <c r="K754">
        <v>2.4642438474889512</v>
      </c>
      <c r="L754">
        <v>0</v>
      </c>
      <c r="M754">
        <v>1.7057530404356509E-3</v>
      </c>
      <c r="N754">
        <v>0.16014638792081506</v>
      </c>
      <c r="O754">
        <v>2.181622176455102E-2</v>
      </c>
      <c r="P754">
        <v>2.9162182135602677E-2</v>
      </c>
      <c r="Q754">
        <v>5.7676183653901378E-3</v>
      </c>
      <c r="R754">
        <v>1.6837033808971319E-3</v>
      </c>
      <c r="S754">
        <v>0.28337423572385217</v>
      </c>
      <c r="T754">
        <v>1.3667790729799965</v>
      </c>
      <c r="U754">
        <v>0.21946687197404416</v>
      </c>
      <c r="V754">
        <v>0.25131176694213275</v>
      </c>
      <c r="W754">
        <v>0.10457103957008326</v>
      </c>
      <c r="X754">
        <v>1.7288014201888625E-2</v>
      </c>
      <c r="Y754">
        <v>4.5824855701316483E-3</v>
      </c>
    </row>
    <row r="755" spans="1:25" x14ac:dyDescent="0.2">
      <c r="A755" s="1077"/>
      <c r="B755" s="1444">
        <v>505</v>
      </c>
      <c r="C755" s="1081">
        <v>0.98569132680100502</v>
      </c>
      <c r="D755" s="1081">
        <v>0.98309134451203062</v>
      </c>
      <c r="E755" s="1081">
        <v>0.95874091775949544</v>
      </c>
      <c r="F755" s="1081">
        <v>0.98928220655765142</v>
      </c>
      <c r="G755" s="1081">
        <v>1.0278891632014688</v>
      </c>
      <c r="H755" s="1081">
        <v>1.0430424538030572</v>
      </c>
      <c r="I755" s="1081">
        <v>1.0054180780932536</v>
      </c>
      <c r="K755">
        <v>2.421686604818063</v>
      </c>
      <c r="L755">
        <v>0</v>
      </c>
      <c r="M755">
        <v>1.8991771240730196E-3</v>
      </c>
      <c r="N755">
        <v>0.15264041565930059</v>
      </c>
      <c r="O755">
        <v>2.1342463987688798E-2</v>
      </c>
      <c r="P755">
        <v>2.7663693700010168E-2</v>
      </c>
      <c r="Q755">
        <v>5.3554422776975205E-3</v>
      </c>
      <c r="R755">
        <v>1.8751429222649519E-3</v>
      </c>
      <c r="S755">
        <v>0.26946150977762251</v>
      </c>
      <c r="T755">
        <v>1.3560586496789961</v>
      </c>
      <c r="U755">
        <v>0.2149078702811611</v>
      </c>
      <c r="V755">
        <v>0.25135551694258035</v>
      </c>
      <c r="W755">
        <v>0.10280533164279938</v>
      </c>
      <c r="X755">
        <v>1.5016224178305077E-2</v>
      </c>
      <c r="Y755">
        <v>5.1035208937070054E-3</v>
      </c>
    </row>
    <row r="756" spans="1:25" x14ac:dyDescent="0.2">
      <c r="A756" s="1077"/>
      <c r="B756" s="1444">
        <v>506</v>
      </c>
      <c r="C756" s="1081">
        <v>0.97141460180980521</v>
      </c>
      <c r="D756" s="1081">
        <v>0.98141517487402652</v>
      </c>
      <c r="E756" s="1081">
        <v>0.98628516627179375</v>
      </c>
      <c r="F756" s="1081">
        <v>0.97835627177404727</v>
      </c>
      <c r="G756" s="1081">
        <v>0.99939013484975558</v>
      </c>
      <c r="H756" s="1081">
        <v>1.0048425119246369</v>
      </c>
      <c r="I756" s="1081">
        <v>1.0244738462800473</v>
      </c>
      <c r="K756">
        <v>2.4136611343816443</v>
      </c>
      <c r="L756">
        <v>0</v>
      </c>
      <c r="M756">
        <v>1.7545074103667957E-3</v>
      </c>
      <c r="N756">
        <v>0.15320095301973471</v>
      </c>
      <c r="O756">
        <v>2.168307423117264E-2</v>
      </c>
      <c r="P756">
        <v>2.813056799862574E-2</v>
      </c>
      <c r="Q756">
        <v>5.5960437056916754E-3</v>
      </c>
      <c r="R756">
        <v>1.7314599315359574E-3</v>
      </c>
      <c r="S756">
        <v>0.27564381489029721</v>
      </c>
      <c r="T756">
        <v>1.3416614235261897</v>
      </c>
      <c r="U756">
        <v>0.21816282666143835</v>
      </c>
      <c r="V756">
        <v>0.24731205203833678</v>
      </c>
      <c r="W756">
        <v>0.10147083526339527</v>
      </c>
      <c r="X756">
        <v>1.6110127367564824E-2</v>
      </c>
      <c r="Y756">
        <v>4.7124631580278461E-3</v>
      </c>
    </row>
    <row r="757" spans="1:25" x14ac:dyDescent="0.2">
      <c r="A757" s="1077"/>
      <c r="B757" s="1444">
        <v>507</v>
      </c>
      <c r="C757" s="1081">
        <v>0.99503568652119911</v>
      </c>
      <c r="D757" s="1081">
        <v>1.020999952316461</v>
      </c>
      <c r="E757" s="1081">
        <v>0.98140659647733619</v>
      </c>
      <c r="F757" s="1081">
        <v>1.0434361309212172</v>
      </c>
      <c r="G757" s="1081">
        <v>0.97287906409797431</v>
      </c>
      <c r="H757" s="1081">
        <v>0.96288890827136897</v>
      </c>
      <c r="I757" s="1081">
        <v>1.0102373511196885</v>
      </c>
      <c r="K757">
        <v>2.4523336989425166</v>
      </c>
      <c r="L757">
        <v>0</v>
      </c>
      <c r="M757">
        <v>1.6436338830112809E-3</v>
      </c>
      <c r="N757">
        <v>0.14133529632525949</v>
      </c>
      <c r="O757">
        <v>2.0981759777247221E-2</v>
      </c>
      <c r="P757">
        <v>2.8817932623285324E-2</v>
      </c>
      <c r="Q757">
        <v>5.3883186765695682E-3</v>
      </c>
      <c r="R757">
        <v>1.6211021228407885E-3</v>
      </c>
      <c r="S757">
        <v>0.25651872746435395</v>
      </c>
      <c r="T757">
        <v>1.430798459710648</v>
      </c>
      <c r="U757">
        <v>0.21296715812177253</v>
      </c>
      <c r="V757">
        <v>0.2412756757315376</v>
      </c>
      <c r="W757">
        <v>9.3887084474958638E-2</v>
      </c>
      <c r="X757">
        <v>1.5973712214848741E-2</v>
      </c>
      <c r="Y757">
        <v>4.4121055822014532E-3</v>
      </c>
    </row>
    <row r="758" spans="1:25" x14ac:dyDescent="0.2">
      <c r="A758" s="1077"/>
      <c r="B758" s="1444">
        <v>508</v>
      </c>
      <c r="C758" s="1081">
        <v>1.0197899854796613</v>
      </c>
      <c r="D758" s="1081">
        <v>0.97752668682028054</v>
      </c>
      <c r="E758" s="1081">
        <v>0.98201507207589589</v>
      </c>
      <c r="F758" s="1081">
        <v>1.0011629041460659</v>
      </c>
      <c r="G758" s="1081">
        <v>0.99500590179529669</v>
      </c>
      <c r="H758" s="1081">
        <v>0.99914980231608252</v>
      </c>
      <c r="I758" s="1081">
        <v>0.99000821538663053</v>
      </c>
      <c r="K758">
        <v>2.392654618664162</v>
      </c>
      <c r="L758">
        <v>0</v>
      </c>
      <c r="M758">
        <v>1.6780241506334651E-3</v>
      </c>
      <c r="N758">
        <v>0.14463127678452534</v>
      </c>
      <c r="O758">
        <v>2.0669764275761681E-2</v>
      </c>
      <c r="P758">
        <v>2.7974316161689196E-2</v>
      </c>
      <c r="Q758">
        <v>5.3114759781647588E-3</v>
      </c>
      <c r="R758">
        <v>1.6558557777113716E-3</v>
      </c>
      <c r="S758">
        <v>0.25373556007792386</v>
      </c>
      <c r="T758">
        <v>1.372844963731791</v>
      </c>
      <c r="U758">
        <v>0.20779964425736625</v>
      </c>
      <c r="V758">
        <v>0.24353242302098049</v>
      </c>
      <c r="W758">
        <v>9.6041313387258756E-2</v>
      </c>
      <c r="X758">
        <v>1.5629355787399192E-2</v>
      </c>
      <c r="Y758">
        <v>4.506693574219932E-3</v>
      </c>
    </row>
    <row r="759" spans="1:25" x14ac:dyDescent="0.2">
      <c r="A759" s="1077"/>
      <c r="B759" s="1444">
        <v>509</v>
      </c>
      <c r="C759" s="1081">
        <v>1.007593472687534</v>
      </c>
      <c r="D759" s="1081">
        <v>0.98104231045173362</v>
      </c>
      <c r="E759" s="1081">
        <v>1.0078594367289837</v>
      </c>
      <c r="F759" s="1081">
        <v>0.96806863316546921</v>
      </c>
      <c r="G759" s="1081">
        <v>1.0299036494581459</v>
      </c>
      <c r="H759" s="1081">
        <v>0.95961657088260577</v>
      </c>
      <c r="I759" s="1081">
        <v>0.98672620178318582</v>
      </c>
      <c r="K759">
        <v>2.3539392737709512</v>
      </c>
      <c r="L759">
        <v>0</v>
      </c>
      <c r="M759">
        <v>1.5448419788411188E-3</v>
      </c>
      <c r="N759">
        <v>0.14389026804683194</v>
      </c>
      <c r="O759">
        <v>2.092052849157261E-2</v>
      </c>
      <c r="P759">
        <v>2.8013400276586352E-2</v>
      </c>
      <c r="Q759">
        <v>5.5178052616305434E-3</v>
      </c>
      <c r="R759">
        <v>1.5235922916278385E-3</v>
      </c>
      <c r="S759">
        <v>0.25239407643091422</v>
      </c>
      <c r="T759">
        <v>1.3280049919357233</v>
      </c>
      <c r="U759">
        <v>0.21040258051870783</v>
      </c>
      <c r="V759">
        <v>0.25013835252583655</v>
      </c>
      <c r="W759">
        <v>9.4086962056462553E-2</v>
      </c>
      <c r="X759">
        <v>1.6444841948153963E-2</v>
      </c>
      <c r="Y759">
        <v>4.1467159657470245E-3</v>
      </c>
    </row>
    <row r="760" spans="1:25" x14ac:dyDescent="0.2">
      <c r="A760" s="1077"/>
      <c r="B760" s="1444">
        <v>510</v>
      </c>
      <c r="C760" s="1081">
        <v>0.98761274549722466</v>
      </c>
      <c r="D760" s="1081">
        <v>0.97330693431475679</v>
      </c>
      <c r="E760" s="1081">
        <v>0.99126255025079779</v>
      </c>
      <c r="F760" s="1081">
        <v>1.03345885204647</v>
      </c>
      <c r="G760" s="1081">
        <v>1.0127627507069807</v>
      </c>
      <c r="H760" s="1081">
        <v>0.99122276526618081</v>
      </c>
      <c r="I760" s="1081">
        <v>0.99881465680518078</v>
      </c>
      <c r="K760">
        <v>2.4701405292335079</v>
      </c>
      <c r="L760">
        <v>0</v>
      </c>
      <c r="M760">
        <v>1.6879633340817423E-3</v>
      </c>
      <c r="N760">
        <v>0.14959808387829515</v>
      </c>
      <c r="O760">
        <v>2.1369763339538154E-2</v>
      </c>
      <c r="P760">
        <v>2.9076482004223553E-2</v>
      </c>
      <c r="Q760">
        <v>5.5430189567835068E-3</v>
      </c>
      <c r="R760">
        <v>1.6654853189522667E-3</v>
      </c>
      <c r="S760">
        <v>0.26430162614922681</v>
      </c>
      <c r="T760">
        <v>1.4173369266126443</v>
      </c>
      <c r="U760">
        <v>0.21460186683167329</v>
      </c>
      <c r="V760">
        <v>0.24852508357413247</v>
      </c>
      <c r="W760">
        <v>9.8789225666294098E-2</v>
      </c>
      <c r="X760">
        <v>1.6488028224724855E-2</v>
      </c>
      <c r="Y760">
        <v>4.532902011100232E-3</v>
      </c>
    </row>
    <row r="761" spans="1:25" x14ac:dyDescent="0.2">
      <c r="A761" s="1077"/>
      <c r="B761" s="1444">
        <v>511</v>
      </c>
      <c r="C761" s="1081">
        <v>1.0105339331146874</v>
      </c>
      <c r="D761" s="1081">
        <v>0.96856262006577598</v>
      </c>
      <c r="E761" s="1081">
        <v>0.98715309041187838</v>
      </c>
      <c r="F761" s="1081">
        <v>1.0170711569734854</v>
      </c>
      <c r="G761" s="1081">
        <v>0.99498421747649346</v>
      </c>
      <c r="H761" s="1081">
        <v>0.96557833454094555</v>
      </c>
      <c r="I761" s="1081">
        <v>0.98301109556961908</v>
      </c>
      <c r="K761">
        <v>2.4122006352034315</v>
      </c>
      <c r="L761">
        <v>0</v>
      </c>
      <c r="M761">
        <v>1.6224738515674313E-3</v>
      </c>
      <c r="N761">
        <v>0.14196743691795202</v>
      </c>
      <c r="O761">
        <v>2.0904799048396962E-2</v>
      </c>
      <c r="P761">
        <v>2.8398448688214718E-2</v>
      </c>
      <c r="Q761">
        <v>5.3999274563206832E-3</v>
      </c>
      <c r="R761">
        <v>1.6002941135480453E-3</v>
      </c>
      <c r="S761">
        <v>0.25267902653457758</v>
      </c>
      <c r="T761">
        <v>1.3947718268325557</v>
      </c>
      <c r="U761">
        <v>0.20972033588915107</v>
      </c>
      <c r="V761">
        <v>0.2440703307317901</v>
      </c>
      <c r="W761">
        <v>9.3981444575593973E-2</v>
      </c>
      <c r="X761">
        <v>1.5973765226633605E-2</v>
      </c>
      <c r="Y761">
        <v>4.355473040265026E-3</v>
      </c>
    </row>
    <row r="762" spans="1:25" x14ac:dyDescent="0.2">
      <c r="A762" s="1077"/>
      <c r="B762" s="1444">
        <v>512</v>
      </c>
      <c r="C762" s="1081">
        <v>1.0127957846411186</v>
      </c>
      <c r="D762" s="1081">
        <v>0.99801998302536787</v>
      </c>
      <c r="E762" s="1081">
        <v>1.0270600938153085</v>
      </c>
      <c r="F762" s="1081">
        <v>1.0239417526279244</v>
      </c>
      <c r="G762" s="1081">
        <v>1.0146484643870992</v>
      </c>
      <c r="H762" s="1081">
        <v>1.015150749880553</v>
      </c>
      <c r="I762" s="1081">
        <v>1.0070111825551329</v>
      </c>
      <c r="K762">
        <v>2.4512083375505056</v>
      </c>
      <c r="L762">
        <v>0</v>
      </c>
      <c r="M762">
        <v>1.5563153345241501E-3</v>
      </c>
      <c r="N762">
        <v>0.15372236364144512</v>
      </c>
      <c r="O762">
        <v>2.0747274653647386E-2</v>
      </c>
      <c r="P762">
        <v>2.9518655574358663E-2</v>
      </c>
      <c r="Q762">
        <v>5.5777152970345354E-3</v>
      </c>
      <c r="R762">
        <v>1.5360789335918128E-3</v>
      </c>
      <c r="S762">
        <v>0.25890246655830296</v>
      </c>
      <c r="T762">
        <v>1.4050789061518147</v>
      </c>
      <c r="U762">
        <v>0.2093868058050514</v>
      </c>
      <c r="V762">
        <v>0.24714653668181549</v>
      </c>
      <c r="W762">
        <v>9.9390907902692685E-2</v>
      </c>
      <c r="X762">
        <v>1.7576241196318579E-2</v>
      </c>
      <c r="Y762">
        <v>4.180700488952545E-3</v>
      </c>
    </row>
    <row r="763" spans="1:25" x14ac:dyDescent="0.2">
      <c r="A763" s="1077"/>
      <c r="B763" s="1444">
        <v>513</v>
      </c>
      <c r="C763" s="1081">
        <v>0.9958970879238046</v>
      </c>
      <c r="D763" s="1081">
        <v>1.0093938986026003</v>
      </c>
      <c r="E763" s="1081">
        <v>0.99119317502276771</v>
      </c>
      <c r="F763" s="1081">
        <v>1.0022291667211658</v>
      </c>
      <c r="G763" s="1081">
        <v>1.0048922481994089</v>
      </c>
      <c r="H763" s="1081">
        <v>1.0149761992442348</v>
      </c>
      <c r="I763" s="1081">
        <v>1.0333129363831175</v>
      </c>
      <c r="K763">
        <v>2.4283069053530428</v>
      </c>
      <c r="L763">
        <v>0</v>
      </c>
      <c r="M763">
        <v>1.7006065434741538E-3</v>
      </c>
      <c r="N763">
        <v>0.15073459372716322</v>
      </c>
      <c r="O763">
        <v>2.1022898603049643E-2</v>
      </c>
      <c r="P763">
        <v>2.8499390503948847E-2</v>
      </c>
      <c r="Q763">
        <v>5.4526649702934483E-3</v>
      </c>
      <c r="R763">
        <v>1.6784901551970845E-3</v>
      </c>
      <c r="S763">
        <v>0.26832898946564632</v>
      </c>
      <c r="T763">
        <v>1.3745054800742831</v>
      </c>
      <c r="U763">
        <v>0.21281646934136114</v>
      </c>
      <c r="V763">
        <v>0.24665549416960919</v>
      </c>
      <c r="W763">
        <v>9.9543869073829325E-2</v>
      </c>
      <c r="X763">
        <v>1.6200874923820833E-2</v>
      </c>
      <c r="Y763">
        <v>4.5682968883155118E-3</v>
      </c>
    </row>
    <row r="764" spans="1:25" x14ac:dyDescent="0.2">
      <c r="A764" s="1077"/>
      <c r="B764" s="1444">
        <v>514</v>
      </c>
      <c r="C764" s="1081">
        <v>0.99671009555711321</v>
      </c>
      <c r="D764" s="1081">
        <v>0.95463110132837803</v>
      </c>
      <c r="E764" s="1081">
        <v>0.98756192615604887</v>
      </c>
      <c r="F764" s="1081">
        <v>1.0321059761343603</v>
      </c>
      <c r="G764" s="1081">
        <v>0.97903834003515844</v>
      </c>
      <c r="H764" s="1081">
        <v>1.0035112144598739</v>
      </c>
      <c r="I764" s="1081">
        <v>0.99920722270205209</v>
      </c>
      <c r="K764">
        <v>2.4619442568492347</v>
      </c>
      <c r="L764">
        <v>0</v>
      </c>
      <c r="M764">
        <v>1.7136067348924933E-3</v>
      </c>
      <c r="N764">
        <v>0.15020576268182165</v>
      </c>
      <c r="O764">
        <v>2.1262675687110971E-2</v>
      </c>
      <c r="P764">
        <v>2.8874896825375768E-2</v>
      </c>
      <c r="Q764">
        <v>5.4946441753072226E-3</v>
      </c>
      <c r="R764">
        <v>1.6910666706981569E-3</v>
      </c>
      <c r="S764">
        <v>0.26560216208285309</v>
      </c>
      <c r="T764">
        <v>1.4153990957881331</v>
      </c>
      <c r="U764">
        <v>0.21263044440709208</v>
      </c>
      <c r="V764">
        <v>0.24220097911998292</v>
      </c>
      <c r="W764">
        <v>9.9410756890059501E-2</v>
      </c>
      <c r="X764">
        <v>1.6282853238026963E-2</v>
      </c>
      <c r="Y764">
        <v>4.6025260176622094E-3</v>
      </c>
    </row>
    <row r="765" spans="1:25" x14ac:dyDescent="0.2">
      <c r="A765" s="1077"/>
      <c r="B765" s="1444">
        <v>515</v>
      </c>
      <c r="C765" s="1081">
        <v>0.95971198692030435</v>
      </c>
      <c r="D765" s="1081">
        <v>0.99007256072279781</v>
      </c>
      <c r="E765" s="1081">
        <v>0.9999681541891402</v>
      </c>
      <c r="F765" s="1081">
        <v>1.0278849007466402</v>
      </c>
      <c r="G765" s="1081">
        <v>0.98814628019522588</v>
      </c>
      <c r="H765" s="1081">
        <v>1.0143459621376949</v>
      </c>
      <c r="I765" s="1081">
        <v>0.99272583023845329</v>
      </c>
      <c r="K765">
        <v>2.4879211170209592</v>
      </c>
      <c r="L765">
        <v>0</v>
      </c>
      <c r="M765">
        <v>1.7392205345966225E-3</v>
      </c>
      <c r="N765">
        <v>0.15829877429042244</v>
      </c>
      <c r="O765">
        <v>2.1914582291590216E-2</v>
      </c>
      <c r="P765">
        <v>2.9297137703429371E-2</v>
      </c>
      <c r="Q765">
        <v>5.7344196306987477E-3</v>
      </c>
      <c r="R765">
        <v>1.7165879179133171E-3</v>
      </c>
      <c r="S765">
        <v>0.27012335581344998</v>
      </c>
      <c r="T765">
        <v>1.4098858977758801</v>
      </c>
      <c r="U765">
        <v>0.22087176046072224</v>
      </c>
      <c r="V765">
        <v>0.24612620094892551</v>
      </c>
      <c r="W765">
        <v>0.10399350203168245</v>
      </c>
      <c r="X765">
        <v>1.7026132251336024E-2</v>
      </c>
      <c r="Y765">
        <v>4.6719864395049901E-3</v>
      </c>
    </row>
    <row r="766" spans="1:25" x14ac:dyDescent="0.2">
      <c r="A766" s="1077"/>
      <c r="B766" s="1444">
        <v>516</v>
      </c>
      <c r="C766" s="1081">
        <v>1.0039580358760423</v>
      </c>
      <c r="D766" s="1081">
        <v>0.9777069440587759</v>
      </c>
      <c r="E766" s="1081">
        <v>0.9807241884149317</v>
      </c>
      <c r="F766" s="1081">
        <v>0.97737520648624032</v>
      </c>
      <c r="G766" s="1081">
        <v>0.98670541861056438</v>
      </c>
      <c r="H766" s="1081">
        <v>0.97375137070099427</v>
      </c>
      <c r="I766" s="1081">
        <v>1.0085352097224087</v>
      </c>
      <c r="K766">
        <v>2.3666587761334394</v>
      </c>
      <c r="L766">
        <v>0</v>
      </c>
      <c r="M766">
        <v>1.6655311152312131E-3</v>
      </c>
      <c r="N766">
        <v>0.14294500928154025</v>
      </c>
      <c r="O766">
        <v>2.0994010110614237E-2</v>
      </c>
      <c r="P766">
        <v>2.7634778080633266E-2</v>
      </c>
      <c r="Q766">
        <v>5.3877286816157973E-3</v>
      </c>
      <c r="R766">
        <v>1.6429538732928692E-3</v>
      </c>
      <c r="S766">
        <v>0.26034521638388397</v>
      </c>
      <c r="T766">
        <v>1.3401988921826091</v>
      </c>
      <c r="U766">
        <v>0.211072165642364</v>
      </c>
      <c r="V766">
        <v>0.24308340507348572</v>
      </c>
      <c r="W766">
        <v>9.499549673048803E-2</v>
      </c>
      <c r="X766">
        <v>1.5553072364637316E-2</v>
      </c>
      <c r="Y766">
        <v>4.4715788435044186E-3</v>
      </c>
    </row>
    <row r="767" spans="1:25" x14ac:dyDescent="0.2">
      <c r="A767" s="1077"/>
      <c r="B767" s="1444">
        <v>517</v>
      </c>
      <c r="C767" s="1081">
        <v>1.0440420063973708</v>
      </c>
      <c r="D767" s="1081">
        <v>0.9984033139490005</v>
      </c>
      <c r="E767" s="1081">
        <v>0.99519298345059914</v>
      </c>
      <c r="F767" s="1081">
        <v>0.97747554460184616</v>
      </c>
      <c r="G767" s="1081">
        <v>0.98744942760333532</v>
      </c>
      <c r="H767" s="1081">
        <v>0.96867252894550959</v>
      </c>
      <c r="I767" s="1081">
        <v>0.9921057182009031</v>
      </c>
      <c r="K767">
        <v>2.3294186082982105</v>
      </c>
      <c r="L767">
        <v>0</v>
      </c>
      <c r="M767">
        <v>1.5391042703518309E-3</v>
      </c>
      <c r="N767">
        <v>0.13799211470834749</v>
      </c>
      <c r="O767">
        <v>2.0104348323758299E-2</v>
      </c>
      <c r="P767">
        <v>2.7572053012510415E-2</v>
      </c>
      <c r="Q767">
        <v>5.2355089609996165E-3</v>
      </c>
      <c r="R767">
        <v>1.5181314286929091E-3</v>
      </c>
      <c r="S767">
        <v>0.24338174071943844</v>
      </c>
      <c r="T767">
        <v>1.3406416107795971</v>
      </c>
      <c r="U767">
        <v>0.20301573916510646</v>
      </c>
      <c r="V767">
        <v>0.24077299657411741</v>
      </c>
      <c r="W767">
        <v>9.0911296391202892E-2</v>
      </c>
      <c r="X767">
        <v>1.5680319207775826E-2</v>
      </c>
      <c r="Y767">
        <v>4.1318532970111288E-3</v>
      </c>
    </row>
    <row r="768" spans="1:25" x14ac:dyDescent="0.2">
      <c r="A768" s="1077"/>
      <c r="B768" s="1444">
        <v>518</v>
      </c>
      <c r="C768" s="1081">
        <v>1.0071898086411142</v>
      </c>
      <c r="D768" s="1081">
        <v>1.0063849777717933</v>
      </c>
      <c r="E768" s="1081">
        <v>0.99677825731016223</v>
      </c>
      <c r="F768" s="1081">
        <v>0.9726818861439227</v>
      </c>
      <c r="G768" s="1081">
        <v>0.98483509745799336</v>
      </c>
      <c r="H768" s="1081">
        <v>1.0033935610222688</v>
      </c>
      <c r="I768" s="1081">
        <v>0.995004870280919</v>
      </c>
      <c r="K768">
        <v>2.3622175076000103</v>
      </c>
      <c r="L768">
        <v>0</v>
      </c>
      <c r="M768">
        <v>1.6442998335674101E-3</v>
      </c>
      <c r="N768">
        <v>0.14820247265918329</v>
      </c>
      <c r="O768">
        <v>2.0804516322989748E-2</v>
      </c>
      <c r="P768">
        <v>2.7797873226695323E-2</v>
      </c>
      <c r="Q768">
        <v>5.4265038093086635E-3</v>
      </c>
      <c r="R768">
        <v>1.6226688672284269E-3</v>
      </c>
      <c r="S768">
        <v>0.25493792287005174</v>
      </c>
      <c r="T768">
        <v>1.3341002649497677</v>
      </c>
      <c r="U768">
        <v>0.21044928497158413</v>
      </c>
      <c r="V768">
        <v>0.24250734534152951</v>
      </c>
      <c r="W768">
        <v>9.7545791845377885E-2</v>
      </c>
      <c r="X768">
        <v>1.6050792825910966E-2</v>
      </c>
      <c r="Y768">
        <v>4.4163697439474573E-3</v>
      </c>
    </row>
    <row r="769" spans="1:25" x14ac:dyDescent="0.2">
      <c r="A769" s="1077"/>
      <c r="B769" s="1444">
        <v>519</v>
      </c>
      <c r="C769" s="1081">
        <v>1.0030445921313715</v>
      </c>
      <c r="D769" s="1081">
        <v>1.0354303151798065</v>
      </c>
      <c r="E769" s="1081">
        <v>0.95445336464946917</v>
      </c>
      <c r="F769" s="1081">
        <v>0.99120518697358839</v>
      </c>
      <c r="G769" s="1081">
        <v>0.99459824890877802</v>
      </c>
      <c r="H769" s="1081">
        <v>1.0190089842574721</v>
      </c>
      <c r="I769" s="1081">
        <v>1.0290693855338049</v>
      </c>
      <c r="K769">
        <v>2.3908127368955991</v>
      </c>
      <c r="L769">
        <v>0</v>
      </c>
      <c r="M769">
        <v>1.8186201164336641E-3</v>
      </c>
      <c r="N769">
        <v>0.14423513859759923</v>
      </c>
      <c r="O769">
        <v>2.0732456617722154E-2</v>
      </c>
      <c r="P769">
        <v>2.7369094589352626E-2</v>
      </c>
      <c r="Q769">
        <v>5.1794551007608826E-3</v>
      </c>
      <c r="R769">
        <v>1.7950625623949605E-3</v>
      </c>
      <c r="S769">
        <v>0.2620341136350412</v>
      </c>
      <c r="T769">
        <v>1.3586035035791668</v>
      </c>
      <c r="U769">
        <v>0.21117533047342946</v>
      </c>
      <c r="V769">
        <v>0.24458527562932164</v>
      </c>
      <c r="W769">
        <v>9.7400824010977161E-2</v>
      </c>
      <c r="X769">
        <v>1.4635533663639743E-2</v>
      </c>
      <c r="Y769">
        <v>4.8855685526244209E-3</v>
      </c>
    </row>
    <row r="770" spans="1:25" x14ac:dyDescent="0.2">
      <c r="A770" s="1077"/>
      <c r="B770" s="1444">
        <v>520</v>
      </c>
      <c r="C770" s="1081">
        <v>0.97128027446005083</v>
      </c>
      <c r="D770" s="1081">
        <v>0.97397539149604706</v>
      </c>
      <c r="E770" s="1081">
        <v>0.98288236369481807</v>
      </c>
      <c r="F770" s="1081">
        <v>1.005428586257872</v>
      </c>
      <c r="G770" s="1081">
        <v>1.0199039449600935</v>
      </c>
      <c r="H770" s="1081">
        <v>0.97413430398995571</v>
      </c>
      <c r="I770" s="1081">
        <v>1.0175858771776949</v>
      </c>
      <c r="K770">
        <v>2.4430548540629062</v>
      </c>
      <c r="L770">
        <v>0</v>
      </c>
      <c r="M770">
        <v>1.7160154588009295E-3</v>
      </c>
      <c r="N770">
        <v>0.14824338191275299</v>
      </c>
      <c r="O770">
        <v>2.1720075143537645E-2</v>
      </c>
      <c r="P770">
        <v>2.8557421769007951E-2</v>
      </c>
      <c r="Q770">
        <v>5.5862881883621922E-3</v>
      </c>
      <c r="R770">
        <v>1.6927630164099584E-3</v>
      </c>
      <c r="S770">
        <v>0.27209834624248813</v>
      </c>
      <c r="T770">
        <v>1.3787130735359463</v>
      </c>
      <c r="U770">
        <v>0.21818105241247546</v>
      </c>
      <c r="V770">
        <v>0.25083806846097206</v>
      </c>
      <c r="W770">
        <v>9.838846597151063E-2</v>
      </c>
      <c r="X770">
        <v>1.6144789956751462E-2</v>
      </c>
      <c r="Y770">
        <v>4.6071429114895174E-3</v>
      </c>
    </row>
    <row r="771" spans="1:25" x14ac:dyDescent="0.2">
      <c r="A771" s="1077"/>
      <c r="B771" s="1444">
        <v>521</v>
      </c>
      <c r="C771" s="1081">
        <v>1.0297355715706631</v>
      </c>
      <c r="D771" s="1081">
        <v>0.99690380603221107</v>
      </c>
      <c r="E771" s="1081">
        <v>0.97258691733844471</v>
      </c>
      <c r="F771" s="1081">
        <v>1.0042833498201893</v>
      </c>
      <c r="G771" s="1081">
        <v>0.98392818943094695</v>
      </c>
      <c r="H771" s="1081">
        <v>0.96860191003970109</v>
      </c>
      <c r="I771" s="1081">
        <v>1.0294479404133803</v>
      </c>
      <c r="K771">
        <v>2.381173178904251</v>
      </c>
      <c r="L771">
        <v>0</v>
      </c>
      <c r="M771">
        <v>1.6356320537995652E-3</v>
      </c>
      <c r="N771">
        <v>0.13695405666100618</v>
      </c>
      <c r="O771">
        <v>2.0375863400539825E-2</v>
      </c>
      <c r="P771">
        <v>2.7799902963775464E-2</v>
      </c>
      <c r="Q771">
        <v>5.1859427227812799E-3</v>
      </c>
      <c r="R771">
        <v>1.6133422364262729E-3</v>
      </c>
      <c r="S771">
        <v>0.25605642386158883</v>
      </c>
      <c r="T771">
        <v>1.3769200495537792</v>
      </c>
      <c r="U771">
        <v>0.20576145218953426</v>
      </c>
      <c r="V771">
        <v>0.24108306714099847</v>
      </c>
      <c r="W771">
        <v>9.1463641301401236E-2</v>
      </c>
      <c r="X771">
        <v>1.520408319678907E-2</v>
      </c>
      <c r="Y771">
        <v>4.3909857294270127E-3</v>
      </c>
    </row>
    <row r="772" spans="1:25" x14ac:dyDescent="0.2">
      <c r="A772" s="1077"/>
      <c r="B772" s="1444">
        <v>522</v>
      </c>
      <c r="C772" s="1081">
        <v>1.0133096993968169</v>
      </c>
      <c r="D772" s="1081">
        <v>0.99544302585995958</v>
      </c>
      <c r="E772" s="1081">
        <v>1.000329399667806</v>
      </c>
      <c r="F772" s="1081">
        <v>0.97132573667865796</v>
      </c>
      <c r="G772" s="1081">
        <v>0.98905874678895367</v>
      </c>
      <c r="H772" s="1081">
        <v>1.022425363166912</v>
      </c>
      <c r="I772" s="1081">
        <v>1.0267232389197283</v>
      </c>
      <c r="K772">
        <v>2.3738862100358666</v>
      </c>
      <c r="L772">
        <v>0</v>
      </c>
      <c r="M772">
        <v>1.6571300016445677E-3</v>
      </c>
      <c r="N772">
        <v>0.15100756603752244</v>
      </c>
      <c r="O772">
        <v>2.0730988649990578E-2</v>
      </c>
      <c r="P772">
        <v>2.7966296708699788E-2</v>
      </c>
      <c r="Q772">
        <v>5.4266770103048546E-3</v>
      </c>
      <c r="R772">
        <v>1.6357360414180544E-3</v>
      </c>
      <c r="S772">
        <v>0.26458177256337367</v>
      </c>
      <c r="T772">
        <v>1.3323147934491661</v>
      </c>
      <c r="U772">
        <v>0.20919025157154231</v>
      </c>
      <c r="V772">
        <v>0.24284196533730795</v>
      </c>
      <c r="W772">
        <v>9.9182288527460485E-2</v>
      </c>
      <c r="X772">
        <v>1.6213069856223238E-2</v>
      </c>
      <c r="Y772">
        <v>4.4519342844988093E-3</v>
      </c>
    </row>
    <row r="773" spans="1:25" x14ac:dyDescent="0.2">
      <c r="A773" s="1077"/>
      <c r="B773" s="1444">
        <v>523</v>
      </c>
      <c r="C773" s="1081">
        <v>1.015494564741787</v>
      </c>
      <c r="D773" s="1081">
        <v>1.0064939937818984</v>
      </c>
      <c r="E773" s="1081">
        <v>0.99524217755085276</v>
      </c>
      <c r="F773" s="1081">
        <v>0.9994942105153346</v>
      </c>
      <c r="G773" s="1081">
        <v>1.0061699872500833</v>
      </c>
      <c r="H773" s="1081">
        <v>0.97513189272278256</v>
      </c>
      <c r="I773" s="1081">
        <v>1.0051918589288886</v>
      </c>
      <c r="K773">
        <v>2.3893710425440089</v>
      </c>
      <c r="L773">
        <v>0</v>
      </c>
      <c r="M773">
        <v>1.5899349915286969E-3</v>
      </c>
      <c r="N773">
        <v>0.14258370830433262</v>
      </c>
      <c r="O773">
        <v>2.0632882573777728E-2</v>
      </c>
      <c r="P773">
        <v>2.8258972931576531E-2</v>
      </c>
      <c r="Q773">
        <v>5.3734145377345773E-3</v>
      </c>
      <c r="R773">
        <v>1.5684130114465738E-3</v>
      </c>
      <c r="S773">
        <v>0.25303959437052703</v>
      </c>
      <c r="T773">
        <v>1.3708420371591621</v>
      </c>
      <c r="U773">
        <v>0.20872305479276732</v>
      </c>
      <c r="V773">
        <v>0.2456500634440853</v>
      </c>
      <c r="W773">
        <v>9.3933550946110028E-2</v>
      </c>
      <c r="X773">
        <v>1.608658227406733E-2</v>
      </c>
      <c r="Y773">
        <v>4.2687031899473048E-3</v>
      </c>
    </row>
    <row r="774" spans="1:25" x14ac:dyDescent="0.2">
      <c r="A774" s="1077"/>
      <c r="B774" s="1444">
        <v>524</v>
      </c>
      <c r="C774" s="1081">
        <v>1.0107835643345273</v>
      </c>
      <c r="D774" s="1081">
        <v>0.99106891667050623</v>
      </c>
      <c r="E774" s="1081">
        <v>1.0278018292246094</v>
      </c>
      <c r="F774" s="1081">
        <v>1.0284773628822059</v>
      </c>
      <c r="G774" s="1081">
        <v>0.98329100103148692</v>
      </c>
      <c r="H774" s="1081">
        <v>1.0394664326702967</v>
      </c>
      <c r="I774" s="1081">
        <v>0.99335899738072986</v>
      </c>
      <c r="K774">
        <v>2.4601186642077937</v>
      </c>
      <c r="L774">
        <v>0</v>
      </c>
      <c r="M774">
        <v>1.5967540597147231E-3</v>
      </c>
      <c r="N774">
        <v>0.15811845989586779</v>
      </c>
      <c r="O774">
        <v>2.0821057076490984E-2</v>
      </c>
      <c r="P774">
        <v>2.955367189569057E-2</v>
      </c>
      <c r="Q774">
        <v>5.6016632946298273E-3</v>
      </c>
      <c r="R774">
        <v>1.576477523011181E-3</v>
      </c>
      <c r="S774">
        <v>0.25884158918003825</v>
      </c>
      <c r="T774">
        <v>1.4113193734348053</v>
      </c>
      <c r="U774">
        <v>0.20980616197786908</v>
      </c>
      <c r="V774">
        <v>0.24191577386439275</v>
      </c>
      <c r="W774">
        <v>0.10218915612907799</v>
      </c>
      <c r="X774">
        <v>1.7681381863673375E-2</v>
      </c>
      <c r="Y774">
        <v>4.2906521319606419E-3</v>
      </c>
    </row>
    <row r="775" spans="1:25" x14ac:dyDescent="0.2">
      <c r="A775" s="1077"/>
      <c r="B775" s="1444">
        <v>525</v>
      </c>
      <c r="C775" s="1081">
        <v>1.0323915806964752</v>
      </c>
      <c r="D775" s="1081">
        <v>1.0306942328319733</v>
      </c>
      <c r="E775" s="1081">
        <v>1.0024980403737938</v>
      </c>
      <c r="F775" s="1081">
        <v>1.0024411019230921</v>
      </c>
      <c r="G775" s="1081">
        <v>1.0278944863308692</v>
      </c>
      <c r="H775" s="1081">
        <v>1.0317068520934727</v>
      </c>
      <c r="I775" s="1081">
        <v>0.99742201378053641</v>
      </c>
      <c r="K775">
        <v>2.3982394246114858</v>
      </c>
      <c r="L775">
        <v>0</v>
      </c>
      <c r="M775">
        <v>1.6214367062126127E-3</v>
      </c>
      <c r="N775">
        <v>0.14874363723408854</v>
      </c>
      <c r="O775">
        <v>2.019401126415751E-2</v>
      </c>
      <c r="P775">
        <v>2.8401029598293718E-2</v>
      </c>
      <c r="Q775">
        <v>5.2976409484006811E-3</v>
      </c>
      <c r="R775">
        <v>1.6006918750831785E-3</v>
      </c>
      <c r="S775">
        <v>0.24872829523736018</v>
      </c>
      <c r="T775">
        <v>1.3750410829719821</v>
      </c>
      <c r="U775">
        <v>0.20533093204184133</v>
      </c>
      <c r="V775">
        <v>0.24832771499617434</v>
      </c>
      <c r="W775">
        <v>9.756963207746773E-2</v>
      </c>
      <c r="X775">
        <v>1.6269637456806485E-2</v>
      </c>
      <c r="Y775">
        <v>4.3565556160416064E-3</v>
      </c>
    </row>
    <row r="776" spans="1:25" x14ac:dyDescent="0.2">
      <c r="A776" s="1077"/>
      <c r="B776" s="1444">
        <v>526</v>
      </c>
      <c r="C776" s="1081">
        <v>0.99675245667730061</v>
      </c>
      <c r="D776" s="1081">
        <v>0.95206137263543245</v>
      </c>
      <c r="E776" s="1081">
        <v>1.0069835968703809</v>
      </c>
      <c r="F776" s="1081">
        <v>1.0248775428901191</v>
      </c>
      <c r="G776" s="1081">
        <v>1.0284322509238495</v>
      </c>
      <c r="H776" s="1081">
        <v>1.042197464441907</v>
      </c>
      <c r="I776" s="1081">
        <v>1.0063736340452696</v>
      </c>
      <c r="K776">
        <v>2.4816176831773964</v>
      </c>
      <c r="L776">
        <v>0</v>
      </c>
      <c r="M776">
        <v>1.7103669431167562E-3</v>
      </c>
      <c r="N776">
        <v>0.15906249100203193</v>
      </c>
      <c r="O776">
        <v>2.1287450743293169E-2</v>
      </c>
      <c r="P776">
        <v>2.9361677193477886E-2</v>
      </c>
      <c r="Q776">
        <v>5.6096607399192698E-3</v>
      </c>
      <c r="R776">
        <v>1.6887045965154909E-3</v>
      </c>
      <c r="S776">
        <v>0.27138518718760091</v>
      </c>
      <c r="T776">
        <v>1.4059165066995061</v>
      </c>
      <c r="U776">
        <v>0.2126879829321669</v>
      </c>
      <c r="V776">
        <v>0.25056395225358896</v>
      </c>
      <c r="W776">
        <v>0.10406161377180834</v>
      </c>
      <c r="X776">
        <v>1.7106725770206211E-2</v>
      </c>
      <c r="Y776">
        <v>4.596097230394538E-3</v>
      </c>
    </row>
    <row r="777" spans="1:25" x14ac:dyDescent="0.2">
      <c r="A777" s="1077"/>
      <c r="B777" s="1444">
        <v>527</v>
      </c>
      <c r="C777" s="1081">
        <v>0.98276705392562513</v>
      </c>
      <c r="D777" s="1081">
        <v>1.020831951685778</v>
      </c>
      <c r="E777" s="1081">
        <v>1.0017008558376344</v>
      </c>
      <c r="F777" s="1081">
        <v>1.0181266831168021</v>
      </c>
      <c r="G777" s="1081">
        <v>0.9766934188216001</v>
      </c>
      <c r="H777" s="1081">
        <v>0.97126330663151772</v>
      </c>
      <c r="I777" s="1081">
        <v>1.0175353543201247</v>
      </c>
      <c r="K777">
        <v>2.4379283717989217</v>
      </c>
      <c r="L777">
        <v>0</v>
      </c>
      <c r="M777">
        <v>1.6095762226723961E-3</v>
      </c>
      <c r="N777">
        <v>0.14718166573594174</v>
      </c>
      <c r="O777">
        <v>2.1258084915383467E-2</v>
      </c>
      <c r="P777">
        <v>2.8930369571134273E-2</v>
      </c>
      <c r="Q777">
        <v>5.5723253011075611E-3</v>
      </c>
      <c r="R777">
        <v>1.5877015892189099E-3</v>
      </c>
      <c r="S777">
        <v>0.26252093559299711</v>
      </c>
      <c r="T777">
        <v>1.3965393176001777</v>
      </c>
      <c r="U777">
        <v>0.21569628203611005</v>
      </c>
      <c r="V777">
        <v>0.24263924007717289</v>
      </c>
      <c r="W777">
        <v>9.6590722195458056E-2</v>
      </c>
      <c r="X777">
        <v>1.6700103066723707E-2</v>
      </c>
      <c r="Y777">
        <v>4.3212003401656507E-3</v>
      </c>
    </row>
    <row r="778" spans="1:25" x14ac:dyDescent="0.2">
      <c r="A778" s="1077"/>
      <c r="B778" s="1444">
        <v>528</v>
      </c>
      <c r="C778" s="1081">
        <v>1.0023267716790214</v>
      </c>
      <c r="D778" s="1081">
        <v>1.0372962828734107</v>
      </c>
      <c r="E778" s="1081">
        <v>1.0268076789315923</v>
      </c>
      <c r="F778" s="1081">
        <v>1.0404532954194936</v>
      </c>
      <c r="G778" s="1081">
        <v>1.0244804384893511</v>
      </c>
      <c r="H778" s="1081">
        <v>1.0286223726644903</v>
      </c>
      <c r="I778" s="1081">
        <v>1.0008462410684953</v>
      </c>
      <c r="K778">
        <v>2.4801036403128038</v>
      </c>
      <c r="L778">
        <v>0</v>
      </c>
      <c r="M778">
        <v>1.5807963109371053E-3</v>
      </c>
      <c r="N778">
        <v>0.15604855712392729</v>
      </c>
      <c r="O778">
        <v>2.0786537081253852E-2</v>
      </c>
      <c r="P778">
        <v>2.9853584483596023E-2</v>
      </c>
      <c r="Q778">
        <v>5.5868738510120421E-3</v>
      </c>
      <c r="R778">
        <v>1.5605107899474442E-3</v>
      </c>
      <c r="S778">
        <v>0.25619682538697514</v>
      </c>
      <c r="T778">
        <v>1.4277307549667226</v>
      </c>
      <c r="U778">
        <v>0.21157292605613404</v>
      </c>
      <c r="V778">
        <v>0.24946893404886278</v>
      </c>
      <c r="W778">
        <v>0.10090975413547215</v>
      </c>
      <c r="X778">
        <v>1.7721982751843803E-2</v>
      </c>
      <c r="Y778">
        <v>4.2471959479932911E-3</v>
      </c>
    </row>
    <row r="779" spans="1:25" x14ac:dyDescent="0.2">
      <c r="A779" s="1077"/>
      <c r="B779" s="1444">
        <v>529</v>
      </c>
      <c r="C779" s="1081">
        <v>1.0107804458622662</v>
      </c>
      <c r="D779" s="1081">
        <v>1.0080529145546822</v>
      </c>
      <c r="E779" s="1081">
        <v>0.98763703377024548</v>
      </c>
      <c r="F779" s="1081">
        <v>0.99198622225580713</v>
      </c>
      <c r="G779" s="1081">
        <v>1.0036786271663505</v>
      </c>
      <c r="H779" s="1081">
        <v>0.99307063662179051</v>
      </c>
      <c r="I779" s="1081">
        <v>0.98124782242259034</v>
      </c>
      <c r="K779">
        <v>2.3798303740918825</v>
      </c>
      <c r="L779">
        <v>0</v>
      </c>
      <c r="M779">
        <v>1.6520038732905546E-3</v>
      </c>
      <c r="N779">
        <v>0.14481857540440859</v>
      </c>
      <c r="O779">
        <v>2.0717076299234725E-2</v>
      </c>
      <c r="P779">
        <v>2.7918552442092875E-2</v>
      </c>
      <c r="Q779">
        <v>5.3540588169230623E-3</v>
      </c>
      <c r="R779">
        <v>1.630045652941039E-3</v>
      </c>
      <c r="S779">
        <v>0.24938993832956138</v>
      </c>
      <c r="T779">
        <v>1.3603816792398544</v>
      </c>
      <c r="U779">
        <v>0.20967082184816427</v>
      </c>
      <c r="V779">
        <v>0.24553879643513449</v>
      </c>
      <c r="W779">
        <v>9.5841031403255658E-2</v>
      </c>
      <c r="X779">
        <v>1.5785355170702623E-2</v>
      </c>
      <c r="Y779">
        <v>4.4364469229004298E-3</v>
      </c>
    </row>
    <row r="780" spans="1:25" x14ac:dyDescent="0.2">
      <c r="A780" s="1077"/>
      <c r="B780" s="1444">
        <v>530</v>
      </c>
      <c r="C780" s="1081">
        <v>0.98895738516795384</v>
      </c>
      <c r="D780" s="1081">
        <v>0.99323542188990532</v>
      </c>
      <c r="E780" s="1081">
        <v>0.98789903584168792</v>
      </c>
      <c r="F780" s="1081">
        <v>1.0197727635515954</v>
      </c>
      <c r="G780" s="1081">
        <v>0.9804712556992774</v>
      </c>
      <c r="H780" s="1081">
        <v>0.98933534560372005</v>
      </c>
      <c r="I780" s="1081">
        <v>1.0443720406969421</v>
      </c>
      <c r="K780">
        <v>2.4508577519869195</v>
      </c>
      <c r="L780">
        <v>0</v>
      </c>
      <c r="M780">
        <v>1.686681076578226E-3</v>
      </c>
      <c r="N780">
        <v>0.14796812636959578</v>
      </c>
      <c r="O780">
        <v>2.1243504388410162E-2</v>
      </c>
      <c r="P780">
        <v>2.8785867824678367E-2</v>
      </c>
      <c r="Q780">
        <v>5.4915632074691448E-3</v>
      </c>
      <c r="R780">
        <v>1.6641772866198361E-3</v>
      </c>
      <c r="S780">
        <v>0.27297860785184236</v>
      </c>
      <c r="T780">
        <v>1.3984931155911327</v>
      </c>
      <c r="U780">
        <v>0.21429847616444272</v>
      </c>
      <c r="V780">
        <v>0.24293521594948492</v>
      </c>
      <c r="W780">
        <v>9.7910010510643741E-2</v>
      </c>
      <c r="X780">
        <v>1.6246425940891325E-2</v>
      </c>
      <c r="Y780">
        <v>4.5293419782840979E-3</v>
      </c>
    </row>
    <row r="781" spans="1:25" x14ac:dyDescent="0.2">
      <c r="A781" s="1077"/>
      <c r="B781" s="1444">
        <v>531</v>
      </c>
      <c r="C781" s="1081">
        <v>1.0126656878961229</v>
      </c>
      <c r="D781" s="1081">
        <v>1.0338680786420316</v>
      </c>
      <c r="E781" s="1081">
        <v>0.97348074804835316</v>
      </c>
      <c r="F781" s="1081">
        <v>0.98161488243699213</v>
      </c>
      <c r="G781" s="1081">
        <v>0.99368517268588874</v>
      </c>
      <c r="H781" s="1081">
        <v>0.99773282243433559</v>
      </c>
      <c r="I781" s="1081">
        <v>1.0030341974089889</v>
      </c>
      <c r="K781">
        <v>2.3609016929220417</v>
      </c>
      <c r="L781">
        <v>0</v>
      </c>
      <c r="M781">
        <v>1.6964215148491187E-3</v>
      </c>
      <c r="N781">
        <v>0.14248637330644331</v>
      </c>
      <c r="O781">
        <v>2.0554611006547797E-2</v>
      </c>
      <c r="P781">
        <v>2.742536252099979E-2</v>
      </c>
      <c r="Q781">
        <v>5.2362098399447027E-3</v>
      </c>
      <c r="R781">
        <v>1.6739782657004673E-3</v>
      </c>
      <c r="S781">
        <v>0.25154079105777166</v>
      </c>
      <c r="T781">
        <v>1.3458593771024088</v>
      </c>
      <c r="U781">
        <v>0.20923285055928689</v>
      </c>
      <c r="V781">
        <v>0.24376820784936928</v>
      </c>
      <c r="W781">
        <v>9.5106724484141383E-2</v>
      </c>
      <c r="X781">
        <v>1.5157611431827811E-2</v>
      </c>
      <c r="Y781">
        <v>4.5560170124496896E-3</v>
      </c>
    </row>
    <row r="782" spans="1:25" x14ac:dyDescent="0.2">
      <c r="A782" s="1077"/>
      <c r="B782" s="1444">
        <v>532</v>
      </c>
      <c r="C782" s="1081">
        <v>1.0132213059302317</v>
      </c>
      <c r="D782" s="1081">
        <v>1.0425227298833619</v>
      </c>
      <c r="E782" s="1081">
        <v>1.0338405033380549</v>
      </c>
      <c r="F782" s="1081">
        <v>0.97568126537073807</v>
      </c>
      <c r="G782" s="1081">
        <v>1.0001896809705777</v>
      </c>
      <c r="H782" s="1081">
        <v>1.0000540230299868</v>
      </c>
      <c r="I782" s="1081">
        <v>0.98878682991623401</v>
      </c>
      <c r="K782">
        <v>2.3644137137172501</v>
      </c>
      <c r="L782">
        <v>0</v>
      </c>
      <c r="M782">
        <v>1.496591936684745E-3</v>
      </c>
      <c r="N782">
        <v>0.15084578606906751</v>
      </c>
      <c r="O782">
        <v>2.0544894103100189E-2</v>
      </c>
      <c r="P782">
        <v>2.8543765821992983E-2</v>
      </c>
      <c r="Q782">
        <v>5.5604492337526824E-3</v>
      </c>
      <c r="R782">
        <v>1.4768383411034938E-3</v>
      </c>
      <c r="S782">
        <v>0.24747181070451252</v>
      </c>
      <c r="T782">
        <v>1.3389985673845413</v>
      </c>
      <c r="U782">
        <v>0.20932184940705992</v>
      </c>
      <c r="V782">
        <v>0.24462974175085375</v>
      </c>
      <c r="W782">
        <v>9.7148044826486007E-2</v>
      </c>
      <c r="X782">
        <v>1.7349090886610113E-2</v>
      </c>
      <c r="Y782">
        <v>4.0194671248554061E-3</v>
      </c>
    </row>
    <row r="783" spans="1:25" x14ac:dyDescent="0.2">
      <c r="A783" s="1077"/>
      <c r="B783" s="1444">
        <v>533</v>
      </c>
      <c r="C783" s="1081">
        <v>1.0105831789988458</v>
      </c>
      <c r="D783" s="1081">
        <v>1.0097286707361368</v>
      </c>
      <c r="E783" s="1081">
        <v>1.007577014585894</v>
      </c>
      <c r="F783" s="1081">
        <v>1.0313219782711927</v>
      </c>
      <c r="G783" s="1081">
        <v>1.0059649724861917</v>
      </c>
      <c r="H783" s="1081">
        <v>0.99016943075424368</v>
      </c>
      <c r="I783" s="1081">
        <v>0.99446606453902131</v>
      </c>
      <c r="K783">
        <v>2.4426064828257843</v>
      </c>
      <c r="L783">
        <v>0</v>
      </c>
      <c r="M783">
        <v>1.5801929322729641E-3</v>
      </c>
      <c r="N783">
        <v>0.14712076663282625</v>
      </c>
      <c r="O783">
        <v>2.0726612115898071E-2</v>
      </c>
      <c r="P783">
        <v>2.9132632844397897E-2</v>
      </c>
      <c r="Q783">
        <v>5.465114595174494E-3</v>
      </c>
      <c r="R783">
        <v>1.559127672503926E-3</v>
      </c>
      <c r="S783">
        <v>0.25250566575893546</v>
      </c>
      <c r="T783">
        <v>1.4147701729462256</v>
      </c>
      <c r="U783">
        <v>0.20977916972292318</v>
      </c>
      <c r="V783">
        <v>0.24586901375763345</v>
      </c>
      <c r="W783">
        <v>9.6215371304631758E-2</v>
      </c>
      <c r="X783">
        <v>1.6799596848649189E-2</v>
      </c>
      <c r="Y783">
        <v>4.2434315582565761E-3</v>
      </c>
    </row>
    <row r="784" spans="1:25" x14ac:dyDescent="0.2">
      <c r="A784" s="1077"/>
      <c r="B784" s="1444">
        <v>534</v>
      </c>
      <c r="C784" s="1081">
        <v>1.0278682019353869</v>
      </c>
      <c r="D784" s="1081">
        <v>0.97686825989195158</v>
      </c>
      <c r="E784" s="1081">
        <v>1.0116866494380818</v>
      </c>
      <c r="F784" s="1081">
        <v>0.99646493667066227</v>
      </c>
      <c r="G784" s="1081">
        <v>0.9803859526959392</v>
      </c>
      <c r="H784" s="1081">
        <v>0.98715958301898921</v>
      </c>
      <c r="I784" s="1081">
        <v>1.0353031630064595</v>
      </c>
      <c r="K784">
        <v>2.3926098349938858</v>
      </c>
      <c r="L784">
        <v>0</v>
      </c>
      <c r="M784">
        <v>1.546949041645318E-3</v>
      </c>
      <c r="N784">
        <v>0.14581775556891793</v>
      </c>
      <c r="O784">
        <v>2.052960425199641E-2</v>
      </c>
      <c r="P784">
        <v>2.8579766283614597E-2</v>
      </c>
      <c r="Q784">
        <v>5.435456703899496E-3</v>
      </c>
      <c r="R784">
        <v>1.5262640733157175E-3</v>
      </c>
      <c r="S784">
        <v>0.2625626064962519</v>
      </c>
      <c r="T784">
        <v>1.3670419325998027</v>
      </c>
      <c r="U784">
        <v>0.20626513054557974</v>
      </c>
      <c r="V784">
        <v>0.24044909792290955</v>
      </c>
      <c r="W784">
        <v>9.5132330321746297E-2</v>
      </c>
      <c r="X784">
        <v>1.6662851592745009E-2</v>
      </c>
      <c r="Y784">
        <v>4.1539876747488345E-3</v>
      </c>
    </row>
    <row r="785" spans="1:25" x14ac:dyDescent="0.2">
      <c r="A785" s="1077"/>
      <c r="B785" s="1444">
        <v>535</v>
      </c>
      <c r="C785" s="1081">
        <v>1.018126176585797</v>
      </c>
      <c r="D785" s="1081">
        <v>1.0426714241611807</v>
      </c>
      <c r="E785" s="1081">
        <v>0.97687505411598485</v>
      </c>
      <c r="F785" s="1081">
        <v>0.9673417415227058</v>
      </c>
      <c r="G785" s="1081">
        <v>1.0117661331006957</v>
      </c>
      <c r="H785" s="1081">
        <v>1.0020319091642365</v>
      </c>
      <c r="I785" s="1081">
        <v>0.9990439758281553</v>
      </c>
      <c r="K785">
        <v>2.3394917235104611</v>
      </c>
      <c r="L785">
        <v>0</v>
      </c>
      <c r="M785">
        <v>1.6796144917525992E-3</v>
      </c>
      <c r="N785">
        <v>0.14253973549585114</v>
      </c>
      <c r="O785">
        <v>2.0408454012490116E-2</v>
      </c>
      <c r="P785">
        <v>2.7216496153457451E-2</v>
      </c>
      <c r="Q785">
        <v>5.2169925543668703E-3</v>
      </c>
      <c r="R785">
        <v>1.6574889313288469E-3</v>
      </c>
      <c r="S785">
        <v>0.24853213506381017</v>
      </c>
      <c r="T785">
        <v>1.3263606002856143</v>
      </c>
      <c r="U785">
        <v>0.20812202787605263</v>
      </c>
      <c r="V785">
        <v>0.24651519183587053</v>
      </c>
      <c r="W785">
        <v>9.4946796633697927E-2</v>
      </c>
      <c r="X785">
        <v>1.514428067967134E-2</v>
      </c>
      <c r="Y785">
        <v>4.5111384799977556E-3</v>
      </c>
    </row>
    <row r="786" spans="1:25" x14ac:dyDescent="0.2">
      <c r="A786" s="1077"/>
      <c r="B786" s="1444">
        <v>536</v>
      </c>
      <c r="C786" s="1081">
        <v>0.97360844611991193</v>
      </c>
      <c r="D786" s="1081">
        <v>1.0086753817845493</v>
      </c>
      <c r="E786" s="1081">
        <v>1.0144683506520855</v>
      </c>
      <c r="F786" s="1081">
        <v>1.0119873833666762</v>
      </c>
      <c r="G786" s="1081">
        <v>1.0398346002323651</v>
      </c>
      <c r="H786" s="1081">
        <v>0.99772669623807531</v>
      </c>
      <c r="I786" s="1081">
        <v>0.98671727049889135</v>
      </c>
      <c r="K786">
        <v>2.4550453237261549</v>
      </c>
      <c r="L786">
        <v>0</v>
      </c>
      <c r="M786">
        <v>1.6295998410973678E-3</v>
      </c>
      <c r="N786">
        <v>0.15492591462844724</v>
      </c>
      <c r="O786">
        <v>2.1523383799116849E-2</v>
      </c>
      <c r="P786">
        <v>2.925512213656133E-2</v>
      </c>
      <c r="Q786">
        <v>5.7144127438706546E-3</v>
      </c>
      <c r="R786">
        <v>1.6080404942644879E-3</v>
      </c>
      <c r="S786">
        <v>0.26089610835657223</v>
      </c>
      <c r="T786">
        <v>1.3883980902599817</v>
      </c>
      <c r="U786">
        <v>0.21777019022828387</v>
      </c>
      <c r="V786">
        <v>0.25397121689731883</v>
      </c>
      <c r="W786">
        <v>0.10090928866135485</v>
      </c>
      <c r="X786">
        <v>1.7326599226497773E-2</v>
      </c>
      <c r="Y786">
        <v>4.3765561349814663E-3</v>
      </c>
    </row>
    <row r="787" spans="1:25" x14ac:dyDescent="0.2">
      <c r="A787" s="1077"/>
      <c r="B787" s="1444">
        <v>537</v>
      </c>
      <c r="C787" s="1081">
        <v>0.99724901573428815</v>
      </c>
      <c r="D787" s="1081">
        <v>1.0027149966651678</v>
      </c>
      <c r="E787" s="1081">
        <v>0.96928004323820605</v>
      </c>
      <c r="F787" s="1081">
        <v>1.0176935507648786</v>
      </c>
      <c r="G787" s="1081">
        <v>0.98523325042386933</v>
      </c>
      <c r="H787" s="1081">
        <v>0.98853250821789751</v>
      </c>
      <c r="I787" s="1081">
        <v>1.0123307356980922</v>
      </c>
      <c r="K787">
        <v>2.4263502326254325</v>
      </c>
      <c r="L787">
        <v>0</v>
      </c>
      <c r="M787">
        <v>1.733258548033238E-3</v>
      </c>
      <c r="N787">
        <v>0.14372270182414817</v>
      </c>
      <c r="O787">
        <v>2.1010555608540336E-2</v>
      </c>
      <c r="P787">
        <v>2.8157504268283964E-2</v>
      </c>
      <c r="Q787">
        <v>5.3294468275126771E-3</v>
      </c>
      <c r="R787">
        <v>1.7101145377653817E-3</v>
      </c>
      <c r="S787">
        <v>0.26093262552892987</v>
      </c>
      <c r="T787">
        <v>1.3952337237361867</v>
      </c>
      <c r="U787">
        <v>0.21245309143237284</v>
      </c>
      <c r="V787">
        <v>0.24329105243634308</v>
      </c>
      <c r="W787">
        <v>9.6177261024094934E-2</v>
      </c>
      <c r="X787">
        <v>1.5411045916596037E-2</v>
      </c>
      <c r="Y787">
        <v>4.654368032691503E-3</v>
      </c>
    </row>
    <row r="788" spans="1:25" x14ac:dyDescent="0.2">
      <c r="A788" s="1077"/>
      <c r="B788" s="1444">
        <v>538</v>
      </c>
      <c r="C788" s="1081">
        <v>0.97772707664695535</v>
      </c>
      <c r="D788" s="1081">
        <v>0.98447146143483422</v>
      </c>
      <c r="E788" s="1081">
        <v>1.0098728230832128</v>
      </c>
      <c r="F788" s="1081">
        <v>1.0006223376133752</v>
      </c>
      <c r="G788" s="1081">
        <v>0.95649011260275374</v>
      </c>
      <c r="H788" s="1081">
        <v>1.0341640123709952</v>
      </c>
      <c r="I788" s="1081">
        <v>0.99706236058653397</v>
      </c>
      <c r="K788">
        <v>2.4403776738622445</v>
      </c>
      <c r="L788">
        <v>0</v>
      </c>
      <c r="M788">
        <v>1.7072369442369016E-3</v>
      </c>
      <c r="N788">
        <v>0.16014655744727249</v>
      </c>
      <c r="O788">
        <v>2.154441229317575E-2</v>
      </c>
      <c r="P788">
        <v>2.8838292461651798E-2</v>
      </c>
      <c r="Q788">
        <v>5.693810424189245E-3</v>
      </c>
      <c r="R788">
        <v>1.6854462735302687E-3</v>
      </c>
      <c r="S788">
        <v>0.26887199865383649</v>
      </c>
      <c r="T788">
        <v>1.372706097742302</v>
      </c>
      <c r="U788">
        <v>0.21683674668407188</v>
      </c>
      <c r="V788">
        <v>0.23948931621763125</v>
      </c>
      <c r="W788">
        <v>0.10459226222717609</v>
      </c>
      <c r="X788">
        <v>1.709274123230662E-2</v>
      </c>
      <c r="Y788">
        <v>4.5872291493346462E-3</v>
      </c>
    </row>
    <row r="789" spans="1:25" x14ac:dyDescent="0.2">
      <c r="A789" s="1077"/>
      <c r="B789" s="1444">
        <v>539</v>
      </c>
      <c r="C789" s="1081">
        <v>1.02630139347223</v>
      </c>
      <c r="D789" s="1081">
        <v>1.0055151899824479</v>
      </c>
      <c r="E789" s="1081">
        <v>1.0029684597999793</v>
      </c>
      <c r="F789" s="1081">
        <v>1.0222943818366175</v>
      </c>
      <c r="G789" s="1081">
        <v>0.95171785114715246</v>
      </c>
      <c r="H789" s="1081">
        <v>1.0108435608828921</v>
      </c>
      <c r="I789" s="1081">
        <v>1.0432046875185259</v>
      </c>
      <c r="K789">
        <v>2.42711778685219</v>
      </c>
      <c r="L789">
        <v>0</v>
      </c>
      <c r="M789">
        <v>1.6052263304919094E-3</v>
      </c>
      <c r="N789">
        <v>0.14742651534831358</v>
      </c>
      <c r="O789">
        <v>2.0424980910621938E-2</v>
      </c>
      <c r="P789">
        <v>2.8824118933891005E-2</v>
      </c>
      <c r="Q789">
        <v>5.3607633257693153E-3</v>
      </c>
      <c r="R789">
        <v>1.5842650145353565E-3</v>
      </c>
      <c r="S789">
        <v>0.26311839604216108</v>
      </c>
      <c r="T789">
        <v>1.4022840878404372</v>
      </c>
      <c r="U789">
        <v>0.20655095621497732</v>
      </c>
      <c r="V789">
        <v>0.23567692235560556</v>
      </c>
      <c r="W789">
        <v>9.6678678913366609E-2</v>
      </c>
      <c r="X789">
        <v>1.648148116626014E-2</v>
      </c>
      <c r="Y789">
        <v>4.3118471167435581E-3</v>
      </c>
    </row>
    <row r="790" spans="1:25" x14ac:dyDescent="0.2">
      <c r="A790" s="1077"/>
      <c r="B790" s="1444">
        <v>540</v>
      </c>
      <c r="C790" s="1081">
        <v>0.96153498799668713</v>
      </c>
      <c r="D790" s="1081">
        <v>0.97299275517141359</v>
      </c>
      <c r="E790" s="1081">
        <v>0.99748473980681318</v>
      </c>
      <c r="F790" s="1081">
        <v>0.98861230725777394</v>
      </c>
      <c r="G790" s="1081">
        <v>0.9888164049698287</v>
      </c>
      <c r="H790" s="1081">
        <v>1.0003177837326571</v>
      </c>
      <c r="I790" s="1081">
        <v>1.029312095007147</v>
      </c>
      <c r="K790">
        <v>2.4395552422147717</v>
      </c>
      <c r="L790">
        <v>0</v>
      </c>
      <c r="M790">
        <v>1.7273556483398255E-3</v>
      </c>
      <c r="N790">
        <v>0.1560147174036472</v>
      </c>
      <c r="O790">
        <v>2.195520784207242E-2</v>
      </c>
      <c r="P790">
        <v>2.8646625754237653E-2</v>
      </c>
      <c r="Q790">
        <v>5.7307167365751744E-3</v>
      </c>
      <c r="R790">
        <v>1.7045622020981318E-3</v>
      </c>
      <c r="S790">
        <v>0.28069249046742017</v>
      </c>
      <c r="T790">
        <v>1.3559650330134752</v>
      </c>
      <c r="U790">
        <v>0.22044417679896858</v>
      </c>
      <c r="V790">
        <v>0.24612605634196746</v>
      </c>
      <c r="W790">
        <v>0.10264454791688388</v>
      </c>
      <c r="X790">
        <v>1.6719206980435417E-2</v>
      </c>
      <c r="Y790">
        <v>4.6392564053322101E-3</v>
      </c>
    </row>
    <row r="791" spans="1:25" x14ac:dyDescent="0.2">
      <c r="A791" s="1077"/>
      <c r="B791" s="1444">
        <v>541</v>
      </c>
      <c r="C791" s="1081">
        <v>1.0436661641825586</v>
      </c>
      <c r="D791" s="1081">
        <v>0.99033930645113899</v>
      </c>
      <c r="E791" s="1081">
        <v>1.0258721044206156</v>
      </c>
      <c r="F791" s="1081">
        <v>0.9651809869167286</v>
      </c>
      <c r="G791" s="1081">
        <v>1.0074149272787341</v>
      </c>
      <c r="H791" s="1081">
        <v>0.98880000390078959</v>
      </c>
      <c r="I791" s="1081">
        <v>1.0389310289531484</v>
      </c>
      <c r="K791">
        <v>2.3436438168823872</v>
      </c>
      <c r="L791">
        <v>0</v>
      </c>
      <c r="M791">
        <v>1.4772312281311119E-3</v>
      </c>
      <c r="N791">
        <v>0.14533817594814769</v>
      </c>
      <c r="O791">
        <v>2.0167084482158183E-2</v>
      </c>
      <c r="P791">
        <v>2.8229585345443235E-2</v>
      </c>
      <c r="Q791">
        <v>5.4153597034877921E-3</v>
      </c>
      <c r="R791">
        <v>1.4575112586336604E-3</v>
      </c>
      <c r="S791">
        <v>0.25796407726192844</v>
      </c>
      <c r="T791">
        <v>1.3244209618062484</v>
      </c>
      <c r="U791">
        <v>0.20318949148211168</v>
      </c>
      <c r="V791">
        <v>0.24409340457292647</v>
      </c>
      <c r="W791">
        <v>9.4035021985442113E-2</v>
      </c>
      <c r="X791">
        <v>1.6843509086447522E-2</v>
      </c>
      <c r="Y791">
        <v>3.9668651775435449E-3</v>
      </c>
    </row>
    <row r="792" spans="1:25" x14ac:dyDescent="0.2">
      <c r="A792" s="1077"/>
      <c r="B792" s="1444">
        <v>542</v>
      </c>
      <c r="C792" s="1081">
        <v>0.99512305152646174</v>
      </c>
      <c r="D792" s="1081">
        <v>0.995096793938272</v>
      </c>
      <c r="E792" s="1081">
        <v>1.033195795150633</v>
      </c>
      <c r="F792" s="1081">
        <v>1.0170321498484782</v>
      </c>
      <c r="G792" s="1081">
        <v>1.0321684426752757</v>
      </c>
      <c r="H792" s="1081">
        <v>0.97860059575952862</v>
      </c>
      <c r="I792" s="1081">
        <v>0.97727115805954556</v>
      </c>
      <c r="K792">
        <v>2.4408716902445953</v>
      </c>
      <c r="L792">
        <v>0</v>
      </c>
      <c r="M792">
        <v>1.5084993811290781E-3</v>
      </c>
      <c r="N792">
        <v>0.15170633263771005</v>
      </c>
      <c r="O792">
        <v>2.1133478640206284E-2</v>
      </c>
      <c r="P792">
        <v>2.9547402911986292E-2</v>
      </c>
      <c r="Q792">
        <v>5.7161111918950982E-3</v>
      </c>
      <c r="R792">
        <v>1.4881521237373302E-3</v>
      </c>
      <c r="S792">
        <v>0.25308366173394636</v>
      </c>
      <c r="T792">
        <v>1.3957331288568506</v>
      </c>
      <c r="U792">
        <v>0.21312654997061628</v>
      </c>
      <c r="V792">
        <v>0.25120855432095912</v>
      </c>
      <c r="W792">
        <v>9.7738725861155742E-2</v>
      </c>
      <c r="X792">
        <v>1.7847831865065243E-2</v>
      </c>
      <c r="Y792">
        <v>4.0502595115972659E-3</v>
      </c>
    </row>
    <row r="793" spans="1:25" x14ac:dyDescent="0.2">
      <c r="A793" s="1077"/>
      <c r="B793" s="1444">
        <v>543</v>
      </c>
      <c r="C793" s="1081">
        <v>0.99425167012220694</v>
      </c>
      <c r="D793" s="1081">
        <v>1.0354634689170392</v>
      </c>
      <c r="E793" s="1081">
        <v>1.0107234094334108</v>
      </c>
      <c r="F793" s="1081">
        <v>0.96781510558245087</v>
      </c>
      <c r="G793" s="1081">
        <v>0.98812377645534211</v>
      </c>
      <c r="H793" s="1081">
        <v>1.0117941516751585</v>
      </c>
      <c r="I793" s="1081">
        <v>1.0040578431729383</v>
      </c>
      <c r="K793">
        <v>2.3700797429073113</v>
      </c>
      <c r="L793">
        <v>0</v>
      </c>
      <c r="M793">
        <v>1.6215316081407063E-3</v>
      </c>
      <c r="N793">
        <v>0.15245451009197081</v>
      </c>
      <c r="O793">
        <v>2.0952830468629322E-2</v>
      </c>
      <c r="P793">
        <v>2.8094890814773312E-2</v>
      </c>
      <c r="Q793">
        <v>5.542175338757992E-3</v>
      </c>
      <c r="R793">
        <v>1.6003772685257499E-3</v>
      </c>
      <c r="S793">
        <v>0.25776541344528897</v>
      </c>
      <c r="T793">
        <v>1.3277172607460195</v>
      </c>
      <c r="U793">
        <v>0.21323582041555542</v>
      </c>
      <c r="V793">
        <v>0.24382619462040742</v>
      </c>
      <c r="W793">
        <v>9.9518643491502801E-2</v>
      </c>
      <c r="X793">
        <v>1.6637458453315334E-2</v>
      </c>
      <c r="Y793">
        <v>4.3556993607023059E-3</v>
      </c>
    </row>
    <row r="794" spans="1:25" x14ac:dyDescent="0.2">
      <c r="A794" s="1077"/>
      <c r="B794" s="1444">
        <v>544</v>
      </c>
      <c r="C794" s="1081">
        <v>1.0063088997905727</v>
      </c>
      <c r="D794" s="1081">
        <v>1.0069768664893</v>
      </c>
      <c r="E794" s="1081">
        <v>1.0450966455272805</v>
      </c>
      <c r="F794" s="1081">
        <v>0.98664460840292212</v>
      </c>
      <c r="G794" s="1081">
        <v>0.99280166500364919</v>
      </c>
      <c r="H794" s="1081">
        <v>1.0127365380152793</v>
      </c>
      <c r="I794" s="1081">
        <v>0.97325010568500947</v>
      </c>
      <c r="K794">
        <v>2.3939965352320822</v>
      </c>
      <c r="L794">
        <v>0</v>
      </c>
      <c r="M794">
        <v>1.501976694216709E-3</v>
      </c>
      <c r="N794">
        <v>0.15663621394162627</v>
      </c>
      <c r="O794">
        <v>2.0851953602034169E-2</v>
      </c>
      <c r="P794">
        <v>2.9045013529528822E-2</v>
      </c>
      <c r="Q794">
        <v>5.7063831378396527E-3</v>
      </c>
      <c r="R794">
        <v>1.4824002895712247E-3</v>
      </c>
      <c r="S794">
        <v>0.25066003743573828</v>
      </c>
      <c r="T794">
        <v>1.3542863844132782</v>
      </c>
      <c r="U794">
        <v>0.21079815535485741</v>
      </c>
      <c r="V794">
        <v>0.24375411284480825</v>
      </c>
      <c r="W794">
        <v>0.10022507446160642</v>
      </c>
      <c r="X794">
        <v>1.8018178000318526E-2</v>
      </c>
      <c r="Y794">
        <v>4.0346049150887494E-3</v>
      </c>
    </row>
    <row r="795" spans="1:25" x14ac:dyDescent="0.2">
      <c r="A795" s="1077"/>
      <c r="B795" s="1444">
        <v>545</v>
      </c>
      <c r="C795" s="1081">
        <v>1.0050110575572353</v>
      </c>
      <c r="D795" s="1081">
        <v>0.99698281977720071</v>
      </c>
      <c r="E795" s="1081">
        <v>1.0129580946262038</v>
      </c>
      <c r="F795" s="1081">
        <v>1.0033746707532978</v>
      </c>
      <c r="G795" s="1081">
        <v>1.0055513369491325</v>
      </c>
      <c r="H795" s="1081">
        <v>1.0374015765684625</v>
      </c>
      <c r="I795" s="1081">
        <v>1.0052896804288241</v>
      </c>
      <c r="K795">
        <v>2.4309572760582703</v>
      </c>
      <c r="L795">
        <v>0</v>
      </c>
      <c r="M795">
        <v>1.650848428650987E-3</v>
      </c>
      <c r="N795">
        <v>0.15631235828168494</v>
      </c>
      <c r="O795">
        <v>2.0903417233658836E-2</v>
      </c>
      <c r="P795">
        <v>2.8877806201988467E-2</v>
      </c>
      <c r="Q795">
        <v>5.5414577661985053E-3</v>
      </c>
      <c r="R795">
        <v>1.6298432434311279E-3</v>
      </c>
      <c r="S795">
        <v>0.26237610615927015</v>
      </c>
      <c r="T795">
        <v>1.3765489986135149</v>
      </c>
      <c r="U795">
        <v>0.21096058756579311</v>
      </c>
      <c r="V795">
        <v>0.24612149811871867</v>
      </c>
      <c r="W795">
        <v>0.10190277903323414</v>
      </c>
      <c r="X795">
        <v>1.6997376238489625E-2</v>
      </c>
      <c r="Y795">
        <v>4.4358960309387307E-3</v>
      </c>
    </row>
    <row r="796" spans="1:25" x14ac:dyDescent="0.2">
      <c r="A796" s="1077"/>
      <c r="B796" s="1444">
        <v>546</v>
      </c>
      <c r="C796" s="1081">
        <v>0.98489345049902244</v>
      </c>
      <c r="D796" s="1081">
        <v>0.98842963627206182</v>
      </c>
      <c r="E796" s="1081">
        <v>0.99736483113884122</v>
      </c>
      <c r="F796" s="1081">
        <v>0.9806150819338717</v>
      </c>
      <c r="G796" s="1081">
        <v>1.0208309624308047</v>
      </c>
      <c r="H796" s="1081">
        <v>1.0199259987413805</v>
      </c>
      <c r="I796" s="1081">
        <v>1.0090564092712007</v>
      </c>
      <c r="K796">
        <v>2.4113856250055741</v>
      </c>
      <c r="L796">
        <v>0</v>
      </c>
      <c r="M796">
        <v>1.7139269341897923E-3</v>
      </c>
      <c r="N796">
        <v>0.15478553767117309</v>
      </c>
      <c r="O796">
        <v>2.136032200537907E-2</v>
      </c>
      <c r="P796">
        <v>2.8307218148256003E-2</v>
      </c>
      <c r="Q796">
        <v>5.5747675677096844E-3</v>
      </c>
      <c r="R796">
        <v>1.6917454879110986E-3</v>
      </c>
      <c r="S796">
        <v>0.26823503065529608</v>
      </c>
      <c r="T796">
        <v>1.3449936231927342</v>
      </c>
      <c r="U796">
        <v>0.21521554344276975</v>
      </c>
      <c r="V796">
        <v>0.25005513319581901</v>
      </c>
      <c r="W796">
        <v>0.10184312373161544</v>
      </c>
      <c r="X796">
        <v>1.6433133306754954E-2</v>
      </c>
      <c r="Y796">
        <v>4.6043735343438029E-3</v>
      </c>
    </row>
    <row r="797" spans="1:25" x14ac:dyDescent="0.2">
      <c r="A797" s="1077"/>
      <c r="B797" s="1444">
        <v>547</v>
      </c>
      <c r="C797" s="1081">
        <v>1.0091858010328245</v>
      </c>
      <c r="D797" s="1081">
        <v>1.012991627729495</v>
      </c>
      <c r="E797" s="1081">
        <v>1.0194988719414366</v>
      </c>
      <c r="F797" s="1081">
        <v>1.0032891766854226</v>
      </c>
      <c r="G797" s="1081">
        <v>1.0077153973762059</v>
      </c>
      <c r="H797" s="1081">
        <v>0.96988152187076182</v>
      </c>
      <c r="I797" s="1081">
        <v>1.0205272017392641</v>
      </c>
      <c r="K797">
        <v>2.407105360165902</v>
      </c>
      <c r="L797">
        <v>0</v>
      </c>
      <c r="M797">
        <v>1.5109485717399473E-3</v>
      </c>
      <c r="N797">
        <v>0.14578669359201465</v>
      </c>
      <c r="O797">
        <v>2.0748419077820292E-2</v>
      </c>
      <c r="P797">
        <v>2.8938075514411764E-2</v>
      </c>
      <c r="Q797">
        <v>5.5363254560966899E-3</v>
      </c>
      <c r="R797">
        <v>1.4903850632104858E-3</v>
      </c>
      <c r="S797">
        <v>0.25741973455250272</v>
      </c>
      <c r="T797">
        <v>1.3765740938199951</v>
      </c>
      <c r="U797">
        <v>0.2101101071433133</v>
      </c>
      <c r="V797">
        <v>0.24621070858146982</v>
      </c>
      <c r="W797">
        <v>9.4676837702083322E-2</v>
      </c>
      <c r="X797">
        <v>1.7068591397969322E-2</v>
      </c>
      <c r="Y797">
        <v>4.0563368367548961E-3</v>
      </c>
    </row>
    <row r="798" spans="1:25" x14ac:dyDescent="0.2">
      <c r="A798" s="1077"/>
      <c r="B798" s="1444">
        <v>548</v>
      </c>
      <c r="C798" s="1081">
        <v>0.95432878936356191</v>
      </c>
      <c r="D798" s="1081">
        <v>0.97246495973831415</v>
      </c>
      <c r="E798" s="1081">
        <v>0.97029976895721382</v>
      </c>
      <c r="F798" s="1081">
        <v>0.96167588471962917</v>
      </c>
      <c r="G798" s="1081">
        <v>0.9836789551735492</v>
      </c>
      <c r="H798" s="1081">
        <v>0.99798491221452523</v>
      </c>
      <c r="I798" s="1081">
        <v>1.0237910792357248</v>
      </c>
      <c r="K798">
        <v>2.3979860060819234</v>
      </c>
      <c r="L798">
        <v>0</v>
      </c>
      <c r="M798">
        <v>1.8370226148173056E-3</v>
      </c>
      <c r="N798">
        <v>0.15281751927566875</v>
      </c>
      <c r="O798">
        <v>2.2104660999229305E-2</v>
      </c>
      <c r="P798">
        <v>2.7583225422142019E-2</v>
      </c>
      <c r="Q798">
        <v>5.6128204091247542E-3</v>
      </c>
      <c r="R798">
        <v>1.8127253858907888E-3</v>
      </c>
      <c r="S798">
        <v>0.28091675479201</v>
      </c>
      <c r="T798">
        <v>1.3184559080198848</v>
      </c>
      <c r="U798">
        <v>0.22201164546283322</v>
      </c>
      <c r="V798">
        <v>0.24583421833279082</v>
      </c>
      <c r="W798">
        <v>0.10219992859520731</v>
      </c>
      <c r="X798">
        <v>1.5539981066323798E-2</v>
      </c>
      <c r="Y798">
        <v>4.9336409356318658E-3</v>
      </c>
    </row>
    <row r="799" spans="1:25" x14ac:dyDescent="0.2">
      <c r="A799" s="1077"/>
      <c r="B799" s="1444">
        <v>549</v>
      </c>
      <c r="C799" s="1081">
        <v>1.0196107864752459</v>
      </c>
      <c r="D799" s="1081">
        <v>1.007954937171456</v>
      </c>
      <c r="E799" s="1081">
        <v>1.0330598892935681</v>
      </c>
      <c r="F799" s="1081">
        <v>1.0099059612808539</v>
      </c>
      <c r="G799" s="1081">
        <v>1.0202495582490083</v>
      </c>
      <c r="H799" s="1081">
        <v>0.9921262715709962</v>
      </c>
      <c r="I799" s="1081">
        <v>1.0060919744067816</v>
      </c>
      <c r="K799">
        <v>2.418543652123827</v>
      </c>
      <c r="L799">
        <v>0</v>
      </c>
      <c r="M799">
        <v>1.4888308199986395E-3</v>
      </c>
      <c r="N799">
        <v>0.14969489186791368</v>
      </c>
      <c r="O799">
        <v>2.0567656329356147E-2</v>
      </c>
      <c r="P799">
        <v>2.9296510478236254E-2</v>
      </c>
      <c r="Q799">
        <v>5.5623233294805939E-3</v>
      </c>
      <c r="R799">
        <v>1.4690226379430046E-3</v>
      </c>
      <c r="S799">
        <v>0.25378769106323501</v>
      </c>
      <c r="T799">
        <v>1.3859504529303066</v>
      </c>
      <c r="U799">
        <v>0.20800748551575568</v>
      </c>
      <c r="V799">
        <v>0.24766886280664824</v>
      </c>
      <c r="W799">
        <v>9.6450419707590121E-2</v>
      </c>
      <c r="X799">
        <v>1.7578970920058754E-2</v>
      </c>
      <c r="Y799">
        <v>3.9981953572984091E-3</v>
      </c>
    </row>
    <row r="800" spans="1:25" x14ac:dyDescent="0.2">
      <c r="A800" s="1077"/>
      <c r="B800" s="1444">
        <v>550</v>
      </c>
      <c r="C800" s="1081">
        <v>0.98528521523958568</v>
      </c>
      <c r="D800" s="1081">
        <v>1.0072153064223641</v>
      </c>
      <c r="E800" s="1081">
        <v>1.0060328940427303</v>
      </c>
      <c r="F800" s="1081">
        <v>0.96328666559304521</v>
      </c>
      <c r="G800" s="1081">
        <v>0.97664460119938168</v>
      </c>
      <c r="H800" s="1081">
        <v>0.96860874336631386</v>
      </c>
      <c r="I800" s="1081">
        <v>1.0015382177419789</v>
      </c>
      <c r="K800">
        <v>2.3577918435121519</v>
      </c>
      <c r="L800">
        <v>0</v>
      </c>
      <c r="M800">
        <v>1.5914379320896368E-3</v>
      </c>
      <c r="N800">
        <v>0.14743409006088373</v>
      </c>
      <c r="O800">
        <v>2.1269403720168115E-2</v>
      </c>
      <c r="P800">
        <v>2.7939444385287393E-2</v>
      </c>
      <c r="Q800">
        <v>5.5995705802770164E-3</v>
      </c>
      <c r="R800">
        <v>1.5697505296378498E-3</v>
      </c>
      <c r="S800">
        <v>0.25928190151505925</v>
      </c>
      <c r="T800">
        <v>1.3214069396935944</v>
      </c>
      <c r="U800">
        <v>0.21516005031175253</v>
      </c>
      <c r="V800">
        <v>0.24245372709190335</v>
      </c>
      <c r="W800">
        <v>9.6508336601035472E-2</v>
      </c>
      <c r="X800">
        <v>1.6487723481091138E-2</v>
      </c>
      <c r="Y800">
        <v>4.2723434735512048E-3</v>
      </c>
    </row>
    <row r="801" spans="1:25" x14ac:dyDescent="0.2">
      <c r="A801" s="1077"/>
      <c r="B801" s="1444">
        <v>551</v>
      </c>
      <c r="C801" s="1081">
        <v>1.0121962466263024</v>
      </c>
      <c r="D801" s="1081">
        <v>0.99216030229306806</v>
      </c>
      <c r="E801" s="1081">
        <v>0.99425878226991804</v>
      </c>
      <c r="F801" s="1081">
        <v>0.97028535439793939</v>
      </c>
      <c r="G801" s="1081">
        <v>0.97999109918436056</v>
      </c>
      <c r="H801" s="1081">
        <v>0.99218192723277643</v>
      </c>
      <c r="I801" s="1081">
        <v>1.0070424068973363</v>
      </c>
      <c r="K801">
        <v>2.3553966801294233</v>
      </c>
      <c r="L801">
        <v>0</v>
      </c>
      <c r="M801">
        <v>1.6314577514178093E-3</v>
      </c>
      <c r="N801">
        <v>0.1459076152643414</v>
      </c>
      <c r="O801">
        <v>2.0764895246692349E-2</v>
      </c>
      <c r="P801">
        <v>2.7706921955780808E-2</v>
      </c>
      <c r="Q801">
        <v>5.4024361019596977E-3</v>
      </c>
      <c r="R801">
        <v>1.609753203815963E-3</v>
      </c>
      <c r="S801">
        <v>0.25761115990421912</v>
      </c>
      <c r="T801">
        <v>1.3307604317222219</v>
      </c>
      <c r="U801">
        <v>0.20939987644987421</v>
      </c>
      <c r="V801">
        <v>0.24138252588450285</v>
      </c>
      <c r="W801">
        <v>9.6179758769670082E-2</v>
      </c>
      <c r="X801">
        <v>1.5921545811976918E-2</v>
      </c>
      <c r="Y801">
        <v>4.3812175657860298E-3</v>
      </c>
    </row>
    <row r="802" spans="1:25" x14ac:dyDescent="0.2">
      <c r="A802" s="1077"/>
      <c r="B802" s="1444">
        <v>552</v>
      </c>
      <c r="C802" s="1081">
        <v>0.95400142606595051</v>
      </c>
      <c r="D802" s="1081">
        <v>1.0095491881687042</v>
      </c>
      <c r="E802" s="1081">
        <v>0.96159460386661322</v>
      </c>
      <c r="F802" s="1081">
        <v>1.0282773441660409</v>
      </c>
      <c r="G802" s="1081">
        <v>0.98134786397243323</v>
      </c>
      <c r="H802" s="1081">
        <v>1.033256915700635</v>
      </c>
      <c r="I802" s="1081">
        <v>1.0188932754103497</v>
      </c>
      <c r="K802">
        <v>2.4918406548829872</v>
      </c>
      <c r="L802">
        <v>0</v>
      </c>
      <c r="M802">
        <v>1.921196784315089E-3</v>
      </c>
      <c r="N802">
        <v>0.15573222913548576</v>
      </c>
      <c r="O802">
        <v>2.1924922174666042E-2</v>
      </c>
      <c r="P802">
        <v>2.8558762797055815E-2</v>
      </c>
      <c r="Q802">
        <v>5.5177563969862776E-3</v>
      </c>
      <c r="R802">
        <v>1.8966536655640341E-3</v>
      </c>
      <c r="S802">
        <v>0.27758051231880293</v>
      </c>
      <c r="T802">
        <v>1.4095741693610542</v>
      </c>
      <c r="U802">
        <v>0.22205681097924163</v>
      </c>
      <c r="V802">
        <v>0.24548930440082387</v>
      </c>
      <c r="W802">
        <v>0.10470426581780339</v>
      </c>
      <c r="X802">
        <v>1.556439857386621E-2</v>
      </c>
      <c r="Y802">
        <v>5.1620660459524821E-3</v>
      </c>
    </row>
    <row r="803" spans="1:25" x14ac:dyDescent="0.2">
      <c r="A803" s="1077"/>
      <c r="B803" s="1444">
        <v>553</v>
      </c>
      <c r="C803" s="1081">
        <v>0.97447524543793373</v>
      </c>
      <c r="D803" s="1081">
        <v>0.96899354192062237</v>
      </c>
      <c r="E803" s="1081">
        <v>1.0006393086046264</v>
      </c>
      <c r="F803" s="1081">
        <v>1.0260481891736921</v>
      </c>
      <c r="G803" s="1081">
        <v>1.0262033260032886</v>
      </c>
      <c r="H803" s="1081">
        <v>1.0297121890125345</v>
      </c>
      <c r="I803" s="1081">
        <v>0.98517510782461992</v>
      </c>
      <c r="K803">
        <v>2.4867102104489782</v>
      </c>
      <c r="L803">
        <v>0</v>
      </c>
      <c r="M803">
        <v>1.7446407732839241E-3</v>
      </c>
      <c r="N803">
        <v>0.15914571728501739</v>
      </c>
      <c r="O803">
        <v>2.1685461787763829E-2</v>
      </c>
      <c r="P803">
        <v>2.9281061720735024E-2</v>
      </c>
      <c r="Q803">
        <v>5.6782941604883036E-3</v>
      </c>
      <c r="R803">
        <v>1.7222764180096072E-3</v>
      </c>
      <c r="S803">
        <v>0.26821228904278333</v>
      </c>
      <c r="T803">
        <v>1.4073814894915329</v>
      </c>
      <c r="U803">
        <v>0.21752791705144928</v>
      </c>
      <c r="V803">
        <v>0.25163783572962861</v>
      </c>
      <c r="W803">
        <v>0.10450821016274914</v>
      </c>
      <c r="X803">
        <v>1.6986829710547775E-2</v>
      </c>
      <c r="Y803">
        <v>4.6874686615535396E-3</v>
      </c>
    </row>
    <row r="804" spans="1:25" x14ac:dyDescent="0.2">
      <c r="A804" s="1077"/>
      <c r="B804" s="1444">
        <v>554</v>
      </c>
      <c r="C804" s="1081">
        <v>1.0004384081802478</v>
      </c>
      <c r="D804" s="1081">
        <v>1.0133039362443104</v>
      </c>
      <c r="E804" s="1081">
        <v>0.95899217787253055</v>
      </c>
      <c r="F804" s="1081">
        <v>0.99322370586315556</v>
      </c>
      <c r="G804" s="1081">
        <v>1.0063174376422723</v>
      </c>
      <c r="H804" s="1081">
        <v>1.023378529077333</v>
      </c>
      <c r="I804" s="1081">
        <v>0.99988497475385119</v>
      </c>
      <c r="K804">
        <v>2.3969905908150424</v>
      </c>
      <c r="L804">
        <v>0</v>
      </c>
      <c r="M804">
        <v>1.822776451432435E-3</v>
      </c>
      <c r="N804">
        <v>0.14657543248702315</v>
      </c>
      <c r="O804">
        <v>2.0888462718131828E-2</v>
      </c>
      <c r="P804">
        <v>2.7491558775966148E-2</v>
      </c>
      <c r="Q804">
        <v>5.2428748450145651E-3</v>
      </c>
      <c r="R804">
        <v>1.7992658723294021E-3</v>
      </c>
      <c r="S804">
        <v>0.25842232146674488</v>
      </c>
      <c r="T804">
        <v>1.3614668106987067</v>
      </c>
      <c r="U804">
        <v>0.21174084791293574</v>
      </c>
      <c r="V804">
        <v>0.24673396055284394</v>
      </c>
      <c r="W804">
        <v>9.8705255638352835E-2</v>
      </c>
      <c r="X804">
        <v>1.4849567721777535E-2</v>
      </c>
      <c r="Y804">
        <v>4.8970085766452242E-3</v>
      </c>
    </row>
    <row r="805" spans="1:25" x14ac:dyDescent="0.2">
      <c r="A805" s="1077"/>
      <c r="B805" s="1444">
        <v>555</v>
      </c>
      <c r="C805" s="1081">
        <v>0.97304654681863345</v>
      </c>
      <c r="D805" s="1081">
        <v>0.98745525625457276</v>
      </c>
      <c r="E805" s="1081">
        <v>1.0415771507375176</v>
      </c>
      <c r="F805" s="1081">
        <v>1.0315556896802445</v>
      </c>
      <c r="G805" s="1081">
        <v>1.0104812931115321</v>
      </c>
      <c r="H805" s="1081">
        <v>0.97926349808934188</v>
      </c>
      <c r="I805" s="1081">
        <v>0.99791052763344434</v>
      </c>
      <c r="K805">
        <v>2.4857956648902348</v>
      </c>
      <c r="L805">
        <v>0</v>
      </c>
      <c r="M805">
        <v>1.5195876101852751E-3</v>
      </c>
      <c r="N805">
        <v>0.15673116977409596</v>
      </c>
      <c r="O805">
        <v>2.1655405463867624E-2</v>
      </c>
      <c r="P805">
        <v>3.0219552431094577E-2</v>
      </c>
      <c r="Q805">
        <v>5.9058210305067077E-3</v>
      </c>
      <c r="R805">
        <v>1.4991046653302987E-3</v>
      </c>
      <c r="S805">
        <v>0.26544927798293061</v>
      </c>
      <c r="T805">
        <v>1.4158529798167119</v>
      </c>
      <c r="U805">
        <v>0.21799157788407808</v>
      </c>
      <c r="V805">
        <v>0.2489026715795124</v>
      </c>
      <c r="W805">
        <v>0.10048879008862485</v>
      </c>
      <c r="X805">
        <v>1.853883306435376E-2</v>
      </c>
      <c r="Y805">
        <v>4.0800687193089623E-3</v>
      </c>
    </row>
    <row r="806" spans="1:25" x14ac:dyDescent="0.2">
      <c r="A806" s="1077"/>
      <c r="B806" s="1444">
        <v>556</v>
      </c>
      <c r="C806" s="1081">
        <v>0.99645429529071738</v>
      </c>
      <c r="D806" s="1081">
        <v>1.0211556350587392</v>
      </c>
      <c r="E806" s="1081">
        <v>1.0214361964131791</v>
      </c>
      <c r="F806" s="1081">
        <v>0.97973399557937813</v>
      </c>
      <c r="G806" s="1081">
        <v>1.0057463372041722</v>
      </c>
      <c r="H806" s="1081">
        <v>0.97923129583045554</v>
      </c>
      <c r="I806" s="1081">
        <v>0.98495914551373842</v>
      </c>
      <c r="K806">
        <v>2.3772305007709393</v>
      </c>
      <c r="L806">
        <v>0</v>
      </c>
      <c r="M806">
        <v>1.5360747937441192E-3</v>
      </c>
      <c r="N806">
        <v>0.14909940784530148</v>
      </c>
      <c r="O806">
        <v>2.0977730205924312E-2</v>
      </c>
      <c r="P806">
        <v>2.8491833513768227E-2</v>
      </c>
      <c r="Q806">
        <v>5.608301122999735E-3</v>
      </c>
      <c r="R806">
        <v>1.5153689326526595E-3</v>
      </c>
      <c r="S806">
        <v>0.25141008330065345</v>
      </c>
      <c r="T806">
        <v>1.3442961621780818</v>
      </c>
      <c r="U806">
        <v>0.2128013103044831</v>
      </c>
      <c r="V806">
        <v>0.24665797854973115</v>
      </c>
      <c r="W806">
        <v>9.6718535318974425E-2</v>
      </c>
      <c r="X806">
        <v>1.7065529598668271E-2</v>
      </c>
      <c r="Y806">
        <v>4.1243346934461455E-3</v>
      </c>
    </row>
    <row r="807" spans="1:25" x14ac:dyDescent="0.2">
      <c r="A807" s="1077"/>
      <c r="B807" s="1444">
        <v>557</v>
      </c>
      <c r="C807" s="1081">
        <v>0.98820541386879146</v>
      </c>
      <c r="D807" s="1081">
        <v>1.0111512969638308</v>
      </c>
      <c r="E807" s="1081">
        <v>1.0341224385326444</v>
      </c>
      <c r="F807" s="1081">
        <v>1.0306594976276453</v>
      </c>
      <c r="G807" s="1081">
        <v>1.0358162023809863</v>
      </c>
      <c r="H807" s="1081">
        <v>1.0008638046656499</v>
      </c>
      <c r="I807" s="1081">
        <v>0.96233019233916461</v>
      </c>
      <c r="K807">
        <v>2.4673474401851609</v>
      </c>
      <c r="L807">
        <v>0</v>
      </c>
      <c r="M807">
        <v>1.5451689736046734E-3</v>
      </c>
      <c r="N807">
        <v>0.15587607652572727</v>
      </c>
      <c r="O807">
        <v>2.1207239706757079E-2</v>
      </c>
      <c r="P807">
        <v>2.9832923732036564E-2</v>
      </c>
      <c r="Q807">
        <v>5.7413088851107743E-3</v>
      </c>
      <c r="R807">
        <v>1.5247907082152348E-3</v>
      </c>
      <c r="S807">
        <v>0.25079815973907726</v>
      </c>
      <c r="T807">
        <v>1.4144555317203098</v>
      </c>
      <c r="U807">
        <v>0.21462170037851494</v>
      </c>
      <c r="V807">
        <v>0.25226671039972159</v>
      </c>
      <c r="W807">
        <v>0.10037128734579144</v>
      </c>
      <c r="X807">
        <v>1.8046902356861537E-2</v>
      </c>
      <c r="Y807">
        <v>4.1499776606399941E-3</v>
      </c>
    </row>
    <row r="808" spans="1:25" x14ac:dyDescent="0.2">
      <c r="A808" s="1077"/>
      <c r="B808" s="1444">
        <v>558</v>
      </c>
      <c r="C808" s="1081">
        <v>0.99846002250314425</v>
      </c>
      <c r="D808" s="1081">
        <v>1.0135211028320732</v>
      </c>
      <c r="E808" s="1081">
        <v>0.99265638173803927</v>
      </c>
      <c r="F808" s="1081">
        <v>1.0159247932770228</v>
      </c>
      <c r="G808" s="1081">
        <v>0.99619449652640624</v>
      </c>
      <c r="H808" s="1081">
        <v>1.0123655001107423</v>
      </c>
      <c r="I808" s="1081">
        <v>0.98781840853143166</v>
      </c>
      <c r="K808">
        <v>2.4304751882820694</v>
      </c>
      <c r="L808">
        <v>0</v>
      </c>
      <c r="M808">
        <v>1.6852438682147185E-3</v>
      </c>
      <c r="N808">
        <v>0.15002999544179729</v>
      </c>
      <c r="O808">
        <v>2.0951088292514894E-2</v>
      </c>
      <c r="P808">
        <v>2.8577150130867656E-2</v>
      </c>
      <c r="Q808">
        <v>5.4420737580995176E-3</v>
      </c>
      <c r="R808">
        <v>1.6632707527737454E-3</v>
      </c>
      <c r="S808">
        <v>0.25513002772853682</v>
      </c>
      <c r="T808">
        <v>1.3933204215544104</v>
      </c>
      <c r="U808">
        <v>0.21227519629393041</v>
      </c>
      <c r="V808">
        <v>0.24500374882182654</v>
      </c>
      <c r="W808">
        <v>9.8991880987656655E-2</v>
      </c>
      <c r="X808">
        <v>1.6248703695877078E-2</v>
      </c>
      <c r="Y808">
        <v>4.5268746919938417E-3</v>
      </c>
    </row>
    <row r="809" spans="1:25" x14ac:dyDescent="0.2">
      <c r="A809" s="1077"/>
      <c r="B809" s="1444">
        <v>559</v>
      </c>
      <c r="C809" s="1081">
        <v>0.98563618297763722</v>
      </c>
      <c r="D809" s="1081">
        <v>0.95975216268307029</v>
      </c>
      <c r="E809" s="1081">
        <v>0.99698676121595142</v>
      </c>
      <c r="F809" s="1081">
        <v>0.98508142042708224</v>
      </c>
      <c r="G809" s="1081">
        <v>0.99930347876554504</v>
      </c>
      <c r="H809" s="1081">
        <v>0.98495674680817291</v>
      </c>
      <c r="I809" s="1081">
        <v>1.0159772994082417</v>
      </c>
      <c r="K809">
        <v>2.4087080100537324</v>
      </c>
      <c r="L809">
        <v>0</v>
      </c>
      <c r="M809">
        <v>1.6659689979881998E-3</v>
      </c>
      <c r="N809">
        <v>0.15021268573133875</v>
      </c>
      <c r="O809">
        <v>2.148267116360689E-2</v>
      </c>
      <c r="P809">
        <v>2.8364488981545338E-2</v>
      </c>
      <c r="Q809">
        <v>5.6045654832998157E-3</v>
      </c>
      <c r="R809">
        <v>1.6436427381751521E-3</v>
      </c>
      <c r="S809">
        <v>0.27079527077147392</v>
      </c>
      <c r="T809">
        <v>1.3511115205656195</v>
      </c>
      <c r="U809">
        <v>0.21505205580468129</v>
      </c>
      <c r="V809">
        <v>0.24633220464170744</v>
      </c>
      <c r="W809">
        <v>9.8856617899819643E-2</v>
      </c>
      <c r="X809">
        <v>1.6444801563820239E-2</v>
      </c>
      <c r="Y809">
        <v>4.4734537066297448E-3</v>
      </c>
    </row>
    <row r="810" spans="1:25" x14ac:dyDescent="0.2">
      <c r="A810" s="1077"/>
      <c r="B810" s="1444">
        <v>560</v>
      </c>
      <c r="C810" s="1081">
        <v>0.98512246334905318</v>
      </c>
      <c r="D810" s="1081">
        <v>1.0044687828281322</v>
      </c>
      <c r="E810" s="1081">
        <v>0.97852551596614512</v>
      </c>
      <c r="F810" s="1081">
        <v>0.9934839026936032</v>
      </c>
      <c r="G810" s="1081">
        <v>1.0124048593450208</v>
      </c>
      <c r="H810" s="1081">
        <v>0.99264994675925666</v>
      </c>
      <c r="I810" s="1081">
        <v>1.012780558119726</v>
      </c>
      <c r="K810">
        <v>2.4110120996495361</v>
      </c>
      <c r="L810">
        <v>0</v>
      </c>
      <c r="M810">
        <v>1.7279070512969507E-3</v>
      </c>
      <c r="N810">
        <v>0.14735369652164049</v>
      </c>
      <c r="O810">
        <v>2.1267209907136334E-2</v>
      </c>
      <c r="P810">
        <v>2.8069083981205063E-2</v>
      </c>
      <c r="Q810">
        <v>5.4456547100608238E-3</v>
      </c>
      <c r="R810">
        <v>1.7049302022150005E-3</v>
      </c>
      <c r="S810">
        <v>0.26446697969445504</v>
      </c>
      <c r="T810">
        <v>1.3622404540986468</v>
      </c>
      <c r="U810">
        <v>0.21510026801270338</v>
      </c>
      <c r="V810">
        <v>0.2486705595371643</v>
      </c>
      <c r="W810">
        <v>9.8055464436108353E-2</v>
      </c>
      <c r="X810">
        <v>1.5725447619157108E-2</v>
      </c>
      <c r="Y810">
        <v>4.6402579803391198E-3</v>
      </c>
    </row>
    <row r="811" spans="1:25" x14ac:dyDescent="0.2">
      <c r="A811" s="1077"/>
      <c r="B811" s="1444">
        <v>561</v>
      </c>
      <c r="C811" s="1081">
        <v>1.0018616624487686</v>
      </c>
      <c r="D811" s="1081">
        <v>0.99594233386415743</v>
      </c>
      <c r="E811" s="1081">
        <v>0.97868089142100079</v>
      </c>
      <c r="F811" s="1081">
        <v>1.0177748003759743</v>
      </c>
      <c r="G811" s="1081">
        <v>1.0185171085295222</v>
      </c>
      <c r="H811" s="1081">
        <v>0.95581369716712317</v>
      </c>
      <c r="I811" s="1081">
        <v>1.0254977072946154</v>
      </c>
      <c r="K811">
        <v>2.4245126682911509</v>
      </c>
      <c r="L811">
        <v>0</v>
      </c>
      <c r="M811">
        <v>1.6385321311657565E-3</v>
      </c>
      <c r="N811">
        <v>0.1397250218003161</v>
      </c>
      <c r="O811">
        <v>2.095123388797945E-2</v>
      </c>
      <c r="P811">
        <v>2.8427853855411394E-2</v>
      </c>
      <c r="Q811">
        <v>5.3655942368504728E-3</v>
      </c>
      <c r="R811">
        <v>1.6159040394281075E-3</v>
      </c>
      <c r="S811">
        <v>0.26123480508232916</v>
      </c>
      <c r="T811">
        <v>1.3955509348556889</v>
      </c>
      <c r="U811">
        <v>0.21150688075426075</v>
      </c>
      <c r="V811">
        <v>0.24865654607295665</v>
      </c>
      <c r="W811">
        <v>9.2970284869807351E-2</v>
      </c>
      <c r="X811">
        <v>1.5748182854587758E-2</v>
      </c>
      <c r="Y811">
        <v>4.3979581126998716E-3</v>
      </c>
    </row>
    <row r="812" spans="1:25" x14ac:dyDescent="0.2">
      <c r="A812" s="1077"/>
      <c r="B812" s="1444">
        <v>562</v>
      </c>
      <c r="C812" s="1081">
        <v>0.99215672111394471</v>
      </c>
      <c r="D812" s="1081">
        <v>0.97566325342832261</v>
      </c>
      <c r="E812" s="1081">
        <v>0.97634255472252462</v>
      </c>
      <c r="F812" s="1081">
        <v>1.001259861449362</v>
      </c>
      <c r="G812" s="1081">
        <v>0.97776415379252712</v>
      </c>
      <c r="H812" s="1081">
        <v>0.99367104310302579</v>
      </c>
      <c r="I812" s="1081">
        <v>1.0120992965478608</v>
      </c>
      <c r="K812">
        <v>2.4152574579187172</v>
      </c>
      <c r="L812">
        <v>0</v>
      </c>
      <c r="M812">
        <v>1.7362666166205532E-3</v>
      </c>
      <c r="N812">
        <v>0.14709370089244053</v>
      </c>
      <c r="O812">
        <v>2.1250570582872164E-2</v>
      </c>
      <c r="P812">
        <v>2.8084324932947418E-2</v>
      </c>
      <c r="Q812">
        <v>5.4293170983430736E-3</v>
      </c>
      <c r="R812">
        <v>1.7132023314332429E-3</v>
      </c>
      <c r="S812">
        <v>0.26635318215631126</v>
      </c>
      <c r="T812">
        <v>1.3728556030697017</v>
      </c>
      <c r="U812">
        <v>0.21356774253493443</v>
      </c>
      <c r="V812">
        <v>0.24231020044451068</v>
      </c>
      <c r="W812">
        <v>9.8011821498009397E-2</v>
      </c>
      <c r="X812">
        <v>1.5661287004668272E-2</v>
      </c>
      <c r="Y812">
        <v>4.662771989164512E-3</v>
      </c>
    </row>
    <row r="813" spans="1:25" x14ac:dyDescent="0.2">
      <c r="A813" s="1077"/>
      <c r="B813" s="1444">
        <v>563</v>
      </c>
      <c r="C813" s="1081">
        <v>0.99699113255501814</v>
      </c>
      <c r="D813" s="1081">
        <v>0.9983168527493681</v>
      </c>
      <c r="E813" s="1081">
        <v>1.0093801015325197</v>
      </c>
      <c r="F813" s="1081">
        <v>1.0267764798751426</v>
      </c>
      <c r="G813" s="1081">
        <v>0.98678982886109723</v>
      </c>
      <c r="H813" s="1081">
        <v>0.96897056174333906</v>
      </c>
      <c r="I813" s="1081">
        <v>1.0122629468718107</v>
      </c>
      <c r="K813">
        <v>2.4440304709845675</v>
      </c>
      <c r="L813">
        <v>0</v>
      </c>
      <c r="M813">
        <v>1.5654942673703578E-3</v>
      </c>
      <c r="N813">
        <v>0.14650461567325851</v>
      </c>
      <c r="O813">
        <v>2.1062982319379545E-2</v>
      </c>
      <c r="P813">
        <v>2.9198022198446267E-2</v>
      </c>
      <c r="Q813">
        <v>5.5638352515116696E-3</v>
      </c>
      <c r="R813">
        <v>1.5441683797128474E-3</v>
      </c>
      <c r="S813">
        <v>0.26019977515338322</v>
      </c>
      <c r="T813">
        <v>1.4085747560193334</v>
      </c>
      <c r="U813">
        <v>0.21264529319835102</v>
      </c>
      <c r="V813">
        <v>0.24343067552438263</v>
      </c>
      <c r="W813">
        <v>9.5710476034153724E-2</v>
      </c>
      <c r="X813">
        <v>1.6958648205413294E-2</v>
      </c>
      <c r="Y813">
        <v>4.2027172946088051E-3</v>
      </c>
    </row>
    <row r="814" spans="1:25" x14ac:dyDescent="0.2">
      <c r="A814" s="1077"/>
      <c r="B814" s="1444">
        <v>564</v>
      </c>
      <c r="C814" s="1081">
        <v>0.96169391107741153</v>
      </c>
      <c r="D814" s="1081">
        <v>0.98597136185417289</v>
      </c>
      <c r="E814" s="1081">
        <v>1.0166663434149994</v>
      </c>
      <c r="F814" s="1081">
        <v>0.99934795968025669</v>
      </c>
      <c r="G814" s="1081">
        <v>0.99477027872949397</v>
      </c>
      <c r="H814" s="1081">
        <v>0.99484787077554482</v>
      </c>
      <c r="I814" s="1081">
        <v>0.9890584331201947</v>
      </c>
      <c r="K814">
        <v>2.4448426224635051</v>
      </c>
      <c r="L814">
        <v>0</v>
      </c>
      <c r="M814">
        <v>1.6457500192165843E-3</v>
      </c>
      <c r="N814">
        <v>0.15749646140901957</v>
      </c>
      <c r="O814">
        <v>2.1900973975631777E-2</v>
      </c>
      <c r="P814">
        <v>2.9097615666867412E-2</v>
      </c>
      <c r="Q814">
        <v>5.8274128951082667E-3</v>
      </c>
      <c r="R814">
        <v>1.6239140027843391E-3</v>
      </c>
      <c r="S814">
        <v>0.26756024810578571</v>
      </c>
      <c r="T814">
        <v>1.3711050620362137</v>
      </c>
      <c r="U814">
        <v>0.220476001036856</v>
      </c>
      <c r="V814">
        <v>0.24706517561224953</v>
      </c>
      <c r="W814">
        <v>0.10245129399252095</v>
      </c>
      <c r="X814">
        <v>1.7464455157210425E-2</v>
      </c>
      <c r="Y814">
        <v>4.4197585924718253E-3</v>
      </c>
    </row>
    <row r="815" spans="1:25" x14ac:dyDescent="0.2">
      <c r="A815" s="1077"/>
      <c r="B815" s="1444">
        <v>565</v>
      </c>
      <c r="C815" s="1081">
        <v>0.99154229815505257</v>
      </c>
      <c r="D815" s="1081">
        <v>0.99201924536808328</v>
      </c>
      <c r="E815" s="1081">
        <v>1.0074666167370803</v>
      </c>
      <c r="F815" s="1081">
        <v>1.0104003336285743</v>
      </c>
      <c r="G815" s="1081">
        <v>0.97973827492233745</v>
      </c>
      <c r="H815" s="1081">
        <v>1.0029015259335317</v>
      </c>
      <c r="I815" s="1081">
        <v>0.99168993605083899</v>
      </c>
      <c r="K815">
        <v>2.4315566664016255</v>
      </c>
      <c r="L815">
        <v>0</v>
      </c>
      <c r="M815">
        <v>1.6379848888476202E-3</v>
      </c>
      <c r="N815">
        <v>0.15247669445485754</v>
      </c>
      <c r="O815">
        <v>2.120695094835498E-2</v>
      </c>
      <c r="P815">
        <v>2.884950026549166E-2</v>
      </c>
      <c r="Q815">
        <v>5.5911506125248377E-3</v>
      </c>
      <c r="R815">
        <v>1.6164264247370392E-3</v>
      </c>
      <c r="S815">
        <v>0.26000866021421093</v>
      </c>
      <c r="T815">
        <v>1.3860673902223712</v>
      </c>
      <c r="U815">
        <v>0.21380724031101761</v>
      </c>
      <c r="V815">
        <v>0.24257734515282078</v>
      </c>
      <c r="W815">
        <v>9.9724593933649561E-2</v>
      </c>
      <c r="X815">
        <v>1.6869318877127792E-2</v>
      </c>
      <c r="Y815">
        <v>4.399379873306514E-3</v>
      </c>
    </row>
    <row r="816" spans="1:25" x14ac:dyDescent="0.2">
      <c r="A816" s="1077"/>
      <c r="B816" s="1444">
        <v>566</v>
      </c>
      <c r="C816" s="1081">
        <v>1.0214606023027046</v>
      </c>
      <c r="D816" s="1081">
        <v>1.0070208208786824</v>
      </c>
      <c r="E816" s="1081">
        <v>1.0166251327820808</v>
      </c>
      <c r="F816" s="1081">
        <v>0.97493106444514133</v>
      </c>
      <c r="G816" s="1081">
        <v>0.98680127605587309</v>
      </c>
      <c r="H816" s="1081">
        <v>0.99300097918994068</v>
      </c>
      <c r="I816" s="1081">
        <v>0.96853733731680347</v>
      </c>
      <c r="K816">
        <v>2.3489468908498981</v>
      </c>
      <c r="L816">
        <v>0</v>
      </c>
      <c r="M816">
        <v>1.539540164854213E-3</v>
      </c>
      <c r="N816">
        <v>0.14731029103769749</v>
      </c>
      <c r="O816">
        <v>2.0523895508329924E-2</v>
      </c>
      <c r="P816">
        <v>2.8057942713388198E-2</v>
      </c>
      <c r="Q816">
        <v>5.4607756047414689E-3</v>
      </c>
      <c r="R816">
        <v>1.5190753619989856E-3</v>
      </c>
      <c r="S816">
        <v>0.24392859243086612</v>
      </c>
      <c r="T816">
        <v>1.3376042182196382</v>
      </c>
      <c r="U816">
        <v>0.20757558933808848</v>
      </c>
      <c r="V816">
        <v>0.24190791586132251</v>
      </c>
      <c r="W816">
        <v>9.5827516652099334E-2</v>
      </c>
      <c r="X816">
        <v>1.6636195914279069E-2</v>
      </c>
      <c r="Y816">
        <v>4.1344223723027394E-3</v>
      </c>
    </row>
    <row r="817" spans="1:25" x14ac:dyDescent="0.2">
      <c r="A817" s="1077"/>
      <c r="B817" s="1444">
        <v>567</v>
      </c>
      <c r="C817" s="1081">
        <v>0.99089846098776957</v>
      </c>
      <c r="D817" s="1081">
        <v>1.0162542782408355</v>
      </c>
      <c r="E817" s="1081">
        <v>0.98844467050409579</v>
      </c>
      <c r="F817" s="1081">
        <v>1.0083606301142787</v>
      </c>
      <c r="G817" s="1081">
        <v>0.97798250644689511</v>
      </c>
      <c r="H817" s="1081">
        <v>1.0248033046230067</v>
      </c>
      <c r="I817" s="1081">
        <v>0.98316731727329854</v>
      </c>
      <c r="K817">
        <v>2.4244184377912399</v>
      </c>
      <c r="L817">
        <v>0</v>
      </c>
      <c r="M817">
        <v>1.733000611887245E-3</v>
      </c>
      <c r="N817">
        <v>0.15235393352818374</v>
      </c>
      <c r="O817">
        <v>2.1095655587941884E-2</v>
      </c>
      <c r="P817">
        <v>2.8350556947599501E-2</v>
      </c>
      <c r="Q817">
        <v>5.4563549271405909E-3</v>
      </c>
      <c r="R817">
        <v>1.710679058355508E-3</v>
      </c>
      <c r="S817">
        <v>0.25653540211492065</v>
      </c>
      <c r="T817">
        <v>1.3828546470657099</v>
      </c>
      <c r="U817">
        <v>0.21388056453315776</v>
      </c>
      <c r="V817">
        <v>0.24238458441539742</v>
      </c>
      <c r="W817">
        <v>0.10077908974721447</v>
      </c>
      <c r="X817">
        <v>1.6094066005860653E-2</v>
      </c>
      <c r="Y817">
        <v>4.655904471643664E-3</v>
      </c>
    </row>
    <row r="818" spans="1:25" x14ac:dyDescent="0.2">
      <c r="A818" s="1077"/>
      <c r="B818" s="1444">
        <v>568</v>
      </c>
      <c r="C818" s="1081">
        <v>0.98546518996688126</v>
      </c>
      <c r="D818" s="1081">
        <v>1.0027981645236963</v>
      </c>
      <c r="E818" s="1081">
        <v>1.0095213051751639</v>
      </c>
      <c r="F818" s="1081">
        <v>1.0258967807626582</v>
      </c>
      <c r="G818" s="1081">
        <v>0.99203490870586053</v>
      </c>
      <c r="H818" s="1081">
        <v>0.98661667962090083</v>
      </c>
      <c r="I818" s="1081">
        <v>1.0157783838272672</v>
      </c>
      <c r="K818">
        <v>2.4596452356118328</v>
      </c>
      <c r="L818">
        <v>0</v>
      </c>
      <c r="M818">
        <v>1.6105864508355421E-3</v>
      </c>
      <c r="N818">
        <v>0.15082602067917011</v>
      </c>
      <c r="O818">
        <v>2.1288442274873826E-2</v>
      </c>
      <c r="P818">
        <v>2.9308561122074833E-2</v>
      </c>
      <c r="Q818">
        <v>5.6241850708417408E-3</v>
      </c>
      <c r="R818">
        <v>1.5890387068804249E-3</v>
      </c>
      <c r="S818">
        <v>0.26511000817892622</v>
      </c>
      <c r="T818">
        <v>1.4073710871032059</v>
      </c>
      <c r="U818">
        <v>0.21513287047576499</v>
      </c>
      <c r="V818">
        <v>0.24505772238670284</v>
      </c>
      <c r="W818">
        <v>9.8525413186735203E-2</v>
      </c>
      <c r="X818">
        <v>1.7097633343829782E-2</v>
      </c>
      <c r="Y818">
        <v>4.3248395336595745E-3</v>
      </c>
    </row>
    <row r="819" spans="1:25" x14ac:dyDescent="0.2">
      <c r="A819" s="1077"/>
      <c r="B819" s="1444">
        <v>569</v>
      </c>
      <c r="C819" s="1081">
        <v>0.9915627332443675</v>
      </c>
      <c r="D819" s="1081">
        <v>1.0115507542664608</v>
      </c>
      <c r="E819" s="1081">
        <v>0.98904373161801096</v>
      </c>
      <c r="F819" s="1081">
        <v>0.96175389174123993</v>
      </c>
      <c r="G819" s="1081">
        <v>1.0166726484974498</v>
      </c>
      <c r="H819" s="1081">
        <v>0.98331087486476876</v>
      </c>
      <c r="I819" s="1081">
        <v>0.98925037194162557</v>
      </c>
      <c r="K819">
        <v>2.3539984978979271</v>
      </c>
      <c r="L819">
        <v>0</v>
      </c>
      <c r="M819">
        <v>1.6613552736770515E-3</v>
      </c>
      <c r="N819">
        <v>0.14623958954689131</v>
      </c>
      <c r="O819">
        <v>2.1103448870328261E-2</v>
      </c>
      <c r="P819">
        <v>2.7565088893974618E-2</v>
      </c>
      <c r="Q819">
        <v>5.4616790526809504E-3</v>
      </c>
      <c r="R819">
        <v>1.6390535777281283E-3</v>
      </c>
      <c r="S819">
        <v>0.25503851560495305</v>
      </c>
      <c r="T819">
        <v>1.318951112572331</v>
      </c>
      <c r="U819">
        <v>0.21373934214459719</v>
      </c>
      <c r="V819">
        <v>0.24894950274743516</v>
      </c>
      <c r="W819">
        <v>9.6699829301081397E-2</v>
      </c>
      <c r="X819">
        <v>1.5811727334891498E-2</v>
      </c>
      <c r="Y819">
        <v>4.4609635247092787E-3</v>
      </c>
    </row>
    <row r="820" spans="1:25" x14ac:dyDescent="0.2">
      <c r="A820" s="1077"/>
      <c r="B820" s="1444">
        <v>570</v>
      </c>
      <c r="C820" s="1081">
        <v>1.0206586497522545</v>
      </c>
      <c r="D820" s="1081">
        <v>0.97198741357227569</v>
      </c>
      <c r="E820" s="1081">
        <v>1.0024071814152751</v>
      </c>
      <c r="F820" s="1081">
        <v>0.99244181336076531</v>
      </c>
      <c r="G820" s="1081">
        <v>1.0007627263913179</v>
      </c>
      <c r="H820" s="1081">
        <v>1.0185792170076082</v>
      </c>
      <c r="I820" s="1081">
        <v>1.0259592057614546</v>
      </c>
      <c r="K820">
        <v>2.4031744025484567</v>
      </c>
      <c r="L820">
        <v>0</v>
      </c>
      <c r="M820">
        <v>1.6405426942855356E-3</v>
      </c>
      <c r="N820">
        <v>0.15042990921458219</v>
      </c>
      <c r="O820">
        <v>2.0691334642472279E-2</v>
      </c>
      <c r="P820">
        <v>2.8416906610265753E-2</v>
      </c>
      <c r="Q820">
        <v>5.427612333475362E-3</v>
      </c>
      <c r="R820">
        <v>1.6192829055289206E-3</v>
      </c>
      <c r="S820">
        <v>0.26532136213953617</v>
      </c>
      <c r="T820">
        <v>1.3613231812004736</v>
      </c>
      <c r="U820">
        <v>0.20769099919141004</v>
      </c>
      <c r="V820">
        <v>0.24438981446094865</v>
      </c>
      <c r="W820">
        <v>9.8681074762835497E-2</v>
      </c>
      <c r="X820">
        <v>1.6416313508829949E-2</v>
      </c>
      <c r="Y820">
        <v>4.4071542723833753E-3</v>
      </c>
    </row>
    <row r="821" spans="1:25" x14ac:dyDescent="0.2">
      <c r="A821" s="1077"/>
      <c r="B821" s="1444">
        <v>571</v>
      </c>
      <c r="C821" s="1081">
        <v>1.0059657321042557</v>
      </c>
      <c r="D821" s="1081">
        <v>1.0010112496283632</v>
      </c>
      <c r="E821" s="1081">
        <v>1.0120806642575595</v>
      </c>
      <c r="F821" s="1081">
        <v>1.0220551214204268</v>
      </c>
      <c r="G821" s="1081">
        <v>0.98712750492558776</v>
      </c>
      <c r="H821" s="1081">
        <v>1.0208621460525296</v>
      </c>
      <c r="I821" s="1081">
        <v>1.0359207172524676</v>
      </c>
      <c r="K821">
        <v>2.4544122876003995</v>
      </c>
      <c r="L821">
        <v>0</v>
      </c>
      <c r="M821">
        <v>1.6245075475194001E-3</v>
      </c>
      <c r="N821">
        <v>0.15337936693924256</v>
      </c>
      <c r="O821">
        <v>2.0864481192679748E-2</v>
      </c>
      <c r="P821">
        <v>2.9243925410287232E-2</v>
      </c>
      <c r="Q821">
        <v>5.5262933196096537E-3</v>
      </c>
      <c r="R821">
        <v>1.603502636239211E-3</v>
      </c>
      <c r="S821">
        <v>0.26811615482666162</v>
      </c>
      <c r="T821">
        <v>1.402157623920369</v>
      </c>
      <c r="U821">
        <v>0.21075739599703111</v>
      </c>
      <c r="V821">
        <v>0.24292050300705692</v>
      </c>
      <c r="W821">
        <v>0.10004235626191735</v>
      </c>
      <c r="X821">
        <v>1.7060986055481474E-2</v>
      </c>
      <c r="Y821">
        <v>4.3642055813411596E-3</v>
      </c>
    </row>
    <row r="822" spans="1:25" x14ac:dyDescent="0.2">
      <c r="A822" s="1077"/>
      <c r="B822" s="1444">
        <v>572</v>
      </c>
      <c r="C822" s="1081">
        <v>1.0063470805817798</v>
      </c>
      <c r="D822" s="1081">
        <v>1.0205892237864531</v>
      </c>
      <c r="E822" s="1081">
        <v>1.0308073045556931</v>
      </c>
      <c r="F822" s="1081">
        <v>1.0360984739725907</v>
      </c>
      <c r="G822" s="1081">
        <v>1.0182693427231286</v>
      </c>
      <c r="H822" s="1081">
        <v>1.0063103196104186</v>
      </c>
      <c r="I822" s="1081">
        <v>0.99568978358907334</v>
      </c>
      <c r="K822">
        <v>2.4647805666903722</v>
      </c>
      <c r="L822">
        <v>0</v>
      </c>
      <c r="M822">
        <v>1.5330132319825332E-3</v>
      </c>
      <c r="N822">
        <v>0.15312333269935904</v>
      </c>
      <c r="O822">
        <v>2.0780223375490462E-2</v>
      </c>
      <c r="P822">
        <v>2.9798492227141503E-2</v>
      </c>
      <c r="Q822">
        <v>5.6073212151331094E-3</v>
      </c>
      <c r="R822">
        <v>1.5129047079060303E-3</v>
      </c>
      <c r="S822">
        <v>0.254066472287025</v>
      </c>
      <c r="T822">
        <v>1.4218451125859801</v>
      </c>
      <c r="U822">
        <v>0.21074134675485168</v>
      </c>
      <c r="V822">
        <v>0.248145987321443</v>
      </c>
      <c r="W822">
        <v>9.8788302708926676E-2</v>
      </c>
      <c r="X822">
        <v>1.7786456153076426E-2</v>
      </c>
      <c r="Y822">
        <v>4.1176278860172904E-3</v>
      </c>
    </row>
    <row r="823" spans="1:25" x14ac:dyDescent="0.2">
      <c r="A823" s="1077"/>
      <c r="B823" s="1444">
        <v>573</v>
      </c>
      <c r="C823" s="1081">
        <v>0.99233807103274629</v>
      </c>
      <c r="D823" s="1081">
        <v>1.0243801808258817</v>
      </c>
      <c r="E823" s="1081">
        <v>1.0156488367092482</v>
      </c>
      <c r="F823" s="1081">
        <v>0.99619723348891664</v>
      </c>
      <c r="G823" s="1081">
        <v>0.99953707550422444</v>
      </c>
      <c r="H823" s="1081">
        <v>1.0104367994979002</v>
      </c>
      <c r="I823" s="1081">
        <v>1.0058047396007348</v>
      </c>
      <c r="K823">
        <v>2.4167290080870107</v>
      </c>
      <c r="L823">
        <v>0</v>
      </c>
      <c r="M823">
        <v>1.6097600929610811E-3</v>
      </c>
      <c r="N823">
        <v>0.15361183929008801</v>
      </c>
      <c r="O823">
        <v>2.1046279261848416E-2</v>
      </c>
      <c r="P823">
        <v>2.8801355532852121E-2</v>
      </c>
      <c r="Q823">
        <v>5.5943218688262342E-3</v>
      </c>
      <c r="R823">
        <v>1.5887311123512588E-3</v>
      </c>
      <c r="S823">
        <v>0.26002032018231852</v>
      </c>
      <c r="T823">
        <v>1.3667602735248425</v>
      </c>
      <c r="U823">
        <v>0.2136640195762598</v>
      </c>
      <c r="V823">
        <v>0.24587834956514748</v>
      </c>
      <c r="W823">
        <v>9.9984033491286858E-2</v>
      </c>
      <c r="X823">
        <v>1.7065242411398122E-2</v>
      </c>
      <c r="Y823">
        <v>4.3240023627496935E-3</v>
      </c>
    </row>
    <row r="824" spans="1:25" x14ac:dyDescent="0.2">
      <c r="A824" s="1077"/>
      <c r="B824" s="1444">
        <v>574</v>
      </c>
      <c r="C824" s="1081">
        <v>0.96964393392049175</v>
      </c>
      <c r="D824" s="1081">
        <v>0.99804517568049578</v>
      </c>
      <c r="E824" s="1081">
        <v>0.9936368844301624</v>
      </c>
      <c r="F824" s="1081">
        <v>1.0205402498618907</v>
      </c>
      <c r="G824" s="1081">
        <v>1.0089494373157066</v>
      </c>
      <c r="H824" s="1081">
        <v>0.99909915955293715</v>
      </c>
      <c r="I824" s="1081">
        <v>1.011173835330774</v>
      </c>
      <c r="K824">
        <v>2.468692834042717</v>
      </c>
      <c r="L824">
        <v>0</v>
      </c>
      <c r="M824">
        <v>1.7149056364928082E-3</v>
      </c>
      <c r="N824">
        <v>0.15309695104275592</v>
      </c>
      <c r="O824">
        <v>2.1647542921054575E-2</v>
      </c>
      <c r="P824">
        <v>2.9024545909216614E-2</v>
      </c>
      <c r="Q824">
        <v>5.6285445315862317E-3</v>
      </c>
      <c r="R824">
        <v>1.6922488739744364E-3</v>
      </c>
      <c r="S824">
        <v>0.2698272953334046</v>
      </c>
      <c r="T824">
        <v>1.3996720394912836</v>
      </c>
      <c r="U824">
        <v>0.21858708935420318</v>
      </c>
      <c r="V824">
        <v>0.24903569614713189</v>
      </c>
      <c r="W824">
        <v>0.10095633125640407</v>
      </c>
      <c r="X824">
        <v>1.6633711232927711E-2</v>
      </c>
      <c r="Y824">
        <v>4.6057435852670369E-3</v>
      </c>
    </row>
    <row r="825" spans="1:25" x14ac:dyDescent="0.2">
      <c r="A825" s="1077"/>
      <c r="B825" s="1444">
        <v>575</v>
      </c>
      <c r="C825" s="1081">
        <v>0.97984681204877111</v>
      </c>
      <c r="D825" s="1081">
        <v>1.027813369839784</v>
      </c>
      <c r="E825" s="1081">
        <v>0.9999047033837497</v>
      </c>
      <c r="F825" s="1081">
        <v>1.0095493250916163</v>
      </c>
      <c r="G825" s="1081">
        <v>1.0331248926778434</v>
      </c>
      <c r="H825" s="1081">
        <v>1.0329572593279128</v>
      </c>
      <c r="I825" s="1081">
        <v>0.99981338705247536</v>
      </c>
      <c r="K825">
        <v>2.4532507650304431</v>
      </c>
      <c r="L825">
        <v>0</v>
      </c>
      <c r="M825">
        <v>1.7207445563401577E-3</v>
      </c>
      <c r="N825">
        <v>0.15662432211414393</v>
      </c>
      <c r="O825">
        <v>2.1288284641736464E-2</v>
      </c>
      <c r="P825">
        <v>2.8881927903809921E-2</v>
      </c>
      <c r="Q825">
        <v>5.5701801553247436E-3</v>
      </c>
      <c r="R825">
        <v>1.6987558200605097E-3</v>
      </c>
      <c r="S825">
        <v>0.26314472233485098</v>
      </c>
      <c r="T825">
        <v>1.3847347416726596</v>
      </c>
      <c r="U825">
        <v>0.21633285590386139</v>
      </c>
      <c r="V825">
        <v>0.25247154232552976</v>
      </c>
      <c r="W825">
        <v>0.10289736051326978</v>
      </c>
      <c r="X825">
        <v>1.6703362854036487E-2</v>
      </c>
      <c r="Y825">
        <v>4.6234533474991272E-3</v>
      </c>
    </row>
    <row r="826" spans="1:25" x14ac:dyDescent="0.2">
      <c r="A826" s="1077"/>
      <c r="B826" s="1444">
        <v>576</v>
      </c>
      <c r="C826" s="1081">
        <v>1.0161004537591283</v>
      </c>
      <c r="D826" s="1081">
        <v>0.98793352669366763</v>
      </c>
      <c r="E826" s="1081">
        <v>0.96904445432029584</v>
      </c>
      <c r="F826" s="1081">
        <v>0.97530098321407854</v>
      </c>
      <c r="G826" s="1081">
        <v>1.0213417642774802</v>
      </c>
      <c r="H826" s="1081">
        <v>1.0144345784576014</v>
      </c>
      <c r="I826" s="1081">
        <v>1.0312700243668196</v>
      </c>
      <c r="K826">
        <v>2.3745929783379043</v>
      </c>
      <c r="L826">
        <v>0</v>
      </c>
      <c r="M826">
        <v>1.7522398784503798E-3</v>
      </c>
      <c r="N826">
        <v>0.14524320171952487</v>
      </c>
      <c r="O826">
        <v>2.0688082458362605E-2</v>
      </c>
      <c r="P826">
        <v>2.7447052187348425E-2</v>
      </c>
      <c r="Q826">
        <v>5.2463856606803621E-3</v>
      </c>
      <c r="R826">
        <v>1.7294398318792759E-3</v>
      </c>
      <c r="S826">
        <v>0.26507493498647633</v>
      </c>
      <c r="T826">
        <v>1.3371095814203682</v>
      </c>
      <c r="U826">
        <v>0.20851071789675923</v>
      </c>
      <c r="V826">
        <v>0.24830342022959101</v>
      </c>
      <c r="W826">
        <v>9.7208705467486542E-2</v>
      </c>
      <c r="X826">
        <v>1.5076731245188478E-2</v>
      </c>
      <c r="Y826">
        <v>4.7069651126880304E-3</v>
      </c>
    </row>
    <row r="827" spans="1:25" x14ac:dyDescent="0.2">
      <c r="A827" s="1077"/>
      <c r="B827" s="1444">
        <v>577</v>
      </c>
      <c r="C827" s="1081">
        <v>0.96919765133958224</v>
      </c>
      <c r="D827" s="1081">
        <v>0.99259256765432913</v>
      </c>
      <c r="E827" s="1081">
        <v>0.98569594752092604</v>
      </c>
      <c r="F827" s="1081">
        <v>1.0144984273247406</v>
      </c>
      <c r="G827" s="1081">
        <v>0.96946142989427098</v>
      </c>
      <c r="H827" s="1081">
        <v>0.97511227222014929</v>
      </c>
      <c r="I827" s="1081">
        <v>0.97201942524563145</v>
      </c>
      <c r="K827">
        <v>2.4337065603501351</v>
      </c>
      <c r="L827">
        <v>0</v>
      </c>
      <c r="M827">
        <v>1.7043223015266987E-3</v>
      </c>
      <c r="N827">
        <v>0.14849361790848445</v>
      </c>
      <c r="O827">
        <v>2.1678190957079464E-2</v>
      </c>
      <c r="P827">
        <v>2.8489826310719647E-2</v>
      </c>
      <c r="Q827">
        <v>5.5914449430864025E-3</v>
      </c>
      <c r="R827">
        <v>1.6812514660028187E-3</v>
      </c>
      <c r="S827">
        <v>0.25809839212220759</v>
      </c>
      <c r="T827">
        <v>1.3912118018670223</v>
      </c>
      <c r="U827">
        <v>0.21865978060405941</v>
      </c>
      <c r="V827">
        <v>0.24234804201525958</v>
      </c>
      <c r="W827">
        <v>9.8387820577483451E-2</v>
      </c>
      <c r="X827">
        <v>1.6194901614192847E-2</v>
      </c>
      <c r="Y827">
        <v>4.5758122660628569E-3</v>
      </c>
    </row>
    <row r="828" spans="1:25" x14ac:dyDescent="0.2">
      <c r="A828" s="1077"/>
      <c r="B828" s="1444">
        <v>578</v>
      </c>
      <c r="C828" s="1081">
        <v>0.97900949793534797</v>
      </c>
      <c r="D828" s="1081">
        <v>1.0122660042005678</v>
      </c>
      <c r="E828" s="1081">
        <v>1.0303365980170405</v>
      </c>
      <c r="F828" s="1081">
        <v>0.99626483001926736</v>
      </c>
      <c r="G828" s="1081">
        <v>1.0026077771256037</v>
      </c>
      <c r="H828" s="1081">
        <v>1.0241858422849626</v>
      </c>
      <c r="I828" s="1081">
        <v>0.9948821821437569</v>
      </c>
      <c r="K828">
        <v>2.4370783628323989</v>
      </c>
      <c r="L828">
        <v>0</v>
      </c>
      <c r="M828">
        <v>1.6082813891179569E-3</v>
      </c>
      <c r="N828">
        <v>0.1604508463694975</v>
      </c>
      <c r="O828">
        <v>2.139868081757727E-2</v>
      </c>
      <c r="P828">
        <v>2.9226833910651666E-2</v>
      </c>
      <c r="Q828">
        <v>5.7715195866904871E-3</v>
      </c>
      <c r="R828">
        <v>1.5875537668022235E-3</v>
      </c>
      <c r="S828">
        <v>0.26355440311785505</v>
      </c>
      <c r="T828">
        <v>1.3671709242770123</v>
      </c>
      <c r="U828">
        <v>0.21662437710462903</v>
      </c>
      <c r="V828">
        <v>0.24720749719342058</v>
      </c>
      <c r="W828">
        <v>0.10354396084359317</v>
      </c>
      <c r="X828">
        <v>1.7829249217507396E-2</v>
      </c>
      <c r="Y828">
        <v>4.3207980162770759E-3</v>
      </c>
    </row>
    <row r="829" spans="1:25" x14ac:dyDescent="0.2">
      <c r="A829" s="1077"/>
      <c r="B829" s="1444">
        <v>579</v>
      </c>
      <c r="C829" s="1081">
        <v>1.0249124556919269</v>
      </c>
      <c r="D829" s="1081">
        <v>1.0039094371322899</v>
      </c>
      <c r="E829" s="1081">
        <v>0.99899660529979384</v>
      </c>
      <c r="F829" s="1081">
        <v>0.98914601312383965</v>
      </c>
      <c r="G829" s="1081">
        <v>0.97565242289569931</v>
      </c>
      <c r="H829" s="1081">
        <v>1.0214191777541139</v>
      </c>
      <c r="I829" s="1081">
        <v>1.0283322069423628</v>
      </c>
      <c r="K829">
        <v>2.3850996621175966</v>
      </c>
      <c r="L829">
        <v>0</v>
      </c>
      <c r="M829">
        <v>1.6382335351975987E-3</v>
      </c>
      <c r="N829">
        <v>0.14868376327787997</v>
      </c>
      <c r="O829">
        <v>2.0457282823460727E-2</v>
      </c>
      <c r="P829">
        <v>2.814679153930354E-2</v>
      </c>
      <c r="Q829">
        <v>5.3478593597133675E-3</v>
      </c>
      <c r="R829">
        <v>1.617062698485521E-3</v>
      </c>
      <c r="S829">
        <v>0.26079519291554792</v>
      </c>
      <c r="T829">
        <v>1.3567293882020985</v>
      </c>
      <c r="U829">
        <v>0.20681762056579481</v>
      </c>
      <c r="V829">
        <v>0.23986015920156051</v>
      </c>
      <c r="W829">
        <v>9.7733415364750179E-2</v>
      </c>
      <c r="X829">
        <v>1.6148248103493981E-2</v>
      </c>
      <c r="Y829">
        <v>4.401111600702297E-3</v>
      </c>
    </row>
    <row r="830" spans="1:25" x14ac:dyDescent="0.2">
      <c r="A830" s="1077"/>
      <c r="B830" s="1444">
        <v>580</v>
      </c>
      <c r="C830" s="1081">
        <v>0.96241908512103047</v>
      </c>
      <c r="D830" s="1081">
        <v>1.0134104007622757</v>
      </c>
      <c r="E830" s="1081">
        <v>1.0316300810706616</v>
      </c>
      <c r="F830" s="1081">
        <v>0.9947982735579699</v>
      </c>
      <c r="G830" s="1081">
        <v>1.0064278623554701</v>
      </c>
      <c r="H830" s="1081">
        <v>1.0143597539517004</v>
      </c>
      <c r="I830" s="1081">
        <v>0.98837925007665173</v>
      </c>
      <c r="K830">
        <v>2.4452711699920555</v>
      </c>
      <c r="L830">
        <v>0</v>
      </c>
      <c r="M830">
        <v>1.6155457516026505E-3</v>
      </c>
      <c r="N830">
        <v>0.16178476708155068</v>
      </c>
      <c r="O830">
        <v>2.1763039747791185E-2</v>
      </c>
      <c r="P830">
        <v>2.9328235630972928E-2</v>
      </c>
      <c r="Q830">
        <v>5.8772996067228377E-3</v>
      </c>
      <c r="R830">
        <v>1.5945228106600514E-3</v>
      </c>
      <c r="S830">
        <v>0.26534989352930893</v>
      </c>
      <c r="T830">
        <v>1.3651863714573644</v>
      </c>
      <c r="U830">
        <v>0.22036321598450617</v>
      </c>
      <c r="V830">
        <v>0.24895399322602282</v>
      </c>
      <c r="W830">
        <v>0.10432648071377158</v>
      </c>
      <c r="X830">
        <v>1.8019130498671897E-2</v>
      </c>
      <c r="Y830">
        <v>4.3397654563133922E-3</v>
      </c>
    </row>
    <row r="831" spans="1:25" x14ac:dyDescent="0.2">
      <c r="A831" s="1077"/>
      <c r="B831" s="1444">
        <v>581</v>
      </c>
      <c r="C831" s="1081">
        <v>0.99263491704389295</v>
      </c>
      <c r="D831" s="1081">
        <v>1.0129050300461737</v>
      </c>
      <c r="E831" s="1081">
        <v>0.97515362868739963</v>
      </c>
      <c r="F831" s="1081">
        <v>0.98278430464353639</v>
      </c>
      <c r="G831" s="1081">
        <v>0.97031684410265995</v>
      </c>
      <c r="H831" s="1081">
        <v>0.9979510647232035</v>
      </c>
      <c r="I831" s="1081">
        <v>0.97871762547609764</v>
      </c>
      <c r="K831">
        <v>2.3727684884076892</v>
      </c>
      <c r="L831">
        <v>0</v>
      </c>
      <c r="M831">
        <v>1.7328524628056373E-3</v>
      </c>
      <c r="N831">
        <v>0.14628559163071522</v>
      </c>
      <c r="O831">
        <v>2.10652160009249E-2</v>
      </c>
      <c r="P831">
        <v>2.7521539026393562E-2</v>
      </c>
      <c r="Q831">
        <v>5.3754456324121985E-3</v>
      </c>
      <c r="R831">
        <v>1.7099322544917763E-3</v>
      </c>
      <c r="S831">
        <v>0.25299482630485948</v>
      </c>
      <c r="T831">
        <v>1.3474981019148016</v>
      </c>
      <c r="U831">
        <v>0.21346077941521782</v>
      </c>
      <c r="V831">
        <v>0.24101146690121683</v>
      </c>
      <c r="W831">
        <v>9.7543598113182375E-2</v>
      </c>
      <c r="X831">
        <v>1.5380971758566489E-2</v>
      </c>
      <c r="Y831">
        <v>4.6538719177104133E-3</v>
      </c>
    </row>
    <row r="832" spans="1:25" x14ac:dyDescent="0.2">
      <c r="A832" s="1077"/>
      <c r="B832" s="1444">
        <v>582</v>
      </c>
      <c r="C832" s="1081">
        <v>0.99985556447602064</v>
      </c>
      <c r="D832" s="1081">
        <v>0.98860497435090477</v>
      </c>
      <c r="E832" s="1081">
        <v>0.99727323326308182</v>
      </c>
      <c r="F832" s="1081">
        <v>0.99470100849705356</v>
      </c>
      <c r="G832" s="1081">
        <v>1.0003206538064322</v>
      </c>
      <c r="H832" s="1081">
        <v>0.99081923971044727</v>
      </c>
      <c r="I832" s="1081">
        <v>1.0042070235660525</v>
      </c>
      <c r="K832">
        <v>2.4033910719764764</v>
      </c>
      <c r="L832">
        <v>0</v>
      </c>
      <c r="M832">
        <v>1.6403464728521661E-3</v>
      </c>
      <c r="N832">
        <v>0.14804240999010865</v>
      </c>
      <c r="O832">
        <v>2.1039798294036922E-2</v>
      </c>
      <c r="P832">
        <v>2.8357658329684888E-2</v>
      </c>
      <c r="Q832">
        <v>5.4906087205676664E-3</v>
      </c>
      <c r="R832">
        <v>1.6184936584933479E-3</v>
      </c>
      <c r="S832">
        <v>0.26043436405213138</v>
      </c>
      <c r="T832">
        <v>1.3643116516357519</v>
      </c>
      <c r="U832">
        <v>0.21199468577488881</v>
      </c>
      <c r="V832">
        <v>0.24560467691371035</v>
      </c>
      <c r="W832">
        <v>9.7411710912634855E-2</v>
      </c>
      <c r="X832">
        <v>1.6320353965187058E-2</v>
      </c>
      <c r="Y832">
        <v>4.4050062021277611E-3</v>
      </c>
    </row>
    <row r="833" spans="1:25" x14ac:dyDescent="0.2">
      <c r="A833" s="1077"/>
      <c r="B833" s="1444">
        <v>583</v>
      </c>
      <c r="C833" s="1081">
        <v>1.0048472813817804</v>
      </c>
      <c r="D833" s="1081">
        <v>0.98822324612318779</v>
      </c>
      <c r="E833" s="1081">
        <v>0.99213144038229839</v>
      </c>
      <c r="F833" s="1081">
        <v>1.0340166798449704</v>
      </c>
      <c r="G833" s="1081">
        <v>0.9920865555648507</v>
      </c>
      <c r="H833" s="1081">
        <v>1.0449289663463479</v>
      </c>
      <c r="I833" s="1081">
        <v>1.0079746249908721</v>
      </c>
      <c r="K833">
        <v>2.4709555767990978</v>
      </c>
      <c r="L833">
        <v>0</v>
      </c>
      <c r="M833">
        <v>1.7399238631163616E-3</v>
      </c>
      <c r="N833">
        <v>0.15471598432193845</v>
      </c>
      <c r="O833">
        <v>2.0933656983339623E-2</v>
      </c>
      <c r="P833">
        <v>2.8999646005190349E-2</v>
      </c>
      <c r="Q833">
        <v>5.4346654224587069E-3</v>
      </c>
      <c r="R833">
        <v>1.717944773765236E-3</v>
      </c>
      <c r="S833">
        <v>0.26474922456728611</v>
      </c>
      <c r="T833">
        <v>1.4181213584737065</v>
      </c>
      <c r="U833">
        <v>0.21092409660886532</v>
      </c>
      <c r="V833">
        <v>0.24390679726056214</v>
      </c>
      <c r="W833">
        <v>0.10211580850108973</v>
      </c>
      <c r="X833">
        <v>1.6400638390167862E-2</v>
      </c>
      <c r="Y833">
        <v>4.675679353846501E-3</v>
      </c>
    </row>
    <row r="834" spans="1:25" x14ac:dyDescent="0.2">
      <c r="A834" s="1077"/>
      <c r="B834" s="1444">
        <v>584</v>
      </c>
      <c r="C834" s="1081">
        <v>1.0267135857643408</v>
      </c>
      <c r="D834" s="1081">
        <v>0.99939460318745121</v>
      </c>
      <c r="E834" s="1081">
        <v>0.99086991792231738</v>
      </c>
      <c r="F834" s="1081">
        <v>0.95534932430799868</v>
      </c>
      <c r="G834" s="1081">
        <v>0.97827028332597188</v>
      </c>
      <c r="H834" s="1081">
        <v>1.019665331138544</v>
      </c>
      <c r="I834" s="1081">
        <v>1.0217880006223556</v>
      </c>
      <c r="K834">
        <v>2.3334016373557147</v>
      </c>
      <c r="L834">
        <v>0</v>
      </c>
      <c r="M834">
        <v>1.6619302960697285E-3</v>
      </c>
      <c r="N834">
        <v>0.14717152305928224</v>
      </c>
      <c r="O834">
        <v>2.0436406051688099E-2</v>
      </c>
      <c r="P834">
        <v>2.7321538955377731E-2</v>
      </c>
      <c r="Q834">
        <v>5.2988170193649176E-3</v>
      </c>
      <c r="R834">
        <v>1.6404162858887651E-3</v>
      </c>
      <c r="S834">
        <v>0.2590479449259358</v>
      </c>
      <c r="T834">
        <v>1.3102055330859546</v>
      </c>
      <c r="U834">
        <v>0.2064277726719749</v>
      </c>
      <c r="V834">
        <v>0.24022907023797069</v>
      </c>
      <c r="W834">
        <v>9.7209654450172059E-2</v>
      </c>
      <c r="X834">
        <v>1.5610218541066893E-2</v>
      </c>
      <c r="Y834">
        <v>4.4646723671059102E-3</v>
      </c>
    </row>
    <row r="835" spans="1:25" x14ac:dyDescent="0.2">
      <c r="A835" s="1077"/>
      <c r="B835" s="1444">
        <v>585</v>
      </c>
      <c r="C835" s="1081">
        <v>0.99535855039158361</v>
      </c>
      <c r="D835" s="1081">
        <v>0.98265511916864889</v>
      </c>
      <c r="E835" s="1081">
        <v>0.96450200058034963</v>
      </c>
      <c r="F835" s="1081">
        <v>1.0103187605354558</v>
      </c>
      <c r="G835" s="1081">
        <v>1.0237740694921302</v>
      </c>
      <c r="H835" s="1081">
        <v>0.98055347929747882</v>
      </c>
      <c r="I835" s="1081">
        <v>1.0126104405787746</v>
      </c>
      <c r="K835">
        <v>2.4244021694114419</v>
      </c>
      <c r="L835">
        <v>0</v>
      </c>
      <c r="M835">
        <v>1.7473516247690237E-3</v>
      </c>
      <c r="N835">
        <v>0.14279400045691987</v>
      </c>
      <c r="O835">
        <v>2.1141075108279291E-2</v>
      </c>
      <c r="P835">
        <v>2.8046405520265785E-2</v>
      </c>
      <c r="Q835">
        <v>5.3363842408941662E-3</v>
      </c>
      <c r="R835">
        <v>1.7238295708306539E-3</v>
      </c>
      <c r="S835">
        <v>0.26343903565370752</v>
      </c>
      <c r="T835">
        <v>1.3850193777653619</v>
      </c>
      <c r="U835">
        <v>0.21284027964409091</v>
      </c>
      <c r="V835">
        <v>0.25001546128107061</v>
      </c>
      <c r="W835">
        <v>9.5834764099672787E-2</v>
      </c>
      <c r="X835">
        <v>1.5267211863582805E-2</v>
      </c>
      <c r="Y835">
        <v>4.6916958315357388E-3</v>
      </c>
    </row>
    <row r="836" spans="1:25" x14ac:dyDescent="0.2">
      <c r="A836" s="1077"/>
      <c r="B836" s="1444">
        <v>586</v>
      </c>
      <c r="C836" s="1081">
        <v>0.96678141661453598</v>
      </c>
      <c r="D836" s="1081">
        <v>1.0052159488198849</v>
      </c>
      <c r="E836" s="1081">
        <v>0.98995274140489653</v>
      </c>
      <c r="F836" s="1081">
        <v>1.0070272249206782</v>
      </c>
      <c r="G836" s="1081">
        <v>1.0334111206196317</v>
      </c>
      <c r="H836" s="1081">
        <v>1.0277940407127386</v>
      </c>
      <c r="I836" s="1081">
        <v>1.0039693449187734</v>
      </c>
      <c r="K836">
        <v>2.4623320540681406</v>
      </c>
      <c r="L836">
        <v>0</v>
      </c>
      <c r="M836">
        <v>1.7801325869785177E-3</v>
      </c>
      <c r="N836">
        <v>0.15721866415160907</v>
      </c>
      <c r="O836">
        <v>2.1674946522182808E-2</v>
      </c>
      <c r="P836">
        <v>2.8765741442759528E-2</v>
      </c>
      <c r="Q836">
        <v>5.6147433972844668E-3</v>
      </c>
      <c r="R836">
        <v>1.7572706789353585E-3</v>
      </c>
      <c r="S836">
        <v>0.27023658293374625</v>
      </c>
      <c r="T836">
        <v>1.3810588037004903</v>
      </c>
      <c r="U836">
        <v>0.21922128899370746</v>
      </c>
      <c r="V836">
        <v>0.25341807543722733</v>
      </c>
      <c r="W836">
        <v>0.10390304134170729</v>
      </c>
      <c r="X836">
        <v>1.6460316551527326E-2</v>
      </c>
      <c r="Y836">
        <v>4.7827115039384199E-3</v>
      </c>
    </row>
    <row r="837" spans="1:25" x14ac:dyDescent="0.2">
      <c r="A837" s="1077"/>
      <c r="B837" s="1444">
        <v>587</v>
      </c>
      <c r="C837" s="1081">
        <v>0.98093546084738092</v>
      </c>
      <c r="D837" s="1081">
        <v>0.99530942711308479</v>
      </c>
      <c r="E837" s="1081">
        <v>1.0243825505594464</v>
      </c>
      <c r="F837" s="1081">
        <v>1.026888876024598</v>
      </c>
      <c r="G837" s="1081">
        <v>1.0209210039237349</v>
      </c>
      <c r="H837" s="1081">
        <v>1.0181144675629266</v>
      </c>
      <c r="I837" s="1081">
        <v>1.0146064980962866</v>
      </c>
      <c r="K837">
        <v>2.4863298986860207</v>
      </c>
      <c r="L837">
        <v>0</v>
      </c>
      <c r="M837">
        <v>1.6215357379700177E-3</v>
      </c>
      <c r="N837">
        <v>0.15888249974886764</v>
      </c>
      <c r="O837">
        <v>2.1432136385315034E-2</v>
      </c>
      <c r="P837">
        <v>2.9806930200447956E-2</v>
      </c>
      <c r="Q837">
        <v>5.7465653528682428E-3</v>
      </c>
      <c r="R837">
        <v>1.6005126680700523E-3</v>
      </c>
      <c r="S837">
        <v>0.26993237876759923</v>
      </c>
      <c r="T837">
        <v>1.4090632570864834</v>
      </c>
      <c r="U837">
        <v>0.21617822434722969</v>
      </c>
      <c r="V837">
        <v>0.25022824162412133</v>
      </c>
      <c r="W837">
        <v>0.10288757731589256</v>
      </c>
      <c r="X837">
        <v>1.7837043053466881E-2</v>
      </c>
      <c r="Y837">
        <v>4.3560678736274507E-3</v>
      </c>
    </row>
    <row r="838" spans="1:25" x14ac:dyDescent="0.2">
      <c r="A838" s="1077"/>
      <c r="B838" s="1444">
        <v>588</v>
      </c>
      <c r="C838" s="1081">
        <v>0.98817492981063293</v>
      </c>
      <c r="D838" s="1081">
        <v>1.0010051163442804</v>
      </c>
      <c r="E838" s="1081">
        <v>1.0329152764924883</v>
      </c>
      <c r="F838" s="1081">
        <v>1.0064752839793847</v>
      </c>
      <c r="G838" s="1081">
        <v>0.98170033870160878</v>
      </c>
      <c r="H838" s="1081">
        <v>0.97682140226338554</v>
      </c>
      <c r="I838" s="1081">
        <v>0.99006025841720935</v>
      </c>
      <c r="K838">
        <v>2.4246883378154291</v>
      </c>
      <c r="L838">
        <v>0</v>
      </c>
      <c r="M838">
        <v>1.5152564653444947E-3</v>
      </c>
      <c r="N838">
        <v>0.15225330445823523</v>
      </c>
      <c r="O838">
        <v>2.1254185315001638E-2</v>
      </c>
      <c r="P838">
        <v>2.9304194544854952E-2</v>
      </c>
      <c r="Q838">
        <v>5.747168009725476E-3</v>
      </c>
      <c r="R838">
        <v>1.4947808389025184E-3</v>
      </c>
      <c r="S838">
        <v>0.2572766053111824</v>
      </c>
      <c r="T838">
        <v>1.3812391744312653</v>
      </c>
      <c r="U838">
        <v>0.21462412446655832</v>
      </c>
      <c r="V838">
        <v>0.24304002229552923</v>
      </c>
      <c r="W838">
        <v>9.810705503407656E-2</v>
      </c>
      <c r="X838">
        <v>1.7794678886319526E-2</v>
      </c>
      <c r="Y838">
        <v>4.0683006891215415E-3</v>
      </c>
    </row>
    <row r="839" spans="1:25" x14ac:dyDescent="0.2">
      <c r="A839" s="1077"/>
      <c r="B839" s="1444">
        <v>589</v>
      </c>
      <c r="C839" s="1081">
        <v>0.98462274169190045</v>
      </c>
      <c r="D839" s="1081">
        <v>1.0026816287951392</v>
      </c>
      <c r="E839" s="1081">
        <v>0.99327014296448224</v>
      </c>
      <c r="F839" s="1081">
        <v>1.0167777550250836</v>
      </c>
      <c r="G839" s="1081">
        <v>1.011829908342841</v>
      </c>
      <c r="H839" s="1081">
        <v>0.97941182632538371</v>
      </c>
      <c r="I839" s="1081">
        <v>1.0429939072904386</v>
      </c>
      <c r="K839">
        <v>2.4515012421301816</v>
      </c>
      <c r="L839">
        <v>0</v>
      </c>
      <c r="M839">
        <v>1.6551090645515068E-3</v>
      </c>
      <c r="N839">
        <v>0.14755522873346413</v>
      </c>
      <c r="O839">
        <v>2.1296251654102965E-2</v>
      </c>
      <c r="P839">
        <v>2.891969442204383E-2</v>
      </c>
      <c r="Q839">
        <v>5.5351575489645879E-3</v>
      </c>
      <c r="R839">
        <v>1.6328027669644514E-3</v>
      </c>
      <c r="S839">
        <v>0.27167311907584613</v>
      </c>
      <c r="T839">
        <v>1.394503719464798</v>
      </c>
      <c r="U839">
        <v>0.21526050937021238</v>
      </c>
      <c r="V839">
        <v>0.24855022824038528</v>
      </c>
      <c r="W839">
        <v>9.7323288792463783E-2</v>
      </c>
      <c r="X839">
        <v>1.6462400247094805E-2</v>
      </c>
      <c r="Y839">
        <v>4.4439508783897675E-3</v>
      </c>
    </row>
    <row r="840" spans="1:25" x14ac:dyDescent="0.2">
      <c r="A840" s="1077"/>
      <c r="B840" s="1444">
        <v>590</v>
      </c>
      <c r="C840" s="1081">
        <v>0.97662406801149859</v>
      </c>
      <c r="D840" s="1081">
        <v>0.99607871940305015</v>
      </c>
      <c r="E840" s="1081">
        <v>1.0284794878234458</v>
      </c>
      <c r="F840" s="1081">
        <v>0.9690579888364369</v>
      </c>
      <c r="G840" s="1081">
        <v>1.0044015667250406</v>
      </c>
      <c r="H840" s="1081">
        <v>1.0249136311125193</v>
      </c>
      <c r="I840" s="1081">
        <v>1.0130464508901942</v>
      </c>
      <c r="K840">
        <v>2.4093989639366442</v>
      </c>
      <c r="L840">
        <v>0</v>
      </c>
      <c r="M840">
        <v>1.6253643365757345E-3</v>
      </c>
      <c r="N840">
        <v>0.16125131745875304</v>
      </c>
      <c r="O840">
        <v>2.1525889406876105E-2</v>
      </c>
      <c r="P840">
        <v>2.8787531437344128E-2</v>
      </c>
      <c r="Q840">
        <v>5.7951756521285626E-3</v>
      </c>
      <c r="R840">
        <v>1.6044314232349862E-3</v>
      </c>
      <c r="S840">
        <v>0.27123882495953283</v>
      </c>
      <c r="T840">
        <v>1.3297959202992198</v>
      </c>
      <c r="U840">
        <v>0.21714695901460956</v>
      </c>
      <c r="V840">
        <v>0.24767575403497646</v>
      </c>
      <c r="W840">
        <v>0.10417282061053708</v>
      </c>
      <c r="X840">
        <v>1.766297054263594E-2</v>
      </c>
      <c r="Y840">
        <v>4.3667334333691091E-3</v>
      </c>
    </row>
    <row r="841" spans="1:25" x14ac:dyDescent="0.2">
      <c r="A841" s="1077"/>
      <c r="B841" s="1444">
        <v>591</v>
      </c>
      <c r="C841" s="1081">
        <v>1.025724641985448</v>
      </c>
      <c r="D841" s="1081">
        <v>0.97271462084621074</v>
      </c>
      <c r="E841" s="1081">
        <v>0.99283557671030043</v>
      </c>
      <c r="F841" s="1081">
        <v>1.000397686147773</v>
      </c>
      <c r="G841" s="1081">
        <v>1.0003862927194305</v>
      </c>
      <c r="H841" s="1081">
        <v>1.0056176933246015</v>
      </c>
      <c r="I841" s="1081">
        <v>0.99640429450527546</v>
      </c>
      <c r="K841">
        <v>2.395386890757341</v>
      </c>
      <c r="L841">
        <v>0</v>
      </c>
      <c r="M841">
        <v>1.6437031483984409E-3</v>
      </c>
      <c r="N841">
        <v>0.14639811131220024</v>
      </c>
      <c r="O841">
        <v>2.0579525406267681E-2</v>
      </c>
      <c r="P841">
        <v>2.8202912576121609E-2</v>
      </c>
      <c r="Q841">
        <v>5.3465266149553218E-3</v>
      </c>
      <c r="R841">
        <v>1.6221278555382474E-3</v>
      </c>
      <c r="S841">
        <v>0.25515428609410412</v>
      </c>
      <c r="T841">
        <v>1.3720291779166911</v>
      </c>
      <c r="U841">
        <v>0.20663334039235359</v>
      </c>
      <c r="V841">
        <v>0.24405824222000141</v>
      </c>
      <c r="W841">
        <v>9.658516689182059E-2</v>
      </c>
      <c r="X841">
        <v>1.6006279337211625E-2</v>
      </c>
      <c r="Y841">
        <v>4.4148972884712444E-3</v>
      </c>
    </row>
    <row r="842" spans="1:25" x14ac:dyDescent="0.2">
      <c r="A842" s="1077"/>
      <c r="B842" s="1444">
        <v>592</v>
      </c>
      <c r="C842" s="1081">
        <v>0.99629685800101664</v>
      </c>
      <c r="D842" s="1081">
        <v>0.99982744813751889</v>
      </c>
      <c r="E842" s="1081">
        <v>0.97034369029498968</v>
      </c>
      <c r="F842" s="1081">
        <v>0.97867519879413656</v>
      </c>
      <c r="G842" s="1081">
        <v>0.97952113714186384</v>
      </c>
      <c r="H842" s="1081">
        <v>1.0001125684097378</v>
      </c>
      <c r="I842" s="1081">
        <v>0.96278503240410973</v>
      </c>
      <c r="K842">
        <v>2.3633718194358022</v>
      </c>
      <c r="L842">
        <v>0</v>
      </c>
      <c r="M842">
        <v>1.7525001151862186E-3</v>
      </c>
      <c r="N842">
        <v>0.14580984108256267</v>
      </c>
      <c r="O842">
        <v>2.1044687635387624E-2</v>
      </c>
      <c r="P842">
        <v>2.7307776667890922E-2</v>
      </c>
      <c r="Q842">
        <v>5.343911583145E-3</v>
      </c>
      <c r="R842">
        <v>1.7293701281959916E-3</v>
      </c>
      <c r="S842">
        <v>0.24971824586182856</v>
      </c>
      <c r="T842">
        <v>1.3417628609686874</v>
      </c>
      <c r="U842">
        <v>0.21265976354958685</v>
      </c>
      <c r="V842">
        <v>0.24237068287762148</v>
      </c>
      <c r="W842">
        <v>9.7510790459861496E-2</v>
      </c>
      <c r="X842">
        <v>1.5159613333977492E-2</v>
      </c>
      <c r="Y842">
        <v>4.7067754022399435E-3</v>
      </c>
    </row>
    <row r="843" spans="1:25" x14ac:dyDescent="0.2">
      <c r="A843" s="1077"/>
      <c r="B843" s="1444">
        <v>593</v>
      </c>
      <c r="C843" s="1081">
        <v>0.99425634698928445</v>
      </c>
      <c r="D843" s="1081">
        <v>1.0367884817840836</v>
      </c>
      <c r="E843" s="1081">
        <v>1.0182068481771966</v>
      </c>
      <c r="F843" s="1081">
        <v>1.0019848112547873</v>
      </c>
      <c r="G843" s="1081">
        <v>0.98632885987684715</v>
      </c>
      <c r="H843" s="1081">
        <v>0.97232436773676578</v>
      </c>
      <c r="I843" s="1081">
        <v>0.98726417669081534</v>
      </c>
      <c r="K843">
        <v>2.4012548225971395</v>
      </c>
      <c r="L843">
        <v>0</v>
      </c>
      <c r="M843">
        <v>1.5337821379642084E-3</v>
      </c>
      <c r="N843">
        <v>0.14741918892876305</v>
      </c>
      <c r="O843">
        <v>2.0951804682616301E-2</v>
      </c>
      <c r="P843">
        <v>2.878952320978876E-2</v>
      </c>
      <c r="Q843">
        <v>5.5834142765988594E-3</v>
      </c>
      <c r="R843">
        <v>1.512960316213352E-3</v>
      </c>
      <c r="S843">
        <v>0.25004310725937845</v>
      </c>
      <c r="T843">
        <v>1.3747563209806104</v>
      </c>
      <c r="U843">
        <v>0.21326060251093817</v>
      </c>
      <c r="V843">
        <v>0.24349358752214004</v>
      </c>
      <c r="W843">
        <v>9.5809473873949835E-2</v>
      </c>
      <c r="X843">
        <v>1.7050841940606028E-2</v>
      </c>
      <c r="Y843">
        <v>4.1177792334985454E-3</v>
      </c>
    </row>
    <row r="844" spans="1:25" x14ac:dyDescent="0.2">
      <c r="A844" s="1077"/>
      <c r="B844" s="1444">
        <v>594</v>
      </c>
      <c r="C844" s="1081">
        <v>1.017128889197336</v>
      </c>
      <c r="D844" s="1081">
        <v>1.0109435871804429</v>
      </c>
      <c r="E844" s="1081">
        <v>0.95551831561153278</v>
      </c>
      <c r="F844" s="1081">
        <v>0.9742526688990506</v>
      </c>
      <c r="G844" s="1081">
        <v>0.98463174177547652</v>
      </c>
      <c r="H844" s="1081">
        <v>1.0051094676293326</v>
      </c>
      <c r="I844" s="1081">
        <v>1.0204149643085865</v>
      </c>
      <c r="K844">
        <v>2.352081578131505</v>
      </c>
      <c r="L844">
        <v>0</v>
      </c>
      <c r="M844">
        <v>1.7744174003109297E-3</v>
      </c>
      <c r="N844">
        <v>0.14115881477527775</v>
      </c>
      <c r="O844">
        <v>2.0553993966271993E-2</v>
      </c>
      <c r="P844">
        <v>2.6961446545910449E-2</v>
      </c>
      <c r="Q844">
        <v>5.1405102422244706E-3</v>
      </c>
      <c r="R844">
        <v>1.7511145716378718E-3</v>
      </c>
      <c r="S844">
        <v>0.25812007968217349</v>
      </c>
      <c r="T844">
        <v>1.3353896215321444</v>
      </c>
      <c r="U844">
        <v>0.20825471437192716</v>
      </c>
      <c r="V844">
        <v>0.24201642145744534</v>
      </c>
      <c r="W844">
        <v>9.526090040333926E-2</v>
      </c>
      <c r="X844">
        <v>1.4482421374225651E-2</v>
      </c>
      <c r="Y844">
        <v>4.7659566092348882E-3</v>
      </c>
    </row>
    <row r="845" spans="1:25" x14ac:dyDescent="0.2">
      <c r="A845" s="1077"/>
      <c r="B845" s="1444">
        <v>595</v>
      </c>
      <c r="C845" s="1081">
        <v>0.97182450330948156</v>
      </c>
      <c r="D845" s="1081">
        <v>1.0325557419962947</v>
      </c>
      <c r="E845" s="1081">
        <v>1.0271335084676352</v>
      </c>
      <c r="F845" s="1081">
        <v>0.96588865528760826</v>
      </c>
      <c r="G845" s="1081">
        <v>0.97030114393600508</v>
      </c>
      <c r="H845" s="1081">
        <v>0.98082877201382035</v>
      </c>
      <c r="I845" s="1081">
        <v>0.97798722386370562</v>
      </c>
      <c r="K845">
        <v>2.3705718183095925</v>
      </c>
      <c r="L845">
        <v>0</v>
      </c>
      <c r="M845">
        <v>1.555168837268951E-3</v>
      </c>
      <c r="N845">
        <v>0.15357229802806791</v>
      </c>
      <c r="O845">
        <v>2.1460793152310163E-2</v>
      </c>
      <c r="P845">
        <v>2.8406840017054322E-2</v>
      </c>
      <c r="Q845">
        <v>5.7699576919276194E-3</v>
      </c>
      <c r="R845">
        <v>1.5342397366225721E-3</v>
      </c>
      <c r="S845">
        <v>0.25472406833985817</v>
      </c>
      <c r="T845">
        <v>1.3254185117887878</v>
      </c>
      <c r="U845">
        <v>0.21821463189499801</v>
      </c>
      <c r="V845">
        <v>0.2421771118389407</v>
      </c>
      <c r="W845">
        <v>9.9289640294540113E-2</v>
      </c>
      <c r="X845">
        <v>1.7383199562662082E-2</v>
      </c>
      <c r="Y845">
        <v>4.1756948010933902E-3</v>
      </c>
    </row>
    <row r="846" spans="1:25" x14ac:dyDescent="0.2">
      <c r="A846" s="1077"/>
      <c r="B846" s="1444">
        <v>596</v>
      </c>
      <c r="C846" s="1081">
        <v>0.98374901551367222</v>
      </c>
      <c r="D846" s="1081">
        <v>1.0127013750994436</v>
      </c>
      <c r="E846" s="1081">
        <v>1.0318001175713605</v>
      </c>
      <c r="F846" s="1081">
        <v>1.0050564388834506</v>
      </c>
      <c r="G846" s="1081">
        <v>0.99453319950424246</v>
      </c>
      <c r="H846" s="1081">
        <v>1.0128516832891761</v>
      </c>
      <c r="I846" s="1081">
        <v>0.99007184656474512</v>
      </c>
      <c r="K846">
        <v>2.4388552095756895</v>
      </c>
      <c r="L846">
        <v>0</v>
      </c>
      <c r="M846">
        <v>1.5778509469731596E-3</v>
      </c>
      <c r="N846">
        <v>0.15808781667119925</v>
      </c>
      <c r="O846">
        <v>2.1294560741145403E-2</v>
      </c>
      <c r="P846">
        <v>2.9339133146057055E-2</v>
      </c>
      <c r="Q846">
        <v>5.7517487050317943E-3</v>
      </c>
      <c r="R846">
        <v>1.5572879534363183E-3</v>
      </c>
      <c r="S846">
        <v>0.26000420214384362</v>
      </c>
      <c r="T846">
        <v>1.3792676253807723</v>
      </c>
      <c r="U846">
        <v>0.21558583070967297</v>
      </c>
      <c r="V846">
        <v>0.24551754221234059</v>
      </c>
      <c r="W846">
        <v>0.10193246407386324</v>
      </c>
      <c r="X846">
        <v>1.7856424335880059E-2</v>
      </c>
      <c r="Y846">
        <v>4.2384244494177757E-3</v>
      </c>
    </row>
    <row r="847" spans="1:25" x14ac:dyDescent="0.2">
      <c r="A847" s="1077"/>
      <c r="B847" s="1444">
        <v>597</v>
      </c>
      <c r="C847" s="1081">
        <v>0.9678563030763887</v>
      </c>
      <c r="D847" s="1081">
        <v>0.97492154060810932</v>
      </c>
      <c r="E847" s="1081">
        <v>0.98519719804563632</v>
      </c>
      <c r="F847" s="1081">
        <v>0.95894137817575742</v>
      </c>
      <c r="G847" s="1081">
        <v>0.99588945385624061</v>
      </c>
      <c r="H847" s="1081">
        <v>0.99526112990264193</v>
      </c>
      <c r="I847" s="1081">
        <v>1.0213464570722479</v>
      </c>
      <c r="K847">
        <v>2.3859222411386343</v>
      </c>
      <c r="L847">
        <v>0</v>
      </c>
      <c r="M847">
        <v>1.7506534929955676E-3</v>
      </c>
      <c r="N847">
        <v>0.15234274678179427</v>
      </c>
      <c r="O847">
        <v>2.1793850532060746E-2</v>
      </c>
      <c r="P847">
        <v>2.7756747706858192E-2</v>
      </c>
      <c r="Q847">
        <v>5.6184367116794143E-3</v>
      </c>
      <c r="R847">
        <v>1.7274352490375098E-3</v>
      </c>
      <c r="S847">
        <v>0.27586153432052157</v>
      </c>
      <c r="T847">
        <v>1.3150144581912406</v>
      </c>
      <c r="U847">
        <v>0.21896106296764695</v>
      </c>
      <c r="V847">
        <v>0.24695399117463324</v>
      </c>
      <c r="W847">
        <v>0.10096842021718377</v>
      </c>
      <c r="X847">
        <v>1.5972701479967395E-2</v>
      </c>
      <c r="Y847">
        <v>4.7015092990032991E-3</v>
      </c>
    </row>
    <row r="848" spans="1:25" x14ac:dyDescent="0.2">
      <c r="A848" s="1077"/>
      <c r="B848" s="1444">
        <v>598</v>
      </c>
      <c r="C848" s="1081">
        <v>0.99340608673518549</v>
      </c>
      <c r="D848" s="1081">
        <v>0.99140900976108859</v>
      </c>
      <c r="E848" s="1081">
        <v>1.00199402561992</v>
      </c>
      <c r="F848" s="1081">
        <v>1.0196323296641445</v>
      </c>
      <c r="G848" s="1081">
        <v>0.98920481436804242</v>
      </c>
      <c r="H848" s="1081">
        <v>1.0225048954447196</v>
      </c>
      <c r="I848" s="1081">
        <v>0.98712385096761313</v>
      </c>
      <c r="K848">
        <v>2.4487436188842366</v>
      </c>
      <c r="L848">
        <v>0</v>
      </c>
      <c r="M848">
        <v>1.6861408891716949E-3</v>
      </c>
      <c r="N848">
        <v>0.15442598999268287</v>
      </c>
      <c r="O848">
        <v>2.1166363189353617E-2</v>
      </c>
      <c r="P848">
        <v>2.8919147797511955E-2</v>
      </c>
      <c r="Q848">
        <v>5.5499161119732252E-3</v>
      </c>
      <c r="R848">
        <v>1.664374084369198E-3</v>
      </c>
      <c r="S848">
        <v>0.26002119214966574</v>
      </c>
      <c r="T848">
        <v>1.3986110435618575</v>
      </c>
      <c r="U848">
        <v>0.21338725913016668</v>
      </c>
      <c r="V848">
        <v>0.24409474013936994</v>
      </c>
      <c r="W848">
        <v>0.10132731405572971</v>
      </c>
      <c r="X848">
        <v>1.673254196384312E-2</v>
      </c>
      <c r="Y848">
        <v>4.5298775968835017E-3</v>
      </c>
    </row>
    <row r="849" spans="1:25" x14ac:dyDescent="0.2">
      <c r="A849" s="1077"/>
      <c r="B849" s="1444">
        <v>599</v>
      </c>
      <c r="C849" s="1081">
        <v>1.0412864426086832</v>
      </c>
      <c r="D849" s="1081">
        <v>0.98128980331531235</v>
      </c>
      <c r="E849" s="1081">
        <v>0.99834221409368828</v>
      </c>
      <c r="F849" s="1081">
        <v>1.0051378850059747</v>
      </c>
      <c r="G849" s="1081">
        <v>0.97281483483348563</v>
      </c>
      <c r="H849" s="1081">
        <v>1.0227336004290675</v>
      </c>
      <c r="I849" s="1081">
        <v>0.9733502208406335</v>
      </c>
      <c r="K849">
        <v>2.3845504685178427</v>
      </c>
      <c r="L849">
        <v>0</v>
      </c>
      <c r="M849">
        <v>1.6248664578286647E-3</v>
      </c>
      <c r="N849">
        <v>0.14718176451781217</v>
      </c>
      <c r="O849">
        <v>2.0236384157226929E-2</v>
      </c>
      <c r="P849">
        <v>2.8164151133382071E-2</v>
      </c>
      <c r="Q849">
        <v>5.2866317812814206E-3</v>
      </c>
      <c r="R849">
        <v>1.60389535026939E-3</v>
      </c>
      <c r="S849">
        <v>0.24585269465989115</v>
      </c>
      <c r="T849">
        <v>1.3786498876828706</v>
      </c>
      <c r="U849">
        <v>0.20356331390263829</v>
      </c>
      <c r="V849">
        <v>0.23842059239264629</v>
      </c>
      <c r="W849">
        <v>9.678379020684949E-2</v>
      </c>
      <c r="X849">
        <v>1.6066954771327517E-2</v>
      </c>
      <c r="Y849">
        <v>4.3652744194731608E-3</v>
      </c>
    </row>
    <row r="850" spans="1:25" x14ac:dyDescent="0.2">
      <c r="A850" s="1077"/>
      <c r="B850" s="1444">
        <v>600</v>
      </c>
      <c r="C850" s="1081">
        <v>0.99853439747170458</v>
      </c>
      <c r="D850" s="1081">
        <v>1.0127388087886704</v>
      </c>
      <c r="E850" s="1081">
        <v>1.0435802255976738</v>
      </c>
      <c r="F850" s="1081">
        <v>0.98099375061457816</v>
      </c>
      <c r="G850" s="1081">
        <v>0.98257874486520835</v>
      </c>
      <c r="H850" s="1081">
        <v>1.016338939298133</v>
      </c>
      <c r="I850" s="1081">
        <v>1.0380201143037713</v>
      </c>
      <c r="K850">
        <v>2.4076152390278831</v>
      </c>
      <c r="L850">
        <v>0</v>
      </c>
      <c r="M850">
        <v>1.5219613736442384E-3</v>
      </c>
      <c r="N850">
        <v>0.15800459248500734</v>
      </c>
      <c r="O850">
        <v>2.0986931624928415E-2</v>
      </c>
      <c r="P850">
        <v>2.9166991202130087E-2</v>
      </c>
      <c r="Q850">
        <v>5.7347843593892724E-3</v>
      </c>
      <c r="R850">
        <v>1.5021948050574587E-3</v>
      </c>
      <c r="S850">
        <v>0.2689631253721943</v>
      </c>
      <c r="T850">
        <v>1.3464974670768872</v>
      </c>
      <c r="U850">
        <v>0.2124341863899159</v>
      </c>
      <c r="V850">
        <v>0.24249866306341067</v>
      </c>
      <c r="W850">
        <v>0.10118868112805422</v>
      </c>
      <c r="X850">
        <v>1.8071103833568542E-2</v>
      </c>
      <c r="Y850">
        <v>4.0884790609820023E-3</v>
      </c>
    </row>
    <row r="851" spans="1:25" x14ac:dyDescent="0.2">
      <c r="A851" s="1077"/>
      <c r="B851" s="1444">
        <v>601</v>
      </c>
      <c r="C851" s="1081">
        <v>1.0119093626757842</v>
      </c>
      <c r="D851" s="1081">
        <v>1.0018684732188528</v>
      </c>
      <c r="E851" s="1081">
        <v>0.9745707041605578</v>
      </c>
      <c r="F851" s="1081">
        <v>0.99447129223269459</v>
      </c>
      <c r="G851" s="1081">
        <v>1.0295194523348541</v>
      </c>
      <c r="H851" s="1081">
        <v>0.99221736121959947</v>
      </c>
      <c r="I851" s="1081">
        <v>0.97607182018503458</v>
      </c>
      <c r="K851">
        <v>2.3830841961177582</v>
      </c>
      <c r="L851">
        <v>0</v>
      </c>
      <c r="M851">
        <v>1.6961994298890447E-3</v>
      </c>
      <c r="N851">
        <v>0.14292788525897324</v>
      </c>
      <c r="O851">
        <v>2.0713459242324626E-2</v>
      </c>
      <c r="P851">
        <v>2.7726930199420775E-2</v>
      </c>
      <c r="Q851">
        <v>5.2825442267696457E-3</v>
      </c>
      <c r="R851">
        <v>1.673634379403787E-3</v>
      </c>
      <c r="S851">
        <v>0.248390190346608</v>
      </c>
      <c r="T851">
        <v>1.3635096882505191</v>
      </c>
      <c r="U851">
        <v>0.20939290257824561</v>
      </c>
      <c r="V851">
        <v>0.24993411335477164</v>
      </c>
      <c r="W851">
        <v>9.5338359692987776E-2</v>
      </c>
      <c r="X851">
        <v>1.5335606950311068E-2</v>
      </c>
      <c r="Y851">
        <v>4.5550810673122138E-3</v>
      </c>
    </row>
    <row r="852" spans="1:25" x14ac:dyDescent="0.2">
      <c r="A852" s="1077"/>
      <c r="B852" s="1444">
        <v>602</v>
      </c>
      <c r="C852" s="1081">
        <v>1.0029354204457348</v>
      </c>
      <c r="D852" s="1081">
        <v>0.98781712500121643</v>
      </c>
      <c r="E852" s="1081">
        <v>1.0092721755102454</v>
      </c>
      <c r="F852" s="1081">
        <v>1.01480342418049</v>
      </c>
      <c r="G852" s="1081">
        <v>0.97552714812813157</v>
      </c>
      <c r="H852" s="1081">
        <v>0.96737747762502491</v>
      </c>
      <c r="I852" s="1081">
        <v>1.0097970410960195</v>
      </c>
      <c r="K852">
        <v>2.4212855300990888</v>
      </c>
      <c r="L852">
        <v>0</v>
      </c>
      <c r="M852">
        <v>1.5576245023197915E-3</v>
      </c>
      <c r="N852">
        <v>0.14571733039923815</v>
      </c>
      <c r="O852">
        <v>2.0986833289635711E-2</v>
      </c>
      <c r="P852">
        <v>2.8908374701389572E-2</v>
      </c>
      <c r="Q852">
        <v>5.543122024272997E-3</v>
      </c>
      <c r="R852">
        <v>1.53637087716839E-3</v>
      </c>
      <c r="S852">
        <v>0.25927008717917654</v>
      </c>
      <c r="T852">
        <v>1.3921472461458002</v>
      </c>
      <c r="U852">
        <v>0.21138459957374467</v>
      </c>
      <c r="V852">
        <v>0.24113723674140736</v>
      </c>
      <c r="W852">
        <v>9.520220970792985E-2</v>
      </c>
      <c r="X852">
        <v>1.6828248898514923E-2</v>
      </c>
      <c r="Y852">
        <v>4.1814950631288133E-3</v>
      </c>
    </row>
    <row r="853" spans="1:25" x14ac:dyDescent="0.2">
      <c r="A853" s="1077"/>
      <c r="B853" s="1444">
        <v>603</v>
      </c>
      <c r="C853" s="1081">
        <v>0.99271964634334264</v>
      </c>
      <c r="D853" s="1081">
        <v>1.0019255743916125</v>
      </c>
      <c r="E853" s="1081">
        <v>1.0120805258882832</v>
      </c>
      <c r="F853" s="1081">
        <v>1.0484831414867843</v>
      </c>
      <c r="G853" s="1081">
        <v>0.97512427696513515</v>
      </c>
      <c r="H853" s="1081">
        <v>0.99969093291362843</v>
      </c>
      <c r="I853" s="1081">
        <v>1.0280019261626194</v>
      </c>
      <c r="K853">
        <v>2.490773742060755</v>
      </c>
      <c r="L853">
        <v>0</v>
      </c>
      <c r="M853">
        <v>1.6117209468230402E-3</v>
      </c>
      <c r="N853">
        <v>0.15212982984651605</v>
      </c>
      <c r="O853">
        <v>2.1138634395461587E-2</v>
      </c>
      <c r="P853">
        <v>2.9758342246612838E-2</v>
      </c>
      <c r="Q853">
        <v>5.5989064298714985E-3</v>
      </c>
      <c r="R853">
        <v>1.5904400309169624E-3</v>
      </c>
      <c r="S853">
        <v>0.26762920865909851</v>
      </c>
      <c r="T853">
        <v>1.4384142267491704</v>
      </c>
      <c r="U853">
        <v>0.21356957975761923</v>
      </c>
      <c r="V853">
        <v>0.24169914898001449</v>
      </c>
      <c r="W853">
        <v>9.9227348365343249E-2</v>
      </c>
      <c r="X853">
        <v>1.730114407120778E-2</v>
      </c>
      <c r="Y853">
        <v>4.3286534757406864E-3</v>
      </c>
    </row>
    <row r="854" spans="1:25" x14ac:dyDescent="0.2">
      <c r="A854" s="1077"/>
      <c r="B854" s="1444">
        <v>604</v>
      </c>
      <c r="C854" s="1081">
        <v>1.0008392236752419</v>
      </c>
      <c r="D854" s="1081">
        <v>1.0084258832473711</v>
      </c>
      <c r="E854" s="1081">
        <v>0.97890164336778951</v>
      </c>
      <c r="F854" s="1081">
        <v>0.98991291038772011</v>
      </c>
      <c r="G854" s="1081">
        <v>0.98752280492874744</v>
      </c>
      <c r="H854" s="1081">
        <v>1.0264825669903244</v>
      </c>
      <c r="I854" s="1081">
        <v>1.0011477036995255</v>
      </c>
      <c r="K854">
        <v>2.3963122740181659</v>
      </c>
      <c r="L854">
        <v>0</v>
      </c>
      <c r="M854">
        <v>1.7558538895459024E-3</v>
      </c>
      <c r="N854">
        <v>0.14997407316390052</v>
      </c>
      <c r="O854">
        <v>2.091538751160699E-2</v>
      </c>
      <c r="P854">
        <v>2.7831507558291353E-2</v>
      </c>
      <c r="Q854">
        <v>5.3576167806301256E-3</v>
      </c>
      <c r="R854">
        <v>1.7332749773687724E-3</v>
      </c>
      <c r="S854">
        <v>0.25969256555820475</v>
      </c>
      <c r="T854">
        <v>1.3573520156669319</v>
      </c>
      <c r="U854">
        <v>0.21172370363301174</v>
      </c>
      <c r="V854">
        <v>0.24342323032011073</v>
      </c>
      <c r="W854">
        <v>9.9776488960340651E-2</v>
      </c>
      <c r="X854">
        <v>1.5570860662856031E-2</v>
      </c>
      <c r="Y854">
        <v>4.7174031144550689E-3</v>
      </c>
    </row>
    <row r="855" spans="1:25" x14ac:dyDescent="0.2">
      <c r="A855" s="1077"/>
      <c r="B855" s="1444">
        <v>605</v>
      </c>
      <c r="C855" s="1081">
        <v>1.0085170113064001</v>
      </c>
      <c r="D855" s="1081">
        <v>1.0221020706598756</v>
      </c>
      <c r="E855" s="1081">
        <v>1.0027271564463316</v>
      </c>
      <c r="F855" s="1081">
        <v>1.0204285159555071</v>
      </c>
      <c r="G855" s="1081">
        <v>0.9788757384211032</v>
      </c>
      <c r="H855" s="1081">
        <v>0.98062243734744092</v>
      </c>
      <c r="I855" s="1081">
        <v>0.99110947340578004</v>
      </c>
      <c r="K855">
        <v>2.4166772503383913</v>
      </c>
      <c r="L855">
        <v>0</v>
      </c>
      <c r="M855">
        <v>1.5797926159970132E-3</v>
      </c>
      <c r="N855">
        <v>0.14492580988647319</v>
      </c>
      <c r="O855">
        <v>2.0710319326127873E-2</v>
      </c>
      <c r="P855">
        <v>2.8729678169180952E-2</v>
      </c>
      <c r="Q855">
        <v>5.4343373656378091E-3</v>
      </c>
      <c r="R855">
        <v>1.5585276608022231E-3</v>
      </c>
      <c r="S855">
        <v>0.24980609767458442</v>
      </c>
      <c r="T855">
        <v>1.3997193457095209</v>
      </c>
      <c r="U855">
        <v>0.21019249711398502</v>
      </c>
      <c r="V855">
        <v>0.24138727722544198</v>
      </c>
      <c r="W855">
        <v>9.505237843731501E-2</v>
      </c>
      <c r="X855">
        <v>1.6498975861116986E-2</v>
      </c>
      <c r="Y855">
        <v>4.2417985241983468E-3</v>
      </c>
    </row>
    <row r="856" spans="1:25" x14ac:dyDescent="0.2">
      <c r="A856" s="1077"/>
      <c r="B856" s="1444">
        <v>606</v>
      </c>
      <c r="C856" s="1081">
        <v>1.0201596291355222</v>
      </c>
      <c r="D856" s="1081">
        <v>0.98122790660820647</v>
      </c>
      <c r="E856" s="1081">
        <v>1.0039729475558188</v>
      </c>
      <c r="F856" s="1081">
        <v>1.010101989021478</v>
      </c>
      <c r="G856" s="1081">
        <v>1.0026407482985951</v>
      </c>
      <c r="H856" s="1081">
        <v>0.98139394670800584</v>
      </c>
      <c r="I856" s="1081">
        <v>0.97121806126560917</v>
      </c>
      <c r="K856">
        <v>2.4002636913764768</v>
      </c>
      <c r="L856">
        <v>0</v>
      </c>
      <c r="M856">
        <v>1.5730162929385525E-3</v>
      </c>
      <c r="N856">
        <v>0.14484974420280258</v>
      </c>
      <c r="O856">
        <v>2.0659431704424854E-2</v>
      </c>
      <c r="P856">
        <v>2.8538557063242986E-2</v>
      </c>
      <c r="Q856">
        <v>5.427764636663196E-3</v>
      </c>
      <c r="R856">
        <v>1.5518591965584545E-3</v>
      </c>
      <c r="S856">
        <v>0.24708467990549771</v>
      </c>
      <c r="T856">
        <v>1.3855817083085156</v>
      </c>
      <c r="U856">
        <v>0.20779784218585601</v>
      </c>
      <c r="V856">
        <v>0.24473476584094939</v>
      </c>
      <c r="W856">
        <v>9.4932358233862937E-2</v>
      </c>
      <c r="X856">
        <v>1.64543472282563E-2</v>
      </c>
      <c r="Y856">
        <v>4.2236491627854547E-3</v>
      </c>
    </row>
    <row r="857" spans="1:25" x14ac:dyDescent="0.2">
      <c r="A857" s="1077"/>
      <c r="B857" s="1444">
        <v>607</v>
      </c>
      <c r="C857" s="1081">
        <v>1.0288439472411706</v>
      </c>
      <c r="D857" s="1081">
        <v>1.0026741185248076</v>
      </c>
      <c r="E857" s="1081">
        <v>1.0223564505012881</v>
      </c>
      <c r="F857" s="1081">
        <v>0.96745073863689945</v>
      </c>
      <c r="G857" s="1081">
        <v>0.97366393183328448</v>
      </c>
      <c r="H857" s="1081">
        <v>0.99738024380060608</v>
      </c>
      <c r="I857" s="1081">
        <v>1.0118042502924673</v>
      </c>
      <c r="K857">
        <v>2.3452456425034369</v>
      </c>
      <c r="L857">
        <v>0</v>
      </c>
      <c r="M857">
        <v>1.5184796891494661E-3</v>
      </c>
      <c r="N857">
        <v>0.14783798530018782</v>
      </c>
      <c r="O857">
        <v>2.0399715678193927E-2</v>
      </c>
      <c r="P857">
        <v>2.8116575641392721E-2</v>
      </c>
      <c r="Q857">
        <v>5.4587580973910277E-3</v>
      </c>
      <c r="R857">
        <v>1.4983834660124153E-3</v>
      </c>
      <c r="S857">
        <v>0.25395793710994824</v>
      </c>
      <c r="T857">
        <v>1.3274616043130538</v>
      </c>
      <c r="U857">
        <v>0.2061050525703276</v>
      </c>
      <c r="V857">
        <v>0.23920743575359357</v>
      </c>
      <c r="W857">
        <v>9.5848727859180971E-2</v>
      </c>
      <c r="X857">
        <v>1.6793840550792267E-2</v>
      </c>
      <c r="Y857">
        <v>4.0781058525089725E-3</v>
      </c>
    </row>
    <row r="858" spans="1:25" x14ac:dyDescent="0.2">
      <c r="A858" s="1077"/>
      <c r="B858" s="1444">
        <v>608</v>
      </c>
      <c r="C858" s="1081">
        <v>1.0108877224582025</v>
      </c>
      <c r="D858" s="1081">
        <v>0.99158394636014824</v>
      </c>
      <c r="E858" s="1081">
        <v>0.99693649550502017</v>
      </c>
      <c r="F858" s="1081">
        <v>1.0034766623497176</v>
      </c>
      <c r="G858" s="1081">
        <v>1.0128972215126864</v>
      </c>
      <c r="H858" s="1081">
        <v>1.0116736462641347</v>
      </c>
      <c r="I858" s="1081">
        <v>1.0066121843820641</v>
      </c>
      <c r="K858">
        <v>2.4158520626007909</v>
      </c>
      <c r="L858">
        <v>0</v>
      </c>
      <c r="M858">
        <v>1.6566535094584061E-3</v>
      </c>
      <c r="N858">
        <v>0.14940363846750329</v>
      </c>
      <c r="O858">
        <v>2.0796192153414075E-2</v>
      </c>
      <c r="P858">
        <v>2.8491199564226549E-2</v>
      </c>
      <c r="Q858">
        <v>5.4251969449923684E-3</v>
      </c>
      <c r="R858">
        <v>1.6350383986469647E-3</v>
      </c>
      <c r="S858">
        <v>0.25958552829657738</v>
      </c>
      <c r="T858">
        <v>1.3763408556892678</v>
      </c>
      <c r="U858">
        <v>0.20967997827843229</v>
      </c>
      <c r="V858">
        <v>0.24707279760354237</v>
      </c>
      <c r="W858">
        <v>9.8327119565594659E-2</v>
      </c>
      <c r="X858">
        <v>1.6301135617197593E-2</v>
      </c>
      <c r="Y858">
        <v>4.45003553085378E-3</v>
      </c>
    </row>
    <row r="859" spans="1:25" x14ac:dyDescent="0.2">
      <c r="A859" s="1077"/>
      <c r="B859" s="1444">
        <v>609</v>
      </c>
      <c r="C859" s="1081">
        <v>0.99366498685420124</v>
      </c>
      <c r="D859" s="1081">
        <v>1.008732007381504</v>
      </c>
      <c r="E859" s="1081">
        <v>0.98809519854119532</v>
      </c>
      <c r="F859" s="1081">
        <v>0.9995452968717039</v>
      </c>
      <c r="G859" s="1081">
        <v>1.0133046070088023</v>
      </c>
      <c r="H859" s="1081">
        <v>1.0110555549415723</v>
      </c>
      <c r="I859" s="1081">
        <v>0.98977572850798867</v>
      </c>
      <c r="K859">
        <v>2.4143414168427038</v>
      </c>
      <c r="L859">
        <v>0</v>
      </c>
      <c r="M859">
        <v>1.7090173900985261E-3</v>
      </c>
      <c r="N859">
        <v>0.15006017190194795</v>
      </c>
      <c r="O859">
        <v>2.1071101994434932E-2</v>
      </c>
      <c r="P859">
        <v>2.8261362821432063E-2</v>
      </c>
      <c r="Q859">
        <v>5.4480775456196588E-3</v>
      </c>
      <c r="R859">
        <v>1.6867054322560829E-3</v>
      </c>
      <c r="S859">
        <v>0.257328230470865</v>
      </c>
      <c r="T859">
        <v>1.3707578593372929</v>
      </c>
      <c r="U859">
        <v>0.21328388610491686</v>
      </c>
      <c r="V859">
        <v>0.24824455167108403</v>
      </c>
      <c r="W859">
        <v>9.9282623759154531E-2</v>
      </c>
      <c r="X859">
        <v>1.6035207029492241E-2</v>
      </c>
      <c r="Y859">
        <v>4.590656164304748E-3</v>
      </c>
    </row>
    <row r="860" spans="1:25" x14ac:dyDescent="0.2">
      <c r="A860" s="1077"/>
      <c r="B860" s="1444">
        <v>610</v>
      </c>
      <c r="C860" s="1081">
        <v>0.97770488391135135</v>
      </c>
      <c r="D860" s="1081">
        <v>1.0402819388171407</v>
      </c>
      <c r="E860" s="1081">
        <v>0.99685201923761335</v>
      </c>
      <c r="F860" s="1081">
        <v>1.0044058947301051</v>
      </c>
      <c r="G860" s="1081">
        <v>1.0037612807174203</v>
      </c>
      <c r="H860" s="1081">
        <v>0.97661717182615015</v>
      </c>
      <c r="I860" s="1081">
        <v>1.0121099231677206</v>
      </c>
      <c r="K860">
        <v>2.4232713399055026</v>
      </c>
      <c r="L860">
        <v>0</v>
      </c>
      <c r="M860">
        <v>1.6364625093038148E-3</v>
      </c>
      <c r="N860">
        <v>0.14747504720539462</v>
      </c>
      <c r="O860">
        <v>2.1276346445871463E-2</v>
      </c>
      <c r="P860">
        <v>2.8622500872343595E-2</v>
      </c>
      <c r="Q860">
        <v>5.5499848710433425E-3</v>
      </c>
      <c r="R860">
        <v>1.6143444039465277E-3</v>
      </c>
      <c r="S860">
        <v>0.26043736208143847</v>
      </c>
      <c r="T860">
        <v>1.3776135311657325</v>
      </c>
      <c r="U860">
        <v>0.21679612177083882</v>
      </c>
      <c r="V860">
        <v>0.24760751609068499</v>
      </c>
      <c r="W860">
        <v>9.7062739646009005E-2</v>
      </c>
      <c r="X860">
        <v>1.6458594562451082E-2</v>
      </c>
      <c r="Y860">
        <v>4.3937132990527119E-3</v>
      </c>
    </row>
    <row r="861" spans="1:25" x14ac:dyDescent="0.2">
      <c r="A861" s="1077"/>
      <c r="B861" s="1444">
        <v>611</v>
      </c>
      <c r="C861" s="1081">
        <v>0.99382235540613517</v>
      </c>
      <c r="D861" s="1081">
        <v>1.0161723691830811</v>
      </c>
      <c r="E861" s="1081">
        <v>1.0038274587813423</v>
      </c>
      <c r="F861" s="1081">
        <v>1.0241384330289121</v>
      </c>
      <c r="G861" s="1081">
        <v>1.0383830217676411</v>
      </c>
      <c r="H861" s="1081">
        <v>0.9880147260945138</v>
      </c>
      <c r="I861" s="1081">
        <v>1.0250811294213522</v>
      </c>
      <c r="K861">
        <v>2.4569993292389132</v>
      </c>
      <c r="L861">
        <v>0</v>
      </c>
      <c r="M861">
        <v>1.6136165197790648E-3</v>
      </c>
      <c r="N861">
        <v>0.14853666783390351</v>
      </c>
      <c r="O861">
        <v>2.1044193922961942E-2</v>
      </c>
      <c r="P861">
        <v>2.920611301475854E-2</v>
      </c>
      <c r="Q861">
        <v>5.5280448276269628E-3</v>
      </c>
      <c r="R861">
        <v>1.5920587846243949E-3</v>
      </c>
      <c r="S861">
        <v>0.26360845651190296</v>
      </c>
      <c r="T861">
        <v>1.4048326181663775</v>
      </c>
      <c r="U861">
        <v>0.21330418947537957</v>
      </c>
      <c r="V861">
        <v>0.25245930476567857</v>
      </c>
      <c r="W861">
        <v>9.7357105187023854E-2</v>
      </c>
      <c r="X861">
        <v>1.6811134078744069E-2</v>
      </c>
      <c r="Y861">
        <v>4.3330591897102998E-3</v>
      </c>
    </row>
    <row r="862" spans="1:25" x14ac:dyDescent="0.2">
      <c r="A862" s="1077"/>
      <c r="B862" s="1444">
        <v>612</v>
      </c>
      <c r="C862" s="1081">
        <v>1.0085165279840638</v>
      </c>
      <c r="D862" s="1081">
        <v>1.0040198707586125</v>
      </c>
      <c r="E862" s="1081">
        <v>0.99529599778073319</v>
      </c>
      <c r="F862" s="1081">
        <v>0.99983894727337641</v>
      </c>
      <c r="G862" s="1081">
        <v>1.0066048884817753</v>
      </c>
      <c r="H862" s="1081">
        <v>0.96867121204040929</v>
      </c>
      <c r="I862" s="1081">
        <v>0.99537022857990132</v>
      </c>
      <c r="K862">
        <v>2.3912623821436152</v>
      </c>
      <c r="L862">
        <v>0</v>
      </c>
      <c r="M862">
        <v>1.5910128519559179E-3</v>
      </c>
      <c r="N862">
        <v>0.14269051937681607</v>
      </c>
      <c r="O862">
        <v>2.0786931362445919E-2</v>
      </c>
      <c r="P862">
        <v>2.8279821997661256E-2</v>
      </c>
      <c r="Q862">
        <v>5.413827053888794E-3</v>
      </c>
      <c r="R862">
        <v>1.5693326405317016E-3</v>
      </c>
      <c r="S862">
        <v>0.25207164130560228</v>
      </c>
      <c r="T862">
        <v>1.3713160186818827</v>
      </c>
      <c r="U862">
        <v>0.21016741484147067</v>
      </c>
      <c r="V862">
        <v>0.24614923571278616</v>
      </c>
      <c r="W862">
        <v>9.4000899446947422E-2</v>
      </c>
      <c r="X862">
        <v>1.6136546458379159E-2</v>
      </c>
      <c r="Y862">
        <v>4.2712061171613748E-3</v>
      </c>
    </row>
    <row r="863" spans="1:25" x14ac:dyDescent="0.2">
      <c r="A863" s="1077"/>
      <c r="B863" s="1444">
        <v>613</v>
      </c>
      <c r="C863" s="1081">
        <v>1.0038341677962299</v>
      </c>
      <c r="D863" s="1081">
        <v>1.0312599344505229</v>
      </c>
      <c r="E863" s="1081">
        <v>0.97486814709798764</v>
      </c>
      <c r="F863" s="1081">
        <v>0.97637235043542148</v>
      </c>
      <c r="G863" s="1081">
        <v>1.0346770343965819</v>
      </c>
      <c r="H863" s="1081">
        <v>1.0058488029675403</v>
      </c>
      <c r="I863" s="1081">
        <v>0.9780662561527077</v>
      </c>
      <c r="K863">
        <v>2.3648943441657146</v>
      </c>
      <c r="L863">
        <v>0</v>
      </c>
      <c r="M863">
        <v>1.7212855117386039E-3</v>
      </c>
      <c r="N863">
        <v>0.14519889631956187</v>
      </c>
      <c r="O863">
        <v>2.0747879199133203E-2</v>
      </c>
      <c r="P863">
        <v>2.7442505308383172E-2</v>
      </c>
      <c r="Q863">
        <v>5.2929269612358998E-3</v>
      </c>
      <c r="R863">
        <v>1.6986970618831933E-3</v>
      </c>
      <c r="S863">
        <v>0.24842642129153031</v>
      </c>
      <c r="T863">
        <v>1.3387006575725373</v>
      </c>
      <c r="U863">
        <v>0.21107834138882875</v>
      </c>
      <c r="V863">
        <v>0.251310175374379</v>
      </c>
      <c r="W863">
        <v>9.6835744278183339E-2</v>
      </c>
      <c r="X863">
        <v>1.5260091494684588E-2</v>
      </c>
      <c r="Y863">
        <v>4.6232934271100978E-3</v>
      </c>
    </row>
    <row r="864" spans="1:25" x14ac:dyDescent="0.2">
      <c r="A864" s="1077"/>
      <c r="B864" s="1444">
        <v>614</v>
      </c>
      <c r="C864" s="1081">
        <v>1.0169345349942502</v>
      </c>
      <c r="D864" s="1081">
        <v>0.98397901144929145</v>
      </c>
      <c r="E864" s="1081">
        <v>0.98033394528838569</v>
      </c>
      <c r="F864" s="1081">
        <v>0.96045625165718429</v>
      </c>
      <c r="G864" s="1081">
        <v>0.9790802946740399</v>
      </c>
      <c r="H864" s="1081">
        <v>1.0124293431667695</v>
      </c>
      <c r="I864" s="1081">
        <v>0.95781421147334622</v>
      </c>
      <c r="K864">
        <v>2.3296374779661426</v>
      </c>
      <c r="L864">
        <v>0</v>
      </c>
      <c r="M864">
        <v>1.7085648419311052E-3</v>
      </c>
      <c r="N864">
        <v>0.14654225791103614</v>
      </c>
      <c r="O864">
        <v>2.0696725988716757E-2</v>
      </c>
      <c r="P864">
        <v>2.7062825391291009E-2</v>
      </c>
      <c r="Q864">
        <v>5.3093304468492452E-3</v>
      </c>
      <c r="R864">
        <v>1.6862890598820001E-3</v>
      </c>
      <c r="S864">
        <v>0.24641381026040682</v>
      </c>
      <c r="T864">
        <v>1.3169911663300622</v>
      </c>
      <c r="U864">
        <v>0.20837749115942564</v>
      </c>
      <c r="V864">
        <v>0.24098915377300853</v>
      </c>
      <c r="W864">
        <v>9.7409024242031864E-2</v>
      </c>
      <c r="X864">
        <v>1.5278445309402209E-2</v>
      </c>
      <c r="Y864">
        <v>4.5895229359596114E-3</v>
      </c>
    </row>
    <row r="865" spans="1:25" x14ac:dyDescent="0.2">
      <c r="A865" s="1077"/>
      <c r="B865" s="1444">
        <v>615</v>
      </c>
      <c r="C865" s="1081">
        <v>0.99353585277927736</v>
      </c>
      <c r="D865" s="1081">
        <v>1.0080309882671918</v>
      </c>
      <c r="E865" s="1081">
        <v>0.99634094102820236</v>
      </c>
      <c r="F865" s="1081">
        <v>1.009560971946958</v>
      </c>
      <c r="G865" s="1081">
        <v>1.0107520700822159</v>
      </c>
      <c r="H865" s="1081">
        <v>0.99404186745016021</v>
      </c>
      <c r="I865" s="1081">
        <v>1.0392537560147606</v>
      </c>
      <c r="K865">
        <v>2.4375130812976331</v>
      </c>
      <c r="L865">
        <v>0</v>
      </c>
      <c r="M865">
        <v>1.6522652393890179E-3</v>
      </c>
      <c r="N865">
        <v>0.148705074288179</v>
      </c>
      <c r="O865">
        <v>2.1082555696322246E-2</v>
      </c>
      <c r="P865">
        <v>2.8777938335468978E-2</v>
      </c>
      <c r="Q865">
        <v>5.4966043006072773E-3</v>
      </c>
      <c r="R865">
        <v>1.6303250027179519E-3</v>
      </c>
      <c r="S865">
        <v>0.26888006852070856</v>
      </c>
      <c r="T865">
        <v>1.3846729314399602</v>
      </c>
      <c r="U865">
        <v>0.21333994181106053</v>
      </c>
      <c r="V865">
        <v>0.24778650747528344</v>
      </c>
      <c r="W865">
        <v>9.7902112907758534E-2</v>
      </c>
      <c r="X865">
        <v>1.645407953804957E-2</v>
      </c>
      <c r="Y865">
        <v>4.4372072209055589E-3</v>
      </c>
    </row>
    <row r="866" spans="1:25" x14ac:dyDescent="0.2">
      <c r="A866" s="1077"/>
      <c r="B866" s="1444">
        <v>616</v>
      </c>
      <c r="C866" s="1081">
        <v>0.98144038336840711</v>
      </c>
      <c r="D866" s="1081">
        <v>0.99595847053311926</v>
      </c>
      <c r="E866" s="1081">
        <v>0.97692017645019136</v>
      </c>
      <c r="F866" s="1081">
        <v>0.96872217534223859</v>
      </c>
      <c r="G866" s="1081">
        <v>0.95823008237625218</v>
      </c>
      <c r="H866" s="1081">
        <v>0.96294990183458196</v>
      </c>
      <c r="I866" s="1081">
        <v>0.95464856763687445</v>
      </c>
      <c r="K866">
        <v>2.3457126989640917</v>
      </c>
      <c r="L866">
        <v>0</v>
      </c>
      <c r="M866">
        <v>1.691251934858621E-3</v>
      </c>
      <c r="N866">
        <v>0.14346917301923198</v>
      </c>
      <c r="O866">
        <v>2.1385912116697509E-2</v>
      </c>
      <c r="P866">
        <v>2.7259122438651567E-2</v>
      </c>
      <c r="Q866">
        <v>5.4671103471299323E-3</v>
      </c>
      <c r="R866">
        <v>1.668068870992954E-3</v>
      </c>
      <c r="S866">
        <v>0.24882157716644876</v>
      </c>
      <c r="T866">
        <v>1.3282543086802256</v>
      </c>
      <c r="U866">
        <v>0.21590169077949561</v>
      </c>
      <c r="V866">
        <v>0.23965652294936843</v>
      </c>
      <c r="W866">
        <v>9.5563291844578901E-2</v>
      </c>
      <c r="X866">
        <v>1.541723909803892E-2</v>
      </c>
      <c r="Y866">
        <v>4.5399335880872806E-3</v>
      </c>
    </row>
    <row r="867" spans="1:25" x14ac:dyDescent="0.2">
      <c r="A867" s="1077"/>
      <c r="B867" s="1444">
        <v>617</v>
      </c>
      <c r="C867" s="1081">
        <v>1.0167032854289095</v>
      </c>
      <c r="D867" s="1081">
        <v>0.98279183416336058</v>
      </c>
      <c r="E867" s="1081">
        <v>1.0260111125340281</v>
      </c>
      <c r="F867" s="1081">
        <v>1.0021392120388104</v>
      </c>
      <c r="G867" s="1081">
        <v>1.0097041188322824</v>
      </c>
      <c r="H867" s="1081">
        <v>0.99241860393774606</v>
      </c>
      <c r="I867" s="1081">
        <v>1.0171327996863859</v>
      </c>
      <c r="K867">
        <v>2.4142212641133249</v>
      </c>
      <c r="L867">
        <v>0</v>
      </c>
      <c r="M867">
        <v>1.5240791316217604E-3</v>
      </c>
      <c r="N867">
        <v>0.15001759952695073</v>
      </c>
      <c r="O867">
        <v>2.0736877139194799E-2</v>
      </c>
      <c r="P867">
        <v>2.9076494256538816E-2</v>
      </c>
      <c r="Q867">
        <v>5.5691301457915093E-3</v>
      </c>
      <c r="R867">
        <v>1.5038079605855837E-3</v>
      </c>
      <c r="S867">
        <v>0.26056050708507261</v>
      </c>
      <c r="T867">
        <v>1.3751380516532388</v>
      </c>
      <c r="U867">
        <v>0.20857852752794029</v>
      </c>
      <c r="V867">
        <v>0.24606966787985671</v>
      </c>
      <c r="W867">
        <v>9.705479165188656E-2</v>
      </c>
      <c r="X867">
        <v>1.7347018879336006E-2</v>
      </c>
      <c r="Y867">
        <v>4.0928695385529816E-3</v>
      </c>
    </row>
    <row r="868" spans="1:25" x14ac:dyDescent="0.2">
      <c r="A868" s="1077"/>
      <c r="B868" s="1444">
        <v>618</v>
      </c>
      <c r="C868" s="1081">
        <v>1.0098501629530994</v>
      </c>
      <c r="D868" s="1081">
        <v>0.99436981361706622</v>
      </c>
      <c r="E868" s="1081">
        <v>0.98051981882945261</v>
      </c>
      <c r="F868" s="1081">
        <v>0.95287447842801465</v>
      </c>
      <c r="G868" s="1081">
        <v>1.0012644797010919</v>
      </c>
      <c r="H868" s="1081">
        <v>0.98405400044496028</v>
      </c>
      <c r="I868" s="1081">
        <v>1.013478734151992</v>
      </c>
      <c r="K868">
        <v>2.3316668001260776</v>
      </c>
      <c r="L868">
        <v>0</v>
      </c>
      <c r="M868">
        <v>1.6678275244932721E-3</v>
      </c>
      <c r="N868">
        <v>0.14307420012060185</v>
      </c>
      <c r="O868">
        <v>2.079393065724924E-2</v>
      </c>
      <c r="P868">
        <v>2.716937367009635E-2</v>
      </c>
      <c r="Q868">
        <v>5.3352739706292868E-3</v>
      </c>
      <c r="R868">
        <v>1.6454558534893574E-3</v>
      </c>
      <c r="S868">
        <v>0.25876278505996264</v>
      </c>
      <c r="T868">
        <v>1.306598747105584</v>
      </c>
      <c r="U868">
        <v>0.2098399428064977</v>
      </c>
      <c r="V868">
        <v>0.24520927735899237</v>
      </c>
      <c r="W868">
        <v>9.5093080036256925E-2</v>
      </c>
      <c r="X868">
        <v>1.5334172602389191E-2</v>
      </c>
      <c r="Y868">
        <v>4.4783884088217081E-3</v>
      </c>
    </row>
    <row r="869" spans="1:25" x14ac:dyDescent="0.2">
      <c r="A869" s="1077"/>
      <c r="B869" s="1444">
        <v>619</v>
      </c>
      <c r="C869" s="1081">
        <v>0.99521554958110581</v>
      </c>
      <c r="D869" s="1081">
        <v>0.97956829695741354</v>
      </c>
      <c r="E869" s="1081">
        <v>0.98366515891543771</v>
      </c>
      <c r="F869" s="1081">
        <v>0.98864371778898841</v>
      </c>
      <c r="G869" s="1081">
        <v>1.009646167867646</v>
      </c>
      <c r="H869" s="1081">
        <v>0.97830933708395174</v>
      </c>
      <c r="I869" s="1081">
        <v>0.9861062376811357</v>
      </c>
      <c r="K869">
        <v>2.389565329771036</v>
      </c>
      <c r="L869">
        <v>0</v>
      </c>
      <c r="M869">
        <v>1.6770868447990215E-3</v>
      </c>
      <c r="N869">
        <v>0.14523239373469365</v>
      </c>
      <c r="O869">
        <v>2.1171536888329887E-2</v>
      </c>
      <c r="P869">
        <v>2.7944966556067426E-2</v>
      </c>
      <c r="Q869">
        <v>5.4495332711530431E-3</v>
      </c>
      <c r="R869">
        <v>1.6544588759487254E-3</v>
      </c>
      <c r="S869">
        <v>0.25695400598300694</v>
      </c>
      <c r="T869">
        <v>1.3557131841149324</v>
      </c>
      <c r="U869">
        <v>0.21293640475427661</v>
      </c>
      <c r="V869">
        <v>0.24753806703130263</v>
      </c>
      <c r="W869">
        <v>9.6344654694814361E-2</v>
      </c>
      <c r="X869">
        <v>1.5800319043195069E-2</v>
      </c>
      <c r="Y869">
        <v>4.5028916681105523E-3</v>
      </c>
    </row>
    <row r="870" spans="1:25" x14ac:dyDescent="0.2">
      <c r="A870" s="1077"/>
      <c r="B870" s="1444">
        <v>620</v>
      </c>
      <c r="C870" s="1081">
        <v>0.9832781725906683</v>
      </c>
      <c r="D870" s="1081">
        <v>1.0257753511136249</v>
      </c>
      <c r="E870" s="1081">
        <v>0.98953014396746175</v>
      </c>
      <c r="F870" s="1081">
        <v>0.98838779152015011</v>
      </c>
      <c r="G870" s="1081">
        <v>0.97167420997636922</v>
      </c>
      <c r="H870" s="1081">
        <v>0.99092353733388561</v>
      </c>
      <c r="I870" s="1081">
        <v>1.0001744917108681</v>
      </c>
      <c r="K870">
        <v>2.3932198610425339</v>
      </c>
      <c r="L870">
        <v>0</v>
      </c>
      <c r="M870">
        <v>1.681449971846081E-3</v>
      </c>
      <c r="N870">
        <v>0.1482417429877208</v>
      </c>
      <c r="O870">
        <v>2.1216302445309594E-2</v>
      </c>
      <c r="P870">
        <v>2.8049367939695983E-2</v>
      </c>
      <c r="Q870">
        <v>5.4935874478814562E-3</v>
      </c>
      <c r="R870">
        <v>1.6590519314085576E-3</v>
      </c>
      <c r="S870">
        <v>0.25887704625943336</v>
      </c>
      <c r="T870">
        <v>1.3554872686582315</v>
      </c>
      <c r="U870">
        <v>0.21554188026204496</v>
      </c>
      <c r="V870">
        <v>0.24179108701760796</v>
      </c>
      <c r="W870">
        <v>9.7995163066910876E-2</v>
      </c>
      <c r="X870">
        <v>1.6033420547158804E-2</v>
      </c>
      <c r="Y870">
        <v>4.5153924509718901E-3</v>
      </c>
    </row>
    <row r="871" spans="1:25" x14ac:dyDescent="0.2">
      <c r="A871" s="1077"/>
      <c r="B871" s="1444">
        <v>621</v>
      </c>
      <c r="C871" s="1081">
        <v>0.98608888795351068</v>
      </c>
      <c r="D871" s="1081">
        <v>1.0101868184696792</v>
      </c>
      <c r="E871" s="1081">
        <v>1.0095011121393132</v>
      </c>
      <c r="F871" s="1081">
        <v>0.98847312520856334</v>
      </c>
      <c r="G871" s="1081">
        <v>1.0117622746983495</v>
      </c>
      <c r="H871" s="1081">
        <v>1.0191605614652619</v>
      </c>
      <c r="I871" s="1081">
        <v>1.013751227171763</v>
      </c>
      <c r="K871">
        <v>2.419655016045462</v>
      </c>
      <c r="L871">
        <v>0</v>
      </c>
      <c r="M871">
        <v>1.6600464552354627E-3</v>
      </c>
      <c r="N871">
        <v>0.15551561713931841</v>
      </c>
      <c r="O871">
        <v>2.1240631921689977E-2</v>
      </c>
      <c r="P871">
        <v>2.8662548784110672E-2</v>
      </c>
      <c r="Q871">
        <v>5.6114407699061723E-3</v>
      </c>
      <c r="R871">
        <v>1.638546188362511E-3</v>
      </c>
      <c r="S871">
        <v>0.26628282907627082</v>
      </c>
      <c r="T871">
        <v>1.3560312101160743</v>
      </c>
      <c r="U871">
        <v>0.21499672953963631</v>
      </c>
      <c r="V871">
        <v>0.24838571053254804</v>
      </c>
      <c r="W871">
        <v>0.101590049815711</v>
      </c>
      <c r="X871">
        <v>1.690016603894795E-2</v>
      </c>
      <c r="Y871">
        <v>4.4595825781169286E-3</v>
      </c>
    </row>
    <row r="872" spans="1:25" x14ac:dyDescent="0.2">
      <c r="A872" s="1077"/>
      <c r="B872" s="1444">
        <v>622</v>
      </c>
      <c r="C872" s="1081">
        <v>1.0099032786535891</v>
      </c>
      <c r="D872" s="1081">
        <v>0.9646370826041305</v>
      </c>
      <c r="E872" s="1081">
        <v>0.98719870255988529</v>
      </c>
      <c r="F872" s="1081">
        <v>1.0095124630475056</v>
      </c>
      <c r="G872" s="1081">
        <v>1.046059353999967</v>
      </c>
      <c r="H872" s="1081">
        <v>1.0037686953761114</v>
      </c>
      <c r="I872" s="1081">
        <v>0.96839912038292886</v>
      </c>
      <c r="K872">
        <v>2.4208601056580683</v>
      </c>
      <c r="L872">
        <v>0</v>
      </c>
      <c r="M872">
        <v>1.689047945638555E-3</v>
      </c>
      <c r="N872">
        <v>0.14789104245140769</v>
      </c>
      <c r="O872">
        <v>2.093658126451553E-2</v>
      </c>
      <c r="P872">
        <v>2.8380229472218809E-2</v>
      </c>
      <c r="Q872">
        <v>5.4083868633033622E-3</v>
      </c>
      <c r="R872">
        <v>1.6668366164395772E-3</v>
      </c>
      <c r="S872">
        <v>0.25273232060787554</v>
      </c>
      <c r="T872">
        <v>1.3844071212543705</v>
      </c>
      <c r="U872">
        <v>0.20985145404945299</v>
      </c>
      <c r="V872">
        <v>0.2528340179141324</v>
      </c>
      <c r="W872">
        <v>9.7900148680182472E-2</v>
      </c>
      <c r="X872">
        <v>1.6004434632401702E-2</v>
      </c>
      <c r="Y872">
        <v>4.5365797974055936E-3</v>
      </c>
    </row>
    <row r="873" spans="1:25" x14ac:dyDescent="0.2">
      <c r="A873" s="1077"/>
      <c r="B873" s="1444">
        <v>623</v>
      </c>
      <c r="C873" s="1081">
        <v>1.0430314427614205</v>
      </c>
      <c r="D873" s="1081">
        <v>0.97955726878390603</v>
      </c>
      <c r="E873" s="1081">
        <v>1.0082747749257681</v>
      </c>
      <c r="F873" s="1081">
        <v>0.97548771140742119</v>
      </c>
      <c r="G873" s="1081">
        <v>0.99701672236650574</v>
      </c>
      <c r="H873" s="1081">
        <v>1.0030776231075444</v>
      </c>
      <c r="I873" s="1081">
        <v>0.99908197001572352</v>
      </c>
      <c r="K873">
        <v>2.3489941390124858</v>
      </c>
      <c r="L873">
        <v>0</v>
      </c>
      <c r="M873">
        <v>1.5591177727725892E-3</v>
      </c>
      <c r="N873">
        <v>0.14549004758764372</v>
      </c>
      <c r="O873">
        <v>2.021673627645117E-2</v>
      </c>
      <c r="P873">
        <v>2.7933438489550239E-2</v>
      </c>
      <c r="Q873">
        <v>5.334396213220698E-3</v>
      </c>
      <c r="R873">
        <v>1.5386009267826289E-3</v>
      </c>
      <c r="S873">
        <v>0.25062313614145842</v>
      </c>
      <c r="T873">
        <v>1.3381913251193389</v>
      </c>
      <c r="U873">
        <v>0.20325531865575641</v>
      </c>
      <c r="V873">
        <v>0.24241778478266987</v>
      </c>
      <c r="W873">
        <v>9.5109693669391676E-2</v>
      </c>
      <c r="X873">
        <v>1.6255214399950375E-2</v>
      </c>
      <c r="Y873">
        <v>4.1875645230431162E-3</v>
      </c>
    </row>
    <row r="874" spans="1:25" x14ac:dyDescent="0.2">
      <c r="A874" s="1077"/>
      <c r="B874" s="1444">
        <v>624</v>
      </c>
      <c r="C874" s="1081">
        <v>1.030911286061359</v>
      </c>
      <c r="D874" s="1081">
        <v>1.0103496180301488</v>
      </c>
      <c r="E874" s="1081">
        <v>0.99018654799108108</v>
      </c>
      <c r="F874" s="1081">
        <v>1.033651498670852</v>
      </c>
      <c r="G874" s="1081">
        <v>0.98553425667077832</v>
      </c>
      <c r="H874" s="1081">
        <v>1.0026721256876012</v>
      </c>
      <c r="I874" s="1081">
        <v>1.0040052068083101</v>
      </c>
      <c r="K874">
        <v>2.4282541405519207</v>
      </c>
      <c r="L874">
        <v>0</v>
      </c>
      <c r="M874">
        <v>1.625979956892269E-3</v>
      </c>
      <c r="N874">
        <v>0.14365883935512166</v>
      </c>
      <c r="O874">
        <v>2.0303996650449133E-2</v>
      </c>
      <c r="P874">
        <v>2.8651208425287303E-2</v>
      </c>
      <c r="Q874">
        <v>5.2608514839986575E-3</v>
      </c>
      <c r="R874">
        <v>1.6045746004294324E-3</v>
      </c>
      <c r="S874">
        <v>0.25071985323186263</v>
      </c>
      <c r="T874">
        <v>1.4175771220024158</v>
      </c>
      <c r="U874">
        <v>0.20558497044052279</v>
      </c>
      <c r="V874">
        <v>0.24122490075745587</v>
      </c>
      <c r="W874">
        <v>9.4928296098186815E-2</v>
      </c>
      <c r="X874">
        <v>1.5998384348585141E-2</v>
      </c>
      <c r="Y874">
        <v>4.3671231144940415E-3</v>
      </c>
    </row>
    <row r="875" spans="1:25" x14ac:dyDescent="0.2">
      <c r="A875" s="1077"/>
      <c r="B875" s="1444">
        <v>625</v>
      </c>
      <c r="C875" s="1081">
        <v>1.0374174163511947</v>
      </c>
      <c r="D875" s="1081">
        <v>0.9997968746612339</v>
      </c>
      <c r="E875" s="1081">
        <v>0.99718646671054889</v>
      </c>
      <c r="F875" s="1081">
        <v>0.96604277212379741</v>
      </c>
      <c r="G875" s="1081">
        <v>0.96493088241789515</v>
      </c>
      <c r="H875" s="1081">
        <v>1.0344193226982135</v>
      </c>
      <c r="I875" s="1081">
        <v>0.98735965600149667</v>
      </c>
      <c r="K875">
        <v>2.3351927354106863</v>
      </c>
      <c r="L875">
        <v>0</v>
      </c>
      <c r="M875">
        <v>1.6467363421001622E-3</v>
      </c>
      <c r="N875">
        <v>0.14866469489710812</v>
      </c>
      <c r="O875">
        <v>2.0227794715834888E-2</v>
      </c>
      <c r="P875">
        <v>2.7446302019963682E-2</v>
      </c>
      <c r="Q875">
        <v>5.2782447632403664E-3</v>
      </c>
      <c r="R875">
        <v>1.6257230709752686E-3</v>
      </c>
      <c r="S875">
        <v>0.24893092516283472</v>
      </c>
      <c r="T875">
        <v>1.3250027862217231</v>
      </c>
      <c r="U875">
        <v>0.20431869217859164</v>
      </c>
      <c r="V875">
        <v>0.23730164095541359</v>
      </c>
      <c r="W875">
        <v>9.7826229308740492E-2</v>
      </c>
      <c r="X875">
        <v>1.5791756178630861E-2</v>
      </c>
      <c r="Y875">
        <v>4.4246822797283656E-3</v>
      </c>
    </row>
    <row r="876" spans="1:25" x14ac:dyDescent="0.2">
      <c r="A876" s="1077"/>
      <c r="B876" s="1444">
        <v>626</v>
      </c>
      <c r="C876" s="1081">
        <v>1.0159248784553028</v>
      </c>
      <c r="D876" s="1081">
        <v>1.0296051336456178</v>
      </c>
      <c r="E876" s="1081">
        <v>1.009122357388762</v>
      </c>
      <c r="F876" s="1081">
        <v>0.99836042349690568</v>
      </c>
      <c r="G876" s="1081">
        <v>0.97176191428289693</v>
      </c>
      <c r="H876" s="1081">
        <v>0.99648422006248705</v>
      </c>
      <c r="I876" s="1081">
        <v>1.0323109277434748</v>
      </c>
      <c r="K876">
        <v>2.3948401456738551</v>
      </c>
      <c r="L876">
        <v>0</v>
      </c>
      <c r="M876">
        <v>1.5700917870281707E-3</v>
      </c>
      <c r="N876">
        <v>0.14687655781862161</v>
      </c>
      <c r="O876">
        <v>2.0530404861713102E-2</v>
      </c>
      <c r="P876">
        <v>2.8531414593334428E-2</v>
      </c>
      <c r="Q876">
        <v>5.4217560117421617E-3</v>
      </c>
      <c r="R876">
        <v>1.5492938224366214E-3</v>
      </c>
      <c r="S876">
        <v>0.25876676017372896</v>
      </c>
      <c r="T876">
        <v>1.3695868502346729</v>
      </c>
      <c r="U876">
        <v>0.20868136404816212</v>
      </c>
      <c r="V876">
        <v>0.23969938283329184</v>
      </c>
      <c r="W876">
        <v>9.5968056583639799E-2</v>
      </c>
      <c r="X876">
        <v>1.6581729419437145E-2</v>
      </c>
      <c r="Y876">
        <v>4.2166670601011778E-3</v>
      </c>
    </row>
    <row r="877" spans="1:25" x14ac:dyDescent="0.2">
      <c r="A877" s="1077"/>
      <c r="B877" s="1444">
        <v>627</v>
      </c>
      <c r="C877" s="1081">
        <v>0.97469372259979747</v>
      </c>
      <c r="D877" s="1081">
        <v>1.0249078728073411</v>
      </c>
      <c r="E877" s="1081">
        <v>0.99733466850849795</v>
      </c>
      <c r="F877" s="1081">
        <v>0.98422241534318644</v>
      </c>
      <c r="G877" s="1081">
        <v>0.99215282211319555</v>
      </c>
      <c r="H877" s="1081">
        <v>1.0293758739988146</v>
      </c>
      <c r="I877" s="1081">
        <v>1.0125640714446975</v>
      </c>
      <c r="K877">
        <v>2.4172918283504372</v>
      </c>
      <c r="L877">
        <v>0</v>
      </c>
      <c r="M877">
        <v>1.7341364725313385E-3</v>
      </c>
      <c r="N877">
        <v>0.15661524576935135</v>
      </c>
      <c r="O877">
        <v>2.1412425554077758E-2</v>
      </c>
      <c r="P877">
        <v>2.834307663530436E-2</v>
      </c>
      <c r="Q877">
        <v>5.588196240477317E-3</v>
      </c>
      <c r="R877">
        <v>1.7118995078850296E-3</v>
      </c>
      <c r="S877">
        <v>0.26794829298602091</v>
      </c>
      <c r="T877">
        <v>1.3499407336668285</v>
      </c>
      <c r="U877">
        <v>0.21746757079447335</v>
      </c>
      <c r="V877">
        <v>0.24582038890352276</v>
      </c>
      <c r="W877">
        <v>0.10304885478318999</v>
      </c>
      <c r="X877">
        <v>1.6470053848894016E-2</v>
      </c>
      <c r="Y877">
        <v>4.6592261329419429E-3</v>
      </c>
    </row>
    <row r="878" spans="1:25" x14ac:dyDescent="0.2">
      <c r="A878" s="1077"/>
      <c r="B878" s="1444">
        <v>628</v>
      </c>
      <c r="C878" s="1081">
        <v>0.98136621534405422</v>
      </c>
      <c r="D878" s="1081">
        <v>1.010936834176184</v>
      </c>
      <c r="E878" s="1081">
        <v>0.97895146955655898</v>
      </c>
      <c r="F878" s="1081">
        <v>1.0155085292120287</v>
      </c>
      <c r="G878" s="1081">
        <v>1.0062568500970845</v>
      </c>
      <c r="H878" s="1081">
        <v>0.97953717340920221</v>
      </c>
      <c r="I878" s="1081">
        <v>1.0402588180136521</v>
      </c>
      <c r="K878">
        <v>2.4454772979458892</v>
      </c>
      <c r="L878">
        <v>0</v>
      </c>
      <c r="M878">
        <v>1.7076882371858562E-3</v>
      </c>
      <c r="N878">
        <v>0.1457909796296559</v>
      </c>
      <c r="O878">
        <v>2.1318772957147319E-2</v>
      </c>
      <c r="P878">
        <v>2.8566954282351297E-2</v>
      </c>
      <c r="Q878">
        <v>5.4612234000928957E-3</v>
      </c>
      <c r="R878">
        <v>1.6846762627317296E-3</v>
      </c>
      <c r="S878">
        <v>0.27063237340427471</v>
      </c>
      <c r="T878">
        <v>1.3924493894402041</v>
      </c>
      <c r="U878">
        <v>0.21592505794932779</v>
      </c>
      <c r="V878">
        <v>0.24786079452768103</v>
      </c>
      <c r="W878">
        <v>9.6990591421390396E-2</v>
      </c>
      <c r="X878">
        <v>1.5919039474440743E-2</v>
      </c>
      <c r="Y878">
        <v>4.5851334337750132E-3</v>
      </c>
    </row>
    <row r="879" spans="1:25" x14ac:dyDescent="0.2">
      <c r="A879" s="1077"/>
      <c r="B879" s="1444">
        <v>629</v>
      </c>
      <c r="C879" s="1081">
        <v>1.0278521854725553</v>
      </c>
      <c r="D879" s="1081">
        <v>1.0051835648757088</v>
      </c>
      <c r="E879" s="1081">
        <v>0.96447133248858063</v>
      </c>
      <c r="F879" s="1081">
        <v>1.0129924119641174</v>
      </c>
      <c r="G879" s="1081">
        <v>0.96264084896892288</v>
      </c>
      <c r="H879" s="1081">
        <v>1.0322630924247784</v>
      </c>
      <c r="I879" s="1081">
        <v>0.97064861001442249</v>
      </c>
      <c r="K879">
        <v>2.3932871283856576</v>
      </c>
      <c r="L879">
        <v>0</v>
      </c>
      <c r="M879">
        <v>1.7725971468506489E-3</v>
      </c>
      <c r="N879">
        <v>0.144942620394542</v>
      </c>
      <c r="O879">
        <v>2.0370880493814286E-2</v>
      </c>
      <c r="P879">
        <v>2.7607070387608013E-2</v>
      </c>
      <c r="Q879">
        <v>5.1418117196765402E-3</v>
      </c>
      <c r="R879">
        <v>1.7499305737894103E-3</v>
      </c>
      <c r="S879">
        <v>0.24590900640388516</v>
      </c>
      <c r="T879">
        <v>1.3886839491804057</v>
      </c>
      <c r="U879">
        <v>0.20611162868081231</v>
      </c>
      <c r="V879">
        <v>0.23758472478644063</v>
      </c>
      <c r="W879">
        <v>9.727861258486728E-2</v>
      </c>
      <c r="X879">
        <v>1.4916756169270127E-2</v>
      </c>
      <c r="Y879">
        <v>4.7627341573961614E-3</v>
      </c>
    </row>
    <row r="880" spans="1:25" x14ac:dyDescent="0.2">
      <c r="A880" s="1077"/>
      <c r="B880" s="1444">
        <v>630</v>
      </c>
      <c r="C880" s="1081">
        <v>1.0083944791636534</v>
      </c>
      <c r="D880" s="1081">
        <v>1.0095692880977842</v>
      </c>
      <c r="E880" s="1081">
        <v>1.0247009241972473</v>
      </c>
      <c r="F880" s="1081">
        <v>1.0059487548308299</v>
      </c>
      <c r="G880" s="1081">
        <v>0.99695988953910264</v>
      </c>
      <c r="H880" s="1081">
        <v>0.96194421679974351</v>
      </c>
      <c r="I880" s="1081">
        <v>1.0037539488462273</v>
      </c>
      <c r="K880">
        <v>2.4045290051283712</v>
      </c>
      <c r="L880">
        <v>0</v>
      </c>
      <c r="M880">
        <v>1.4847137513370853E-3</v>
      </c>
      <c r="N880">
        <v>0.1455043661987519</v>
      </c>
      <c r="O880">
        <v>2.0783594590620767E-2</v>
      </c>
      <c r="P880">
        <v>2.9019247981726327E-2</v>
      </c>
      <c r="Q880">
        <v>5.5744325305372763E-3</v>
      </c>
      <c r="R880">
        <v>1.4643405601208065E-3</v>
      </c>
      <c r="S880">
        <v>0.25318915920228369</v>
      </c>
      <c r="T880">
        <v>1.380336869248552</v>
      </c>
      <c r="U880">
        <v>0.21029268092724709</v>
      </c>
      <c r="V880">
        <v>0.24440532608072449</v>
      </c>
      <c r="W880">
        <v>9.4206809685076498E-2</v>
      </c>
      <c r="X880">
        <v>1.7251439589152713E-2</v>
      </c>
      <c r="Y880">
        <v>3.9854522849129253E-3</v>
      </c>
    </row>
    <row r="881" spans="1:25" x14ac:dyDescent="0.2">
      <c r="A881" s="1077"/>
      <c r="B881" s="1444">
        <v>631</v>
      </c>
      <c r="C881" s="1081">
        <v>0.95685259274049317</v>
      </c>
      <c r="D881" s="1081">
        <v>0.99919295214936188</v>
      </c>
      <c r="E881" s="1081">
        <v>1.0337611849983253</v>
      </c>
      <c r="F881" s="1081">
        <v>1.0275208115756007</v>
      </c>
      <c r="G881" s="1081">
        <v>0.99695640642414973</v>
      </c>
      <c r="H881" s="1081">
        <v>0.97875653386167116</v>
      </c>
      <c r="I881" s="1081">
        <v>1.0167498951732399</v>
      </c>
      <c r="K881">
        <v>2.4926848768981316</v>
      </c>
      <c r="L881">
        <v>0</v>
      </c>
      <c r="M881">
        <v>1.5658193964802989E-3</v>
      </c>
      <c r="N881">
        <v>0.15773977420044166</v>
      </c>
      <c r="O881">
        <v>2.1959277469607533E-2</v>
      </c>
      <c r="P881">
        <v>3.0114093598791285E-2</v>
      </c>
      <c r="Q881">
        <v>5.9427851872867685E-3</v>
      </c>
      <c r="R881">
        <v>1.544702348209203E-3</v>
      </c>
      <c r="S881">
        <v>0.27329233974616968</v>
      </c>
      <c r="T881">
        <v>1.4101399835921145</v>
      </c>
      <c r="U881">
        <v>0.2216528300405744</v>
      </c>
      <c r="V881">
        <v>0.2477080527755342</v>
      </c>
      <c r="W881">
        <v>0.10159259021067803</v>
      </c>
      <c r="X881">
        <v>1.8360096544371207E-2</v>
      </c>
      <c r="Y881">
        <v>4.2041705808332176E-3</v>
      </c>
    </row>
    <row r="882" spans="1:25" x14ac:dyDescent="0.2">
      <c r="A882" s="1077"/>
      <c r="B882" s="1444">
        <v>632</v>
      </c>
      <c r="C882" s="1081">
        <v>1.002225013241911</v>
      </c>
      <c r="D882" s="1081">
        <v>0.97062703186961563</v>
      </c>
      <c r="E882" s="1081">
        <v>0.98860611541870302</v>
      </c>
      <c r="F882" s="1081">
        <v>0.97901581328096177</v>
      </c>
      <c r="G882" s="1081">
        <v>0.97774109553602684</v>
      </c>
      <c r="H882" s="1081">
        <v>1.0181321562743275</v>
      </c>
      <c r="I882" s="1081">
        <v>0.99633729103802304</v>
      </c>
      <c r="K882">
        <v>2.3841917289510999</v>
      </c>
      <c r="L882">
        <v>0</v>
      </c>
      <c r="M882">
        <v>1.7189771041746296E-3</v>
      </c>
      <c r="N882">
        <v>0.15118194386109857</v>
      </c>
      <c r="O882">
        <v>2.1069205448181246E-2</v>
      </c>
      <c r="P882">
        <v>2.7846465521780092E-2</v>
      </c>
      <c r="Q882">
        <v>5.4504037126766932E-3</v>
      </c>
      <c r="R882">
        <v>1.6966911026281466E-3</v>
      </c>
      <c r="S882">
        <v>0.26243226987999624</v>
      </c>
      <c r="T882">
        <v>1.3426148993960405</v>
      </c>
      <c r="U882">
        <v>0.21146396296306996</v>
      </c>
      <c r="V882">
        <v>0.24163129481211221</v>
      </c>
      <c r="W882">
        <v>9.9994159220892512E-2</v>
      </c>
      <c r="X882">
        <v>1.5911576269514841E-2</v>
      </c>
      <c r="Y882">
        <v>4.6178338672821532E-3</v>
      </c>
    </row>
    <row r="883" spans="1:25" x14ac:dyDescent="0.2">
      <c r="A883" s="1077"/>
      <c r="B883" s="1444">
        <v>633</v>
      </c>
      <c r="C883" s="1081">
        <v>1.0003131945762971</v>
      </c>
      <c r="D883" s="1081">
        <v>1.0333104153174473</v>
      </c>
      <c r="E883" s="1081">
        <v>1.0307417121445404</v>
      </c>
      <c r="F883" s="1081">
        <v>0.97397482177605077</v>
      </c>
      <c r="G883" s="1081">
        <v>1.0152368443710837</v>
      </c>
      <c r="H883" s="1081">
        <v>0.98868503609165836</v>
      </c>
      <c r="I883" s="1081">
        <v>0.98762746447969441</v>
      </c>
      <c r="K883">
        <v>2.3717896055964305</v>
      </c>
      <c r="L883">
        <v>0</v>
      </c>
      <c r="M883">
        <v>1.5113308094261071E-3</v>
      </c>
      <c r="N883">
        <v>0.15089200169493727</v>
      </c>
      <c r="O883">
        <v>2.084863080956556E-2</v>
      </c>
      <c r="P883">
        <v>2.8573099439673424E-2</v>
      </c>
      <c r="Q883">
        <v>5.6254155603957792E-3</v>
      </c>
      <c r="R883">
        <v>1.4911532891166365E-3</v>
      </c>
      <c r="S883">
        <v>0.25050229116288419</v>
      </c>
      <c r="T883">
        <v>1.3365910043735703</v>
      </c>
      <c r="U883">
        <v>0.21201231270884766</v>
      </c>
      <c r="V883">
        <v>0.24800297035825519</v>
      </c>
      <c r="W883">
        <v>9.7352452430554112E-2</v>
      </c>
      <c r="X883">
        <v>1.7351176883629398E-2</v>
      </c>
      <c r="Y883">
        <v>4.058427694425837E-3</v>
      </c>
    </row>
    <row r="884" spans="1:25" x14ac:dyDescent="0.2">
      <c r="A884" s="1077"/>
      <c r="B884" s="1444">
        <v>634</v>
      </c>
      <c r="C884" s="1081">
        <v>1.0285871365905639</v>
      </c>
      <c r="D884" s="1081">
        <v>0.97953327118675093</v>
      </c>
      <c r="E884" s="1081">
        <v>1.0120029481605537</v>
      </c>
      <c r="F884" s="1081">
        <v>0.97938164154943064</v>
      </c>
      <c r="G884" s="1081">
        <v>0.99280412056080447</v>
      </c>
      <c r="H884" s="1081">
        <v>0.99942210796308473</v>
      </c>
      <c r="I884" s="1081">
        <v>1.0203440446980949</v>
      </c>
      <c r="K884">
        <v>2.3701763535806868</v>
      </c>
      <c r="L884">
        <v>0</v>
      </c>
      <c r="M884">
        <v>1.5631050747646536E-3</v>
      </c>
      <c r="N884">
        <v>0.14750591627508419</v>
      </c>
      <c r="O884">
        <v>2.0503167887802796E-2</v>
      </c>
      <c r="P884">
        <v>2.824519084468563E-2</v>
      </c>
      <c r="Q884">
        <v>5.4301722806536874E-3</v>
      </c>
      <c r="R884">
        <v>1.542460523882236E-3</v>
      </c>
      <c r="S884">
        <v>0.25927501901552197</v>
      </c>
      <c r="T884">
        <v>1.3436122182701584</v>
      </c>
      <c r="U884">
        <v>0.20612201385091897</v>
      </c>
      <c r="V884">
        <v>0.24252551671533584</v>
      </c>
      <c r="W884">
        <v>9.6215774757323597E-2</v>
      </c>
      <c r="X884">
        <v>1.6563939160048651E-2</v>
      </c>
      <c r="Y884">
        <v>4.1980690740324039E-3</v>
      </c>
    </row>
    <row r="885" spans="1:25" x14ac:dyDescent="0.2">
      <c r="A885" s="1077"/>
      <c r="B885" s="1444">
        <v>635</v>
      </c>
      <c r="C885" s="1081">
        <v>1.0101063080321899</v>
      </c>
      <c r="D885" s="1081">
        <v>1.0353988763306852</v>
      </c>
      <c r="E885" s="1081">
        <v>0.96702971879970645</v>
      </c>
      <c r="F885" s="1081">
        <v>1.0010230477705253</v>
      </c>
      <c r="G885" s="1081">
        <v>1.031799887561055</v>
      </c>
      <c r="H885" s="1081">
        <v>0.99653823189910307</v>
      </c>
      <c r="I885" s="1081">
        <v>0.97988901269451523</v>
      </c>
      <c r="K885">
        <v>2.388430344585541</v>
      </c>
      <c r="L885">
        <v>0</v>
      </c>
      <c r="M885">
        <v>1.7208985008737459E-3</v>
      </c>
      <c r="N885">
        <v>0.14174407906872863</v>
      </c>
      <c r="O885">
        <v>2.0595799381744218E-2</v>
      </c>
      <c r="P885">
        <v>2.7665034956715458E-2</v>
      </c>
      <c r="Q885">
        <v>5.212227233290791E-3</v>
      </c>
      <c r="R885">
        <v>1.6981041352707566E-3</v>
      </c>
      <c r="S885">
        <v>0.24603038652735362</v>
      </c>
      <c r="T885">
        <v>1.3723304633690012</v>
      </c>
      <c r="U885">
        <v>0.20974127422099903</v>
      </c>
      <c r="V885">
        <v>0.25046293410082998</v>
      </c>
      <c r="W885">
        <v>9.4983386692467975E-2</v>
      </c>
      <c r="X885">
        <v>1.5065873723685402E-2</v>
      </c>
      <c r="Y885">
        <v>4.6216796763292505E-3</v>
      </c>
    </row>
    <row r="886" spans="1:25" x14ac:dyDescent="0.2">
      <c r="A886" s="1077"/>
      <c r="B886" s="1444">
        <v>636</v>
      </c>
      <c r="C886" s="1081">
        <v>1.0247112966163545</v>
      </c>
      <c r="D886" s="1081">
        <v>0.98997684008086817</v>
      </c>
      <c r="E886" s="1081">
        <v>0.9704256420883155</v>
      </c>
      <c r="F886" s="1081">
        <v>0.97745426697500726</v>
      </c>
      <c r="G886" s="1081">
        <v>1.0155286070964764</v>
      </c>
      <c r="H886" s="1081">
        <v>1.0022880513565298</v>
      </c>
      <c r="I886" s="1081">
        <v>1.0372921156093988</v>
      </c>
      <c r="K886">
        <v>2.3671382993767272</v>
      </c>
      <c r="L886">
        <v>0</v>
      </c>
      <c r="M886">
        <v>1.7110452030034686E-3</v>
      </c>
      <c r="N886">
        <v>0.14240021174998976</v>
      </c>
      <c r="O886">
        <v>2.0505806097905827E-2</v>
      </c>
      <c r="P886">
        <v>2.7445644272718932E-2</v>
      </c>
      <c r="Q886">
        <v>5.2075085967490482E-3</v>
      </c>
      <c r="R886">
        <v>1.6885113660065711E-3</v>
      </c>
      <c r="S886">
        <v>0.2630730928607603</v>
      </c>
      <c r="T886">
        <v>1.3400906863046058</v>
      </c>
      <c r="U886">
        <v>0.20676314755986222</v>
      </c>
      <c r="V886">
        <v>0.24678884421244698</v>
      </c>
      <c r="W886">
        <v>9.5225841706926828E-2</v>
      </c>
      <c r="X886">
        <v>1.5064478531111598E-2</v>
      </c>
      <c r="Y886">
        <v>4.5955713206476765E-3</v>
      </c>
    </row>
    <row r="887" spans="1:25" x14ac:dyDescent="0.2">
      <c r="A887" s="1077"/>
      <c r="B887" s="1444">
        <v>637</v>
      </c>
      <c r="C887" s="1081">
        <v>0.98724749517823018</v>
      </c>
      <c r="D887" s="1081">
        <v>1.0142345521798524</v>
      </c>
      <c r="E887" s="1081">
        <v>1.0023656268809047</v>
      </c>
      <c r="F887" s="1081">
        <v>1.0366304753966598</v>
      </c>
      <c r="G887" s="1081">
        <v>1.0208282394663466</v>
      </c>
      <c r="H887" s="1081">
        <v>0.97548716089203613</v>
      </c>
      <c r="I887" s="1081">
        <v>1.0421183856500753</v>
      </c>
      <c r="K887">
        <v>2.4770416817412224</v>
      </c>
      <c r="L887">
        <v>0</v>
      </c>
      <c r="M887">
        <v>1.6093151713193648E-3</v>
      </c>
      <c r="N887">
        <v>0.14746239839017306</v>
      </c>
      <c r="O887">
        <v>2.119226160075114E-2</v>
      </c>
      <c r="P887">
        <v>2.9464694378728288E-2</v>
      </c>
      <c r="Q887">
        <v>5.5587802511143222E-3</v>
      </c>
      <c r="R887">
        <v>1.587538787319296E-3</v>
      </c>
      <c r="S887">
        <v>0.26889810405669984</v>
      </c>
      <c r="T887">
        <v>1.4219354247491773</v>
      </c>
      <c r="U887">
        <v>0.21471968654228946</v>
      </c>
      <c r="V887">
        <v>0.2498852623870981</v>
      </c>
      <c r="W887">
        <v>9.67367909720106E-2</v>
      </c>
      <c r="X887">
        <v>1.6889297550118133E-2</v>
      </c>
      <c r="Y887">
        <v>4.3207572470625316E-3</v>
      </c>
    </row>
    <row r="888" spans="1:25" x14ac:dyDescent="0.2">
      <c r="A888" s="1077"/>
      <c r="B888" s="1444">
        <v>638</v>
      </c>
      <c r="C888" s="1081">
        <v>1.0220156802101261</v>
      </c>
      <c r="D888" s="1081">
        <v>1.0292157448187658</v>
      </c>
      <c r="E888" s="1081">
        <v>0.95255748506449234</v>
      </c>
      <c r="F888" s="1081">
        <v>1.0087439359425443</v>
      </c>
      <c r="G888" s="1081">
        <v>1.0287133245901361</v>
      </c>
      <c r="H888" s="1081">
        <v>1.0269546951174218</v>
      </c>
      <c r="I888" s="1081">
        <v>0.973832428396883</v>
      </c>
      <c r="K888">
        <v>2.3950782971425322</v>
      </c>
      <c r="L888">
        <v>0</v>
      </c>
      <c r="M888">
        <v>1.8082078599318593E-3</v>
      </c>
      <c r="N888">
        <v>0.14260193911829558</v>
      </c>
      <c r="O888">
        <v>2.0373364297940413E-2</v>
      </c>
      <c r="P888">
        <v>2.7426652652624638E-2</v>
      </c>
      <c r="Q888">
        <v>5.0798011787484892E-3</v>
      </c>
      <c r="R888">
        <v>1.7849664063593839E-3</v>
      </c>
      <c r="S888">
        <v>0.2447168101395196</v>
      </c>
      <c r="T888">
        <v>1.3826021791475964</v>
      </c>
      <c r="U888">
        <v>0.20724911253990419</v>
      </c>
      <c r="V888">
        <v>0.24927232347164258</v>
      </c>
      <c r="W888">
        <v>9.6410588740821881E-2</v>
      </c>
      <c r="X888">
        <v>1.45106771649171E-2</v>
      </c>
      <c r="Y888">
        <v>4.8580901440925268E-3</v>
      </c>
    </row>
    <row r="889" spans="1:25" x14ac:dyDescent="0.2">
      <c r="A889" s="1077"/>
      <c r="B889" s="1444">
        <v>639</v>
      </c>
      <c r="C889" s="1081">
        <v>1.0118564916009503</v>
      </c>
      <c r="D889" s="1081">
        <v>1.0422502695312454</v>
      </c>
      <c r="E889" s="1081">
        <v>1.0166210851777422</v>
      </c>
      <c r="F889" s="1081">
        <v>1.002698951977169</v>
      </c>
      <c r="G889" s="1081">
        <v>1.0197850479462824</v>
      </c>
      <c r="H889" s="1081">
        <v>1.0053728757113951</v>
      </c>
      <c r="I889" s="1081">
        <v>0.99303912357889723</v>
      </c>
      <c r="K889">
        <v>2.4051359233697935</v>
      </c>
      <c r="L889">
        <v>0</v>
      </c>
      <c r="M889">
        <v>1.5616707654352835E-3</v>
      </c>
      <c r="N889">
        <v>0.14945079586858928</v>
      </c>
      <c r="O889">
        <v>2.0562553864950758E-2</v>
      </c>
      <c r="P889">
        <v>2.877008850029044E-2</v>
      </c>
      <c r="Q889">
        <v>5.4710393452071307E-3</v>
      </c>
      <c r="R889">
        <v>1.5411672403134659E-3</v>
      </c>
      <c r="S889">
        <v>0.24920785210853053</v>
      </c>
      <c r="T889">
        <v>1.3757016376054332</v>
      </c>
      <c r="U889">
        <v>0.20954579468301515</v>
      </c>
      <c r="V889">
        <v>0.24811792433704397</v>
      </c>
      <c r="W889">
        <v>9.7220177445425854E-2</v>
      </c>
      <c r="X889">
        <v>1.6914013953939714E-2</v>
      </c>
      <c r="Y889">
        <v>4.1945491824890253E-3</v>
      </c>
    </row>
    <row r="890" spans="1:25" x14ac:dyDescent="0.2">
      <c r="A890" s="1077"/>
      <c r="B890" s="1444">
        <v>640</v>
      </c>
      <c r="C890" s="1081">
        <v>1.0060100099363869</v>
      </c>
      <c r="D890" s="1081">
        <v>1.0232919969543006</v>
      </c>
      <c r="E890" s="1081">
        <v>1.0046035957319392</v>
      </c>
      <c r="F890" s="1081">
        <v>1.0061127093519118</v>
      </c>
      <c r="G890" s="1081">
        <v>1.0043805915139064</v>
      </c>
      <c r="H890" s="1081">
        <v>1.0163767391661238</v>
      </c>
      <c r="I890" s="1081">
        <v>1.0267291196054089</v>
      </c>
      <c r="K890">
        <v>2.4247970978117923</v>
      </c>
      <c r="L890">
        <v>0</v>
      </c>
      <c r="M890">
        <v>1.6346747740843244E-3</v>
      </c>
      <c r="N890">
        <v>0.1508852643337372</v>
      </c>
      <c r="O890">
        <v>2.0757848474611078E-2</v>
      </c>
      <c r="P890">
        <v>2.8742544760838963E-2</v>
      </c>
      <c r="Q890">
        <v>5.457071285533451E-3</v>
      </c>
      <c r="R890">
        <v>1.6134451227327242E-3</v>
      </c>
      <c r="S890">
        <v>0.2623822691034598</v>
      </c>
      <c r="T890">
        <v>1.3801232504086589</v>
      </c>
      <c r="U890">
        <v>0.21072268135422301</v>
      </c>
      <c r="V890">
        <v>0.24588986825748438</v>
      </c>
      <c r="W890">
        <v>9.8851014622197392E-2</v>
      </c>
      <c r="X890">
        <v>1.6615249110362107E-2</v>
      </c>
      <c r="Y890">
        <v>4.3912657520367116E-3</v>
      </c>
    </row>
    <row r="891" spans="1:25" x14ac:dyDescent="0.2">
      <c r="A891" s="1077"/>
      <c r="B891" s="1444">
        <v>641</v>
      </c>
      <c r="C891" s="1081">
        <v>0.98768793345273909</v>
      </c>
      <c r="D891" s="1081">
        <v>0.98844763573924543</v>
      </c>
      <c r="E891" s="1081">
        <v>1.0044941881413638</v>
      </c>
      <c r="F891" s="1081">
        <v>1.0184083749734616</v>
      </c>
      <c r="G891" s="1081">
        <v>1.0187525127141619</v>
      </c>
      <c r="H891" s="1081">
        <v>0.98462760875531508</v>
      </c>
      <c r="I891" s="1081">
        <v>0.9938044019025839</v>
      </c>
      <c r="K891">
        <v>2.4469094965882801</v>
      </c>
      <c r="L891">
        <v>0</v>
      </c>
      <c r="M891">
        <v>1.6256982464204399E-3</v>
      </c>
      <c r="N891">
        <v>0.14994348456900308</v>
      </c>
      <c r="O891">
        <v>2.1304605082205386E-2</v>
      </c>
      <c r="P891">
        <v>2.904765942353367E-2</v>
      </c>
      <c r="Q891">
        <v>5.6001948336871377E-3</v>
      </c>
      <c r="R891">
        <v>1.6039043869321499E-3</v>
      </c>
      <c r="S891">
        <v>0.26046075978518618</v>
      </c>
      <c r="T891">
        <v>1.396987272746735</v>
      </c>
      <c r="U891">
        <v>0.2146313074577848</v>
      </c>
      <c r="V891">
        <v>0.24949486423389977</v>
      </c>
      <c r="W891">
        <v>9.8240381832379015E-2</v>
      </c>
      <c r="X891">
        <v>1.6855461469062652E-2</v>
      </c>
      <c r="Y891">
        <v>4.3652990142902595E-3</v>
      </c>
    </row>
    <row r="892" spans="1:25" x14ac:dyDescent="0.2">
      <c r="A892" s="1077"/>
      <c r="B892" s="1444">
        <v>642</v>
      </c>
      <c r="C892" s="1081">
        <v>1.0302626299743545</v>
      </c>
      <c r="D892" s="1081">
        <v>0.99179120367478224</v>
      </c>
      <c r="E892" s="1081">
        <v>1.0049668841452306</v>
      </c>
      <c r="F892" s="1081">
        <v>1.0130398399321259</v>
      </c>
      <c r="G892" s="1081">
        <v>0.99050988730822465</v>
      </c>
      <c r="H892" s="1081">
        <v>0.98091867071003436</v>
      </c>
      <c r="I892" s="1081">
        <v>0.99400592493555717</v>
      </c>
      <c r="K892">
        <v>2.3983140374215575</v>
      </c>
      <c r="L892">
        <v>0</v>
      </c>
      <c r="M892">
        <v>1.5499722991480992E-3</v>
      </c>
      <c r="N892">
        <v>0.14315591355512164</v>
      </c>
      <c r="O892">
        <v>2.0409348260641266E-2</v>
      </c>
      <c r="P892">
        <v>2.8577172275103899E-2</v>
      </c>
      <c r="Q892">
        <v>5.3674078637048735E-3</v>
      </c>
      <c r="R892">
        <v>1.5291150439930728E-3</v>
      </c>
      <c r="S892">
        <v>0.24902251640532852</v>
      </c>
      <c r="T892">
        <v>1.3896334275262163</v>
      </c>
      <c r="U892">
        <v>0.20576342703843817</v>
      </c>
      <c r="V892">
        <v>0.24206007063138135</v>
      </c>
      <c r="W892">
        <v>9.376703365117077E-2</v>
      </c>
      <c r="X892">
        <v>1.64168303924918E-2</v>
      </c>
      <c r="Y892">
        <v>4.1617470771103653E-3</v>
      </c>
    </row>
    <row r="893" spans="1:25" x14ac:dyDescent="0.2">
      <c r="A893" s="1077"/>
      <c r="B893" s="1444">
        <v>643</v>
      </c>
      <c r="C893" s="1081">
        <v>1.0360933914326926</v>
      </c>
      <c r="D893" s="1081">
        <v>0.96876334263536534</v>
      </c>
      <c r="E893" s="1081">
        <v>0.99405929752602695</v>
      </c>
      <c r="F893" s="1081">
        <v>0.9886127282802224</v>
      </c>
      <c r="G893" s="1081">
        <v>1.0054144559893321</v>
      </c>
      <c r="H893" s="1081">
        <v>0.96536562467513543</v>
      </c>
      <c r="I893" s="1081">
        <v>0.97097588113573752</v>
      </c>
      <c r="K893">
        <v>2.3529168371573341</v>
      </c>
      <c r="L893">
        <v>0</v>
      </c>
      <c r="M893">
        <v>1.5595590594533154E-3</v>
      </c>
      <c r="N893">
        <v>0.13934115515154621</v>
      </c>
      <c r="O893">
        <v>2.0392615862037774E-2</v>
      </c>
      <c r="P893">
        <v>2.7825680638111933E-2</v>
      </c>
      <c r="Q893">
        <v>5.3045123734108812E-3</v>
      </c>
      <c r="R893">
        <v>1.5382346892211165E-3</v>
      </c>
      <c r="S893">
        <v>0.24343878698364002</v>
      </c>
      <c r="T893">
        <v>1.355892430401852</v>
      </c>
      <c r="U893">
        <v>0.20456948136369404</v>
      </c>
      <c r="V893">
        <v>0.24430391241355501</v>
      </c>
      <c r="W893">
        <v>9.1862203787673694E-2</v>
      </c>
      <c r="X893">
        <v>1.5820814806913823E-2</v>
      </c>
      <c r="Y893">
        <v>4.1865677451308585E-3</v>
      </c>
    </row>
    <row r="894" spans="1:25" x14ac:dyDescent="0.2">
      <c r="A894" s="1077"/>
      <c r="B894" s="1444">
        <v>644</v>
      </c>
      <c r="C894" s="1081">
        <v>1.0152726992262682</v>
      </c>
      <c r="D894" s="1081">
        <v>1.0130149281768062</v>
      </c>
      <c r="E894" s="1081">
        <v>0.95983354727000503</v>
      </c>
      <c r="F894" s="1081">
        <v>1.0139135556668979</v>
      </c>
      <c r="G894" s="1081">
        <v>0.99666205242995376</v>
      </c>
      <c r="H894" s="1081">
        <v>0.98965602605063774</v>
      </c>
      <c r="I894" s="1081">
        <v>1.0066302352401149</v>
      </c>
      <c r="K894">
        <v>2.4030467696834314</v>
      </c>
      <c r="L894">
        <v>0</v>
      </c>
      <c r="M894">
        <v>1.7340564362147066E-3</v>
      </c>
      <c r="N894">
        <v>0.13973488751630236</v>
      </c>
      <c r="O894">
        <v>2.0585095003485623E-2</v>
      </c>
      <c r="P894">
        <v>2.7746061348612766E-2</v>
      </c>
      <c r="Q894">
        <v>5.1712028167355921E-3</v>
      </c>
      <c r="R894">
        <v>1.7109280584200505E-3</v>
      </c>
      <c r="S894">
        <v>0.25357494135192715</v>
      </c>
      <c r="T894">
        <v>1.38984582756615</v>
      </c>
      <c r="U894">
        <v>0.20864988661669057</v>
      </c>
      <c r="V894">
        <v>0.24416938998065083</v>
      </c>
      <c r="W894">
        <v>9.4050187862428233E-2</v>
      </c>
      <c r="X894">
        <v>1.4885835830506325E-2</v>
      </c>
      <c r="Y894">
        <v>4.6565821677364986E-3</v>
      </c>
    </row>
    <row r="895" spans="1:25" x14ac:dyDescent="0.2">
      <c r="A895" s="1077"/>
      <c r="B895" s="1444">
        <v>645</v>
      </c>
      <c r="C895" s="1081">
        <v>0.9893049169430963</v>
      </c>
      <c r="D895" s="1081">
        <v>0.98130115208284496</v>
      </c>
      <c r="E895" s="1081">
        <v>1.0021976931461893</v>
      </c>
      <c r="F895" s="1081">
        <v>1.0269205361229796</v>
      </c>
      <c r="G895" s="1081">
        <v>1.0447145390373875</v>
      </c>
      <c r="H895" s="1081">
        <v>0.99626854699181688</v>
      </c>
      <c r="I895" s="1081">
        <v>1.0464135244273238</v>
      </c>
      <c r="K895">
        <v>2.4809472796311018</v>
      </c>
      <c r="L895">
        <v>0</v>
      </c>
      <c r="M895">
        <v>1.6527117660345288E-3</v>
      </c>
      <c r="N895">
        <v>0.1514053578376261</v>
      </c>
      <c r="O895">
        <v>2.1302217398995613E-2</v>
      </c>
      <c r="P895">
        <v>2.9421584716812003E-2</v>
      </c>
      <c r="Q895">
        <v>5.5866799758544665E-3</v>
      </c>
      <c r="R895">
        <v>1.6308146500955379E-3</v>
      </c>
      <c r="S895">
        <v>0.27583596768675789</v>
      </c>
      <c r="T895">
        <v>1.4086126687141645</v>
      </c>
      <c r="U895">
        <v>0.21427256130286096</v>
      </c>
      <c r="V895">
        <v>0.25383327691648744</v>
      </c>
      <c r="W895">
        <v>9.9333307530784593E-2</v>
      </c>
      <c r="X895">
        <v>1.6927014787040288E-2</v>
      </c>
      <c r="Y895">
        <v>4.4385398796551326E-3</v>
      </c>
    </row>
    <row r="896" spans="1:25" x14ac:dyDescent="0.2">
      <c r="A896" s="1077"/>
      <c r="B896" s="1444">
        <v>646</v>
      </c>
      <c r="C896" s="1081">
        <v>0.97028117417225968</v>
      </c>
      <c r="D896" s="1081">
        <v>0.98716661693688723</v>
      </c>
      <c r="E896" s="1081">
        <v>0.99575595171903164</v>
      </c>
      <c r="F896" s="1081">
        <v>0.96855483822297617</v>
      </c>
      <c r="G896" s="1081">
        <v>0.9916495256704545</v>
      </c>
      <c r="H896" s="1081">
        <v>1.023982687988896</v>
      </c>
      <c r="I896" s="1081">
        <v>0.98033273617782934</v>
      </c>
      <c r="K896">
        <v>2.3956435114670942</v>
      </c>
      <c r="L896">
        <v>0</v>
      </c>
      <c r="M896">
        <v>1.7529868768296308E-3</v>
      </c>
      <c r="N896">
        <v>0.15755339286381656</v>
      </c>
      <c r="O896">
        <v>2.1687001886710605E-2</v>
      </c>
      <c r="P896">
        <v>2.7993415157875713E-2</v>
      </c>
      <c r="Q896">
        <v>5.6508632995009786E-3</v>
      </c>
      <c r="R896">
        <v>1.7303897996455337E-3</v>
      </c>
      <c r="S896">
        <v>0.2650295673040971</v>
      </c>
      <c r="T896">
        <v>1.3284183349383534</v>
      </c>
      <c r="U896">
        <v>0.21845098954320671</v>
      </c>
      <c r="V896">
        <v>0.2460311020183765</v>
      </c>
      <c r="W896">
        <v>0.10376371362884995</v>
      </c>
      <c r="X896">
        <v>1.6378177291699419E-2</v>
      </c>
      <c r="Y896">
        <v>4.7095506117909936E-3</v>
      </c>
    </row>
    <row r="897" spans="1:25" x14ac:dyDescent="0.2">
      <c r="A897" s="1077"/>
      <c r="B897" s="1444">
        <v>647</v>
      </c>
      <c r="C897" s="1081">
        <v>1.0165777887645859</v>
      </c>
      <c r="D897" s="1081">
        <v>1.0070599286573769</v>
      </c>
      <c r="E897" s="1081">
        <v>1.0061815446657867</v>
      </c>
      <c r="F897" s="1081">
        <v>0.99685309134037237</v>
      </c>
      <c r="G897" s="1081">
        <v>1.018112435030011</v>
      </c>
      <c r="H897" s="1081">
        <v>1.0026713670995324</v>
      </c>
      <c r="I897" s="1081">
        <v>1.0238479432479017</v>
      </c>
      <c r="K897">
        <v>2.4037171859674991</v>
      </c>
      <c r="L897">
        <v>0</v>
      </c>
      <c r="M897">
        <v>1.5962539443609965E-3</v>
      </c>
      <c r="N897">
        <v>0.14801609302363181</v>
      </c>
      <c r="O897">
        <v>2.0615479840773582E-2</v>
      </c>
      <c r="P897">
        <v>2.8560857499466023E-2</v>
      </c>
      <c r="Q897">
        <v>5.4282211122525272E-3</v>
      </c>
      <c r="R897">
        <v>1.5752399027117777E-3</v>
      </c>
      <c r="S897">
        <v>0.25983391435040309</v>
      </c>
      <c r="T897">
        <v>1.3674555361856111</v>
      </c>
      <c r="U897">
        <v>0.20853743553166734</v>
      </c>
      <c r="V897">
        <v>0.24758399927835611</v>
      </c>
      <c r="W897">
        <v>9.6880789144806953E-2</v>
      </c>
      <c r="X897">
        <v>1.6538590304690619E-2</v>
      </c>
      <c r="Y897">
        <v>4.2872837374870907E-3</v>
      </c>
    </row>
    <row r="898" spans="1:25" x14ac:dyDescent="0.2">
      <c r="A898" s="1077"/>
      <c r="B898" s="1444">
        <v>648</v>
      </c>
      <c r="C898" s="1081">
        <v>0.98852914051048635</v>
      </c>
      <c r="D898" s="1081">
        <v>1.0107294212443825</v>
      </c>
      <c r="E898" s="1081">
        <v>1.0174318616743145</v>
      </c>
      <c r="F898" s="1081">
        <v>1.0322543469765262</v>
      </c>
      <c r="G898" s="1081">
        <v>1.0052331979490006</v>
      </c>
      <c r="H898" s="1081">
        <v>1.0011758286879824</v>
      </c>
      <c r="I898" s="1081">
        <v>0.98396108037019803</v>
      </c>
      <c r="K898">
        <v>2.4654271228741864</v>
      </c>
      <c r="L898">
        <v>0</v>
      </c>
      <c r="M898">
        <v>1.5999410340029802E-3</v>
      </c>
      <c r="N898">
        <v>0.15347971908811153</v>
      </c>
      <c r="O898">
        <v>2.1191018063522686E-2</v>
      </c>
      <c r="P898">
        <v>2.9500135325343502E-2</v>
      </c>
      <c r="Q898">
        <v>5.6428074904699812E-3</v>
      </c>
      <c r="R898">
        <v>1.5788469903969501E-3</v>
      </c>
      <c r="S898">
        <v>0.25629559769494448</v>
      </c>
      <c r="T898">
        <v>1.4162697626599616</v>
      </c>
      <c r="U898">
        <v>0.21449347581763892</v>
      </c>
      <c r="V898">
        <v>0.24708668450342638</v>
      </c>
      <c r="W898">
        <v>9.9793598693501601E-2</v>
      </c>
      <c r="X898">
        <v>1.7398316539780585E-2</v>
      </c>
      <c r="Y898">
        <v>4.2971010410899919E-3</v>
      </c>
    </row>
    <row r="899" spans="1:25" x14ac:dyDescent="0.2">
      <c r="A899" s="1077"/>
      <c r="B899" s="1444">
        <v>649</v>
      </c>
      <c r="C899" s="1081">
        <v>1.0157689586049055</v>
      </c>
      <c r="D899" s="1081">
        <v>0.97616398510984492</v>
      </c>
      <c r="E899" s="1081">
        <v>0.99132569595683528</v>
      </c>
      <c r="F899" s="1081">
        <v>1.002728161180823</v>
      </c>
      <c r="G899" s="1081">
        <v>0.96358167956176755</v>
      </c>
      <c r="H899" s="1081">
        <v>0.98855307252450864</v>
      </c>
      <c r="I899" s="1081">
        <v>0.97937876203582341</v>
      </c>
      <c r="K899">
        <v>2.3889062310155906</v>
      </c>
      <c r="L899">
        <v>0</v>
      </c>
      <c r="M899">
        <v>1.6354852066894066E-3</v>
      </c>
      <c r="N899">
        <v>0.14496952607710906</v>
      </c>
      <c r="O899">
        <v>2.0764060049066984E-2</v>
      </c>
      <c r="P899">
        <v>2.8113065529096887E-2</v>
      </c>
      <c r="Q899">
        <v>5.3862514823870599E-3</v>
      </c>
      <c r="R899">
        <v>1.6136472073600978E-3</v>
      </c>
      <c r="S899">
        <v>0.25138275889141709</v>
      </c>
      <c r="T899">
        <v>1.3751926940814658</v>
      </c>
      <c r="U899">
        <v>0.2086535059415911</v>
      </c>
      <c r="V899">
        <v>0.23837314906198587</v>
      </c>
      <c r="W899">
        <v>9.5729073975626272E-2</v>
      </c>
      <c r="X899">
        <v>1.597216816539633E-2</v>
      </c>
      <c r="Y899">
        <v>4.3918157597752413E-3</v>
      </c>
    </row>
    <row r="900" spans="1:25" x14ac:dyDescent="0.2">
      <c r="A900" s="1077"/>
      <c r="B900" s="1444">
        <v>650</v>
      </c>
      <c r="C900" s="1081">
        <v>0.96731754668903192</v>
      </c>
      <c r="D900" s="1081">
        <v>0.97672053626658883</v>
      </c>
      <c r="E900" s="1081">
        <v>0.99823370265901845</v>
      </c>
      <c r="F900" s="1081">
        <v>1.0029522491369236</v>
      </c>
      <c r="G900" s="1081">
        <v>1.0106626787671538</v>
      </c>
      <c r="H900" s="1081">
        <v>1.013087101986375</v>
      </c>
      <c r="I900" s="1081">
        <v>0.9593865622322445</v>
      </c>
      <c r="K900">
        <v>2.442800263312348</v>
      </c>
      <c r="L900">
        <v>0</v>
      </c>
      <c r="M900">
        <v>1.7347893370475171E-3</v>
      </c>
      <c r="N900">
        <v>0.15706759986033439</v>
      </c>
      <c r="O900">
        <v>2.1806125444621304E-2</v>
      </c>
      <c r="P900">
        <v>2.8685288468413957E-2</v>
      </c>
      <c r="Q900">
        <v>5.6960951907415224E-3</v>
      </c>
      <c r="R900">
        <v>1.7121863322994118E-3</v>
      </c>
      <c r="S900">
        <v>0.26064813962553507</v>
      </c>
      <c r="T900">
        <v>1.3756497104822851</v>
      </c>
      <c r="U900">
        <v>0.21912902219863425</v>
      </c>
      <c r="V900">
        <v>0.24946643859890502</v>
      </c>
      <c r="W900">
        <v>0.10329118856155965</v>
      </c>
      <c r="X900">
        <v>1.6723251111618358E-2</v>
      </c>
      <c r="Y900">
        <v>4.660006774446248E-3</v>
      </c>
    </row>
    <row r="901" spans="1:25" x14ac:dyDescent="0.2">
      <c r="A901" s="1077"/>
      <c r="B901" s="1444">
        <v>651</v>
      </c>
      <c r="C901" s="1081">
        <v>1.0178522229056859</v>
      </c>
      <c r="D901" s="1081">
        <v>0.98362279089898741</v>
      </c>
      <c r="E901" s="1081">
        <v>0.97549330235241261</v>
      </c>
      <c r="F901" s="1081">
        <v>1.0273667323279678</v>
      </c>
      <c r="G901" s="1081">
        <v>1.0007139159174874</v>
      </c>
      <c r="H901" s="1081">
        <v>0.97162408497407138</v>
      </c>
      <c r="I901" s="1081">
        <v>1.0152604307361404</v>
      </c>
      <c r="K901">
        <v>2.4262667450087321</v>
      </c>
      <c r="L901">
        <v>0</v>
      </c>
      <c r="M901">
        <v>1.6548302694530505E-3</v>
      </c>
      <c r="N901">
        <v>0.13979194636882919</v>
      </c>
      <c r="O901">
        <v>2.0676556734407346E-2</v>
      </c>
      <c r="P901">
        <v>2.8385754551274504E-2</v>
      </c>
      <c r="Q901">
        <v>5.2780937842227434E-3</v>
      </c>
      <c r="R901">
        <v>1.6323489703928965E-3</v>
      </c>
      <c r="S901">
        <v>0.25749271951332892</v>
      </c>
      <c r="T901">
        <v>1.4086326928142954</v>
      </c>
      <c r="U901">
        <v>0.20817342120079815</v>
      </c>
      <c r="V901">
        <v>0.24464814904344664</v>
      </c>
      <c r="W901">
        <v>9.3194431782588599E-2</v>
      </c>
      <c r="X901">
        <v>1.5572744720886206E-2</v>
      </c>
      <c r="Y901">
        <v>4.442715793715993E-3</v>
      </c>
    </row>
    <row r="902" spans="1:25" x14ac:dyDescent="0.2">
      <c r="A902" s="1077"/>
      <c r="B902" s="1444">
        <v>652</v>
      </c>
      <c r="C902" s="1081">
        <v>0.97531105172693977</v>
      </c>
      <c r="D902" s="1081">
        <v>1.0352719729274698</v>
      </c>
      <c r="E902" s="1081">
        <v>1.010277193201405</v>
      </c>
      <c r="F902" s="1081">
        <v>0.98948328651889761</v>
      </c>
      <c r="G902" s="1081">
        <v>0.96603150198021848</v>
      </c>
      <c r="H902" s="1081">
        <v>1.0268247045524843</v>
      </c>
      <c r="I902" s="1081">
        <v>0.9880996394600694</v>
      </c>
      <c r="K902">
        <v>2.4136226493569946</v>
      </c>
      <c r="L902">
        <v>0</v>
      </c>
      <c r="M902">
        <v>1.6792024024684703E-3</v>
      </c>
      <c r="N902">
        <v>0.15769462839427351</v>
      </c>
      <c r="O902">
        <v>2.1360303429146559E-2</v>
      </c>
      <c r="P902">
        <v>2.8545480361243571E-2</v>
      </c>
      <c r="Q902">
        <v>5.6474359531138666E-3</v>
      </c>
      <c r="R902">
        <v>1.6576163635150609E-3</v>
      </c>
      <c r="S902">
        <v>0.25990078137415462</v>
      </c>
      <c r="T902">
        <v>1.3574336356151895</v>
      </c>
      <c r="U902">
        <v>0.21737531063070495</v>
      </c>
      <c r="V902">
        <v>0.2412750091722948</v>
      </c>
      <c r="W902">
        <v>0.10296634547623482</v>
      </c>
      <c r="X902">
        <v>1.6933819681189871E-2</v>
      </c>
      <c r="Y902">
        <v>4.5114853084006201E-3</v>
      </c>
    </row>
    <row r="903" spans="1:25" x14ac:dyDescent="0.2">
      <c r="A903" s="1077"/>
      <c r="B903" s="1444">
        <v>653</v>
      </c>
      <c r="C903" s="1081">
        <v>1.0078874776656046</v>
      </c>
      <c r="D903" s="1081">
        <v>0.99434379311632792</v>
      </c>
      <c r="E903" s="1081">
        <v>1.0311409354421468</v>
      </c>
      <c r="F903" s="1081">
        <v>0.97284079960045822</v>
      </c>
      <c r="G903" s="1081">
        <v>1.022475838752122</v>
      </c>
      <c r="H903" s="1081">
        <v>1.0295568492089908</v>
      </c>
      <c r="I903" s="1081">
        <v>0.9815354435751269</v>
      </c>
      <c r="K903">
        <v>2.3852511833316683</v>
      </c>
      <c r="L903">
        <v>0</v>
      </c>
      <c r="M903">
        <v>1.5739366572203697E-3</v>
      </c>
      <c r="N903">
        <v>0.15741633526535265</v>
      </c>
      <c r="O903">
        <v>2.0867946900230423E-2</v>
      </c>
      <c r="P903">
        <v>2.8614903724812544E-2</v>
      </c>
      <c r="Q903">
        <v>5.6328492178766981E-3</v>
      </c>
      <c r="R903">
        <v>1.5537574947719101E-3</v>
      </c>
      <c r="S903">
        <v>0.2552788212146811</v>
      </c>
      <c r="T903">
        <v>1.3350432299908794</v>
      </c>
      <c r="U903">
        <v>0.21042039861684189</v>
      </c>
      <c r="V903">
        <v>0.24876772216381343</v>
      </c>
      <c r="W903">
        <v>0.10153830405822793</v>
      </c>
      <c r="X903">
        <v>1.746203563665024E-2</v>
      </c>
      <c r="Y903">
        <v>4.2288157047486417E-3</v>
      </c>
    </row>
    <row r="904" spans="1:25" x14ac:dyDescent="0.2">
      <c r="A904" s="1077"/>
      <c r="B904" s="1444">
        <v>654</v>
      </c>
      <c r="C904" s="1081">
        <v>0.97899828482283668</v>
      </c>
      <c r="D904" s="1081">
        <v>1.0188284000382943</v>
      </c>
      <c r="E904" s="1081">
        <v>1.006674597569341</v>
      </c>
      <c r="F904" s="1081">
        <v>1.0226362629486947</v>
      </c>
      <c r="G904" s="1081">
        <v>0.99114785063678212</v>
      </c>
      <c r="H904" s="1081">
        <v>1.0157190997543122</v>
      </c>
      <c r="I904" s="1081">
        <v>1.0113998616972368</v>
      </c>
      <c r="K904">
        <v>2.4656386323449224</v>
      </c>
      <c r="L904">
        <v>0</v>
      </c>
      <c r="M904">
        <v>1.6730965443182979E-3</v>
      </c>
      <c r="N904">
        <v>0.15539927926544991</v>
      </c>
      <c r="O904">
        <v>2.1352505914470063E-2</v>
      </c>
      <c r="P904">
        <v>2.9221871250647395E-2</v>
      </c>
      <c r="Q904">
        <v>5.6250632262666274E-3</v>
      </c>
      <c r="R904">
        <v>1.651353837914628E-3</v>
      </c>
      <c r="S904">
        <v>0.26613332266613837</v>
      </c>
      <c r="T904">
        <v>1.402835098121396</v>
      </c>
      <c r="U904">
        <v>0.21654400771447918</v>
      </c>
      <c r="V904">
        <v>0.24533450557690345</v>
      </c>
      <c r="W904">
        <v>0.10168364551792133</v>
      </c>
      <c r="X904">
        <v>1.7036635019496781E-2</v>
      </c>
      <c r="Y904">
        <v>4.4944407781572519E-3</v>
      </c>
    </row>
    <row r="905" spans="1:25" x14ac:dyDescent="0.2">
      <c r="A905" s="1077"/>
      <c r="B905" s="1444">
        <v>655</v>
      </c>
      <c r="C905" s="1081">
        <v>1.0196793762061338</v>
      </c>
      <c r="D905" s="1081">
        <v>1.0202083704151361</v>
      </c>
      <c r="E905" s="1081">
        <v>1.0288649203033653</v>
      </c>
      <c r="F905" s="1081">
        <v>1.0193849881106996</v>
      </c>
      <c r="G905" s="1081">
        <v>0.99774873280219645</v>
      </c>
      <c r="H905" s="1081">
        <v>1.0061461728326193</v>
      </c>
      <c r="I905" s="1081">
        <v>0.96343609856514945</v>
      </c>
      <c r="K905">
        <v>2.4182674454809279</v>
      </c>
      <c r="L905">
        <v>0</v>
      </c>
      <c r="M905">
        <v>1.5189820368750944E-3</v>
      </c>
      <c r="N905">
        <v>0.15083569951763803</v>
      </c>
      <c r="O905">
        <v>2.0508941933175446E-2</v>
      </c>
      <c r="P905">
        <v>2.9178401041468415E-2</v>
      </c>
      <c r="Q905">
        <v>5.5235002020389235E-3</v>
      </c>
      <c r="R905">
        <v>1.4990543093286357E-3</v>
      </c>
      <c r="S905">
        <v>0.24263907206284585</v>
      </c>
      <c r="T905">
        <v>1.3988660068856202</v>
      </c>
      <c r="U905">
        <v>0.20797936549528193</v>
      </c>
      <c r="V905">
        <v>0.24384035875401366</v>
      </c>
      <c r="W905">
        <v>9.7422220874989307E-2</v>
      </c>
      <c r="X905">
        <v>1.7413874774528569E-2</v>
      </c>
      <c r="Y905">
        <v>4.079931666872285E-3</v>
      </c>
    </row>
    <row r="906" spans="1:25" x14ac:dyDescent="0.2">
      <c r="A906" s="1077"/>
      <c r="B906" s="1444">
        <v>656</v>
      </c>
      <c r="C906" s="1081">
        <v>1.0301444083380458</v>
      </c>
      <c r="D906" s="1081">
        <v>0.9943127415086751</v>
      </c>
      <c r="E906" s="1081">
        <v>1.0132599063434484</v>
      </c>
      <c r="F906" s="1081">
        <v>0.97557343177930544</v>
      </c>
      <c r="G906" s="1081">
        <v>1.0067862101037746</v>
      </c>
      <c r="H906" s="1081">
        <v>0.98588838660843536</v>
      </c>
      <c r="I906" s="1081">
        <v>1.0165257620345298</v>
      </c>
      <c r="K906">
        <v>2.357930995136889</v>
      </c>
      <c r="L906">
        <v>0</v>
      </c>
      <c r="M906">
        <v>1.5305395877017037E-3</v>
      </c>
      <c r="N906">
        <v>0.14495518547287067</v>
      </c>
      <c r="O906">
        <v>2.0405648391951806E-2</v>
      </c>
      <c r="P906">
        <v>2.816610373192564E-2</v>
      </c>
      <c r="Q906">
        <v>5.4111296636308853E-3</v>
      </c>
      <c r="R906">
        <v>1.5100476496282787E-3</v>
      </c>
      <c r="S906">
        <v>0.25485276191554429</v>
      </c>
      <c r="T906">
        <v>1.338414329222771</v>
      </c>
      <c r="U906">
        <v>0.20581459768459465</v>
      </c>
      <c r="V906">
        <v>0.24481621385471589</v>
      </c>
      <c r="W906">
        <v>9.448206263329896E-2</v>
      </c>
      <c r="X906">
        <v>1.6523602588440489E-2</v>
      </c>
      <c r="Y906">
        <v>4.109851915214258E-3</v>
      </c>
    </row>
    <row r="907" spans="1:25" x14ac:dyDescent="0.2">
      <c r="A907" s="1077"/>
      <c r="B907" s="1444">
        <v>657</v>
      </c>
      <c r="C907" s="1081">
        <v>0.99236255394111561</v>
      </c>
      <c r="D907" s="1081">
        <v>0.96814699617740985</v>
      </c>
      <c r="E907" s="1081">
        <v>1.0054491074168086</v>
      </c>
      <c r="F907" s="1081">
        <v>0.98937627948223483</v>
      </c>
      <c r="G907" s="1081">
        <v>0.97062291820726421</v>
      </c>
      <c r="H907" s="1081">
        <v>1.0008360293074372</v>
      </c>
      <c r="I907" s="1081">
        <v>1.0177148125396183</v>
      </c>
      <c r="K907">
        <v>2.4104923658324355</v>
      </c>
      <c r="L907">
        <v>0</v>
      </c>
      <c r="M907">
        <v>1.64892935441265E-3</v>
      </c>
      <c r="N907">
        <v>0.15255897410658059</v>
      </c>
      <c r="O907">
        <v>2.1301918169133082E-2</v>
      </c>
      <c r="P907">
        <v>2.8519008324657515E-2</v>
      </c>
      <c r="Q907">
        <v>5.6048511036138624E-3</v>
      </c>
      <c r="R907">
        <v>1.6271820548593131E-3</v>
      </c>
      <c r="S907">
        <v>0.26970027683381842</v>
      </c>
      <c r="T907">
        <v>1.3571833608998072</v>
      </c>
      <c r="U907">
        <v>0.21362355757916551</v>
      </c>
      <c r="V907">
        <v>0.24097589430502578</v>
      </c>
      <c r="W907">
        <v>9.9897514430730486E-2</v>
      </c>
      <c r="X907">
        <v>1.6720104226549837E-2</v>
      </c>
      <c r="Y907">
        <v>4.4286531529068264E-3</v>
      </c>
    </row>
    <row r="908" spans="1:25" x14ac:dyDescent="0.2">
      <c r="A908" s="1077"/>
      <c r="B908" s="1444">
        <v>658</v>
      </c>
      <c r="C908" s="1081">
        <v>1.0024873928386511</v>
      </c>
      <c r="D908" s="1081">
        <v>0.98599918184943869</v>
      </c>
      <c r="E908" s="1081">
        <v>1.0213364498477195</v>
      </c>
      <c r="F908" s="1081">
        <v>1.0257048445778871</v>
      </c>
      <c r="G908" s="1081">
        <v>1.0321884417260443</v>
      </c>
      <c r="H908" s="1081">
        <v>0.96940320279294856</v>
      </c>
      <c r="I908" s="1081">
        <v>1.0359808574927947</v>
      </c>
      <c r="K908">
        <v>2.4577942461213347</v>
      </c>
      <c r="L908">
        <v>0</v>
      </c>
      <c r="M908">
        <v>1.5235177841241604E-3</v>
      </c>
      <c r="N908">
        <v>0.1478155915646337</v>
      </c>
      <c r="O908">
        <v>2.1012753720474241E-2</v>
      </c>
      <c r="P908">
        <v>2.9614848052129401E-2</v>
      </c>
      <c r="Q908">
        <v>5.6171078919842795E-3</v>
      </c>
      <c r="R908">
        <v>1.5027729820164403E-3</v>
      </c>
      <c r="S908">
        <v>0.26664029976322928</v>
      </c>
      <c r="T908">
        <v>1.4073706896476821</v>
      </c>
      <c r="U908">
        <v>0.21152030353949858</v>
      </c>
      <c r="V908">
        <v>0.25079423751166519</v>
      </c>
      <c r="W908">
        <v>9.5891332751246269E-2</v>
      </c>
      <c r="X908">
        <v>1.7447773812828013E-2</v>
      </c>
      <c r="Y908">
        <v>4.0900526680683674E-3</v>
      </c>
    </row>
    <row r="909" spans="1:25" x14ac:dyDescent="0.2">
      <c r="A909" s="1077"/>
      <c r="B909" s="1444">
        <v>659</v>
      </c>
      <c r="C909" s="1081">
        <v>0.97417023863193897</v>
      </c>
      <c r="D909" s="1081">
        <v>1.0254782919726229</v>
      </c>
      <c r="E909" s="1081">
        <v>1.0418362631416072</v>
      </c>
      <c r="F909" s="1081">
        <v>0.98518775517595392</v>
      </c>
      <c r="G909" s="1081">
        <v>1.0002310315403717</v>
      </c>
      <c r="H909" s="1081">
        <v>1.0005821226812108</v>
      </c>
      <c r="I909" s="1081">
        <v>0.98596511082300864</v>
      </c>
      <c r="K909">
        <v>2.4151694929061969</v>
      </c>
      <c r="L909">
        <v>0</v>
      </c>
      <c r="M909">
        <v>1.5372085445611037E-3</v>
      </c>
      <c r="N909">
        <v>0.15871858213015994</v>
      </c>
      <c r="O909">
        <v>2.1451549310110733E-2</v>
      </c>
      <c r="P909">
        <v>2.920816209901823E-2</v>
      </c>
      <c r="Q909">
        <v>5.8517151019754875E-3</v>
      </c>
      <c r="R909">
        <v>1.516929556986839E-3</v>
      </c>
      <c r="S909">
        <v>0.25887773099379918</v>
      </c>
      <c r="T909">
        <v>1.3522166313605402</v>
      </c>
      <c r="U909">
        <v>0.21774104245360171</v>
      </c>
      <c r="V909">
        <v>0.24707933732029677</v>
      </c>
      <c r="W909">
        <v>0.10174786203156973</v>
      </c>
      <c r="X909">
        <v>1.8168576894274473E-2</v>
      </c>
      <c r="Y909">
        <v>4.1285821984241083E-3</v>
      </c>
    </row>
    <row r="910" spans="1:25" x14ac:dyDescent="0.2">
      <c r="A910" s="1077"/>
      <c r="B910" s="1444">
        <v>660</v>
      </c>
      <c r="C910" s="1081">
        <v>1.0144509719075008</v>
      </c>
      <c r="D910" s="1081">
        <v>1.0356237863022657</v>
      </c>
      <c r="E910" s="1081">
        <v>0.9892045609029414</v>
      </c>
      <c r="F910" s="1081">
        <v>1.0112200469898616</v>
      </c>
      <c r="G910" s="1081">
        <v>1.0445618395991758</v>
      </c>
      <c r="H910" s="1081">
        <v>0.98050711526085943</v>
      </c>
      <c r="I910" s="1081">
        <v>1.0108051472781989</v>
      </c>
      <c r="K910">
        <v>2.4095794406015174</v>
      </c>
      <c r="L910">
        <v>0</v>
      </c>
      <c r="M910">
        <v>1.6103480889384006E-3</v>
      </c>
      <c r="N910">
        <v>0.1418131493865</v>
      </c>
      <c r="O910">
        <v>2.0520957516359243E-2</v>
      </c>
      <c r="P910">
        <v>2.8418893546479473E-2</v>
      </c>
      <c r="Q910">
        <v>5.3117911891681973E-3</v>
      </c>
      <c r="R910">
        <v>1.5886692893230618E-3</v>
      </c>
      <c r="S910">
        <v>0.25150746440958865</v>
      </c>
      <c r="T910">
        <v>1.386792601453205</v>
      </c>
      <c r="U910">
        <v>0.2089174548302867</v>
      </c>
      <c r="V910">
        <v>0.25229355169546464</v>
      </c>
      <c r="W910">
        <v>9.3763838500937308E-2</v>
      </c>
      <c r="X910">
        <v>1.5937582772295015E-2</v>
      </c>
      <c r="Y910">
        <v>4.3238341008468963E-3</v>
      </c>
    </row>
    <row r="911" spans="1:25" x14ac:dyDescent="0.2">
      <c r="A911" s="1077"/>
      <c r="B911" s="1444">
        <v>661</v>
      </c>
      <c r="C911" s="1081">
        <v>0.99421844360966127</v>
      </c>
      <c r="D911" s="1081">
        <v>1.0408566803412427</v>
      </c>
      <c r="E911" s="1081">
        <v>0.96708586856035161</v>
      </c>
      <c r="F911" s="1081">
        <v>0.99621774661041418</v>
      </c>
      <c r="G911" s="1081">
        <v>0.99086491530614917</v>
      </c>
      <c r="H911" s="1081">
        <v>0.99805868367272921</v>
      </c>
      <c r="I911" s="1081">
        <v>1.0075095308230027</v>
      </c>
      <c r="K911">
        <v>2.394072430493432</v>
      </c>
      <c r="L911">
        <v>0</v>
      </c>
      <c r="M911">
        <v>1.748839701771014E-3</v>
      </c>
      <c r="N911">
        <v>0.14407293644676172</v>
      </c>
      <c r="O911">
        <v>2.0900774262373988E-2</v>
      </c>
      <c r="P911">
        <v>2.7682168026437817E-2</v>
      </c>
      <c r="Q911">
        <v>5.2897120046439582E-3</v>
      </c>
      <c r="R911">
        <v>1.7257105266285941E-3</v>
      </c>
      <c r="S911">
        <v>0.25646833315411199</v>
      </c>
      <c r="T911">
        <v>1.365743943242762</v>
      </c>
      <c r="U911">
        <v>0.21309318531280846</v>
      </c>
      <c r="V911">
        <v>0.24445224608586821</v>
      </c>
      <c r="W911">
        <v>9.6540658165984811E-2</v>
      </c>
      <c r="X911">
        <v>1.5154787793659093E-2</v>
      </c>
      <c r="Y911">
        <v>4.6968151731608199E-3</v>
      </c>
    </row>
    <row r="912" spans="1:25" x14ac:dyDescent="0.2">
      <c r="A912" s="1077"/>
      <c r="B912" s="1444">
        <v>662</v>
      </c>
      <c r="C912" s="1081">
        <v>0.99285612901016573</v>
      </c>
      <c r="D912" s="1081">
        <v>0.99534100528646086</v>
      </c>
      <c r="E912" s="1081">
        <v>0.9626726954146182</v>
      </c>
      <c r="F912" s="1081">
        <v>0.97162177075406664</v>
      </c>
      <c r="G912" s="1081">
        <v>0.98405509287315218</v>
      </c>
      <c r="H912" s="1081">
        <v>0.999611679036157</v>
      </c>
      <c r="I912" s="1081">
        <v>0.978426779454735</v>
      </c>
      <c r="K912">
        <v>2.3599900098086759</v>
      </c>
      <c r="L912">
        <v>0</v>
      </c>
      <c r="M912">
        <v>1.7875015259326173E-3</v>
      </c>
      <c r="N912">
        <v>0.14530560934281483</v>
      </c>
      <c r="O912">
        <v>2.1133417135915569E-2</v>
      </c>
      <c r="P912">
        <v>2.7111589954763201E-2</v>
      </c>
      <c r="Q912">
        <v>5.3244510704483061E-3</v>
      </c>
      <c r="R912">
        <v>1.763897758982249E-3</v>
      </c>
      <c r="S912">
        <v>0.25512564646734637</v>
      </c>
      <c r="T912">
        <v>1.3319325459434972</v>
      </c>
      <c r="U912">
        <v>0.2133704676687978</v>
      </c>
      <c r="V912">
        <v>0.24339031610408984</v>
      </c>
      <c r="W912">
        <v>9.7629597957482966E-2</v>
      </c>
      <c r="X912">
        <v>1.4889223699256826E-2</v>
      </c>
      <c r="Y912">
        <v>4.8007482312097073E-3</v>
      </c>
    </row>
    <row r="913" spans="1:25" x14ac:dyDescent="0.2">
      <c r="A913" s="1077"/>
      <c r="B913" s="1444">
        <v>663</v>
      </c>
      <c r="C913" s="1081">
        <v>1.0110709548077481</v>
      </c>
      <c r="D913" s="1081">
        <v>0.9788482771610898</v>
      </c>
      <c r="E913" s="1081">
        <v>0.9959543719488122</v>
      </c>
      <c r="F913" s="1081">
        <v>1.0282705592718575</v>
      </c>
      <c r="G913" s="1081">
        <v>1.0031857831320343</v>
      </c>
      <c r="H913" s="1081">
        <v>0.98128324364757358</v>
      </c>
      <c r="I913" s="1081">
        <v>0.99172042890702694</v>
      </c>
      <c r="K913">
        <v>2.4366659656388885</v>
      </c>
      <c r="L913">
        <v>0</v>
      </c>
      <c r="M913">
        <v>1.6144562777829362E-3</v>
      </c>
      <c r="N913">
        <v>0.14510719698197619</v>
      </c>
      <c r="O913">
        <v>2.0850992360382046E-2</v>
      </c>
      <c r="P913">
        <v>2.8844402021709667E-2</v>
      </c>
      <c r="Q913">
        <v>5.4341150809167097E-3</v>
      </c>
      <c r="R913">
        <v>1.592739363180748E-3</v>
      </c>
      <c r="S913">
        <v>0.25480710727775535</v>
      </c>
      <c r="T913">
        <v>1.410325652994513</v>
      </c>
      <c r="U913">
        <v>0.20963866030288594</v>
      </c>
      <c r="V913">
        <v>0.24540659487238198</v>
      </c>
      <c r="W913">
        <v>9.555541765857567E-2</v>
      </c>
      <c r="X913">
        <v>1.6382631502206695E-2</v>
      </c>
      <c r="Y913">
        <v>4.3349115001880319E-3</v>
      </c>
    </row>
    <row r="914" spans="1:25" x14ac:dyDescent="0.2">
      <c r="A914" s="1077"/>
      <c r="B914" s="1444">
        <v>664</v>
      </c>
      <c r="C914" s="1081">
        <v>1.0097218914801944</v>
      </c>
      <c r="D914" s="1081">
        <v>1.0184907943580344</v>
      </c>
      <c r="E914" s="1081">
        <v>0.96284044701012705</v>
      </c>
      <c r="F914" s="1081">
        <v>0.98211827120765482</v>
      </c>
      <c r="G914" s="1081">
        <v>0.99738833483334355</v>
      </c>
      <c r="H914" s="1081">
        <v>0.97980107916906256</v>
      </c>
      <c r="I914" s="1081">
        <v>0.99657797604194387</v>
      </c>
      <c r="K914">
        <v>2.3571179870656334</v>
      </c>
      <c r="L914">
        <v>0</v>
      </c>
      <c r="M914">
        <v>1.7135255684104607E-3</v>
      </c>
      <c r="N914">
        <v>0.13932522029200839</v>
      </c>
      <c r="O914">
        <v>2.0675680873970273E-2</v>
      </c>
      <c r="P914">
        <v>2.7219580484125528E-2</v>
      </c>
      <c r="Q914">
        <v>5.2100237027908804E-3</v>
      </c>
      <c r="R914">
        <v>1.6904411523019295E-3</v>
      </c>
      <c r="S914">
        <v>0.25094436019920063</v>
      </c>
      <c r="T914">
        <v>1.3463250452165354</v>
      </c>
      <c r="U914">
        <v>0.20980702534926937</v>
      </c>
      <c r="V914">
        <v>0.24461998529597567</v>
      </c>
      <c r="W914">
        <v>9.3601813291644437E-2</v>
      </c>
      <c r="X914">
        <v>1.4811513213428822E-2</v>
      </c>
      <c r="Y914">
        <v>4.6008235627897623E-3</v>
      </c>
    </row>
    <row r="915" spans="1:25" x14ac:dyDescent="0.2">
      <c r="A915" s="1077"/>
      <c r="B915" s="1444">
        <v>665</v>
      </c>
      <c r="C915" s="1081">
        <v>0.99055667037235529</v>
      </c>
      <c r="D915" s="1081">
        <v>1.0348914339739199</v>
      </c>
      <c r="E915" s="1081">
        <v>0.99531825854987599</v>
      </c>
      <c r="F915" s="1081">
        <v>1.0022836252373557</v>
      </c>
      <c r="G915" s="1081">
        <v>1.0313832966370329</v>
      </c>
      <c r="H915" s="1081">
        <v>1.0440104058565549</v>
      </c>
      <c r="I915" s="1081">
        <v>0.96761637574021897</v>
      </c>
      <c r="K915">
        <v>2.426274433520931</v>
      </c>
      <c r="L915">
        <v>0</v>
      </c>
      <c r="M915">
        <v>1.7341722385795814E-3</v>
      </c>
      <c r="N915">
        <v>0.15569534362952797</v>
      </c>
      <c r="O915">
        <v>2.1023297413625595E-2</v>
      </c>
      <c r="P915">
        <v>2.8448700476788935E-2</v>
      </c>
      <c r="Q915">
        <v>5.4755099603943777E-3</v>
      </c>
      <c r="R915">
        <v>1.7122465308539515E-3</v>
      </c>
      <c r="S915">
        <v>0.25193987455173228</v>
      </c>
      <c r="T915">
        <v>1.3746694668416868</v>
      </c>
      <c r="U915">
        <v>0.21397805283352855</v>
      </c>
      <c r="V915">
        <v>0.25150277583143599</v>
      </c>
      <c r="W915">
        <v>0.10256678615220764</v>
      </c>
      <c r="X915">
        <v>1.6336380922659367E-2</v>
      </c>
      <c r="Y915">
        <v>4.6601706150672575E-3</v>
      </c>
    </row>
    <row r="916" spans="1:25" x14ac:dyDescent="0.2">
      <c r="A916" s="1077"/>
      <c r="B916" s="1444">
        <v>666</v>
      </c>
      <c r="C916" s="1081">
        <v>0.98779323718036882</v>
      </c>
      <c r="D916" s="1081">
        <v>0.98109449695646844</v>
      </c>
      <c r="E916" s="1081">
        <v>1.0320999695101778</v>
      </c>
      <c r="F916" s="1081">
        <v>0.98033425909947902</v>
      </c>
      <c r="G916" s="1081">
        <v>1.0301340137296737</v>
      </c>
      <c r="H916" s="1081">
        <v>1.0136471528034623</v>
      </c>
      <c r="I916" s="1081">
        <v>0.99349391004284471</v>
      </c>
      <c r="K916">
        <v>2.414596577217996</v>
      </c>
      <c r="L916">
        <v>0</v>
      </c>
      <c r="M916">
        <v>1.5826441402221401E-3</v>
      </c>
      <c r="N916">
        <v>0.15871307822591041</v>
      </c>
      <c r="O916">
        <v>2.1356034089784127E-2</v>
      </c>
      <c r="P916">
        <v>2.8997100558727274E-2</v>
      </c>
      <c r="Q916">
        <v>5.7700614314022862E-3</v>
      </c>
      <c r="R916">
        <v>1.5620348664854814E-3</v>
      </c>
      <c r="S916">
        <v>0.264058206973807</v>
      </c>
      <c r="T916">
        <v>1.345347069886601</v>
      </c>
      <c r="U916">
        <v>0.21470422212343573</v>
      </c>
      <c r="V916">
        <v>0.25133089145841164</v>
      </c>
      <c r="W916">
        <v>0.10231783916652172</v>
      </c>
      <c r="X916">
        <v>1.7771338595213924E-2</v>
      </c>
      <c r="Y916">
        <v>4.2513439819181322E-3</v>
      </c>
    </row>
    <row r="917" spans="1:25" x14ac:dyDescent="0.2">
      <c r="A917" s="1077"/>
      <c r="B917" s="1444">
        <v>667</v>
      </c>
      <c r="C917" s="1081">
        <v>1.0139302916251145</v>
      </c>
      <c r="D917" s="1081">
        <v>0.9630344596151752</v>
      </c>
      <c r="E917" s="1081">
        <v>1.0034067258913162</v>
      </c>
      <c r="F917" s="1081">
        <v>0.99331919422440262</v>
      </c>
      <c r="G917" s="1081">
        <v>0.98786746243493462</v>
      </c>
      <c r="H917" s="1081">
        <v>0.97020520680875855</v>
      </c>
      <c r="I917" s="1081">
        <v>0.9966604852838411</v>
      </c>
      <c r="K917">
        <v>2.3854640789981345</v>
      </c>
      <c r="L917">
        <v>0</v>
      </c>
      <c r="M917">
        <v>1.5729395557753023E-3</v>
      </c>
      <c r="N917">
        <v>0.14457244367804833</v>
      </c>
      <c r="O917">
        <v>2.0871746895085912E-2</v>
      </c>
      <c r="P917">
        <v>2.8329685652988681E-2</v>
      </c>
      <c r="Q917">
        <v>5.4804315690850968E-3</v>
      </c>
      <c r="R917">
        <v>1.5515395125070609E-3</v>
      </c>
      <c r="S917">
        <v>0.25659533944978563</v>
      </c>
      <c r="T917">
        <v>1.3625481628811968</v>
      </c>
      <c r="U917">
        <v>0.20907259086608035</v>
      </c>
      <c r="V917">
        <v>0.24258997326745341</v>
      </c>
      <c r="W917">
        <v>9.4782418763917159E-2</v>
      </c>
      <c r="X917">
        <v>1.6419906929575991E-2</v>
      </c>
      <c r="Y917">
        <v>4.2227790881813818E-3</v>
      </c>
    </row>
    <row r="918" spans="1:25" x14ac:dyDescent="0.2">
      <c r="A918" s="1077"/>
      <c r="B918" s="1444">
        <v>668</v>
      </c>
      <c r="C918" s="1081">
        <v>0.97221910951048862</v>
      </c>
      <c r="D918" s="1081">
        <v>1.015901810877418</v>
      </c>
      <c r="E918" s="1081">
        <v>0.95525283820709961</v>
      </c>
      <c r="F918" s="1081">
        <v>1.0180797411419009</v>
      </c>
      <c r="G918" s="1081">
        <v>0.99115174844716947</v>
      </c>
      <c r="H918" s="1081">
        <v>1.0066519406622831</v>
      </c>
      <c r="I918" s="1081">
        <v>0.99565895002963245</v>
      </c>
      <c r="K918">
        <v>2.4445586341800052</v>
      </c>
      <c r="L918">
        <v>0</v>
      </c>
      <c r="M918">
        <v>1.8582476445760728E-3</v>
      </c>
      <c r="N918">
        <v>0.14771179804097467</v>
      </c>
      <c r="O918">
        <v>2.1480133588714697E-2</v>
      </c>
      <c r="P918">
        <v>2.799120155153767E-2</v>
      </c>
      <c r="Q918">
        <v>5.3706663742244601E-3</v>
      </c>
      <c r="R918">
        <v>1.8338812947944856E-3</v>
      </c>
      <c r="S918">
        <v>0.26298148980624686</v>
      </c>
      <c r="T918">
        <v>1.3954567663967068</v>
      </c>
      <c r="U918">
        <v>0.21787371125926933</v>
      </c>
      <c r="V918">
        <v>0.24596383592055876</v>
      </c>
      <c r="W918">
        <v>9.9699471600397174E-2</v>
      </c>
      <c r="X918">
        <v>1.5062705645530913E-2</v>
      </c>
      <c r="Y918">
        <v>4.9912203456242352E-3</v>
      </c>
    </row>
    <row r="919" spans="1:25" x14ac:dyDescent="0.2">
      <c r="A919" s="1077"/>
      <c r="B919" s="1444">
        <v>669</v>
      </c>
      <c r="C919" s="1081">
        <v>1.010110492065087</v>
      </c>
      <c r="D919" s="1081">
        <v>1.015387648638038</v>
      </c>
      <c r="E919" s="1081">
        <v>0.98106396088058212</v>
      </c>
      <c r="F919" s="1081">
        <v>1.0118690378526214</v>
      </c>
      <c r="G919" s="1081">
        <v>1.0256056498047526</v>
      </c>
      <c r="H919" s="1081">
        <v>0.9866790612573163</v>
      </c>
      <c r="I919" s="1081">
        <v>0.97086726780827726</v>
      </c>
      <c r="K919">
        <v>2.4040928922338889</v>
      </c>
      <c r="L919">
        <v>0</v>
      </c>
      <c r="M919">
        <v>1.6622984160898349E-3</v>
      </c>
      <c r="N919">
        <v>0.1428400080318111</v>
      </c>
      <c r="O919">
        <v>2.0693484994449229E-2</v>
      </c>
      <c r="P919">
        <v>2.8144892882302479E-2</v>
      </c>
      <c r="Q919">
        <v>5.3124377974714454E-3</v>
      </c>
      <c r="R919">
        <v>1.6400602332046126E-3</v>
      </c>
      <c r="S919">
        <v>0.24545042674094253</v>
      </c>
      <c r="T919">
        <v>1.3875050171548295</v>
      </c>
      <c r="U919">
        <v>0.20978769785155282</v>
      </c>
      <c r="V919">
        <v>0.24935035250418272</v>
      </c>
      <c r="W919">
        <v>9.4906257716233372E-2</v>
      </c>
      <c r="X919">
        <v>1.5660851433927363E-2</v>
      </c>
      <c r="Y919">
        <v>4.4637033090723817E-3</v>
      </c>
    </row>
    <row r="920" spans="1:25" x14ac:dyDescent="0.2">
      <c r="A920" s="1077"/>
      <c r="B920" s="1444">
        <v>670</v>
      </c>
      <c r="C920" s="1081">
        <v>1.0118212552170858</v>
      </c>
      <c r="D920" s="1081">
        <v>1.0370220116780988</v>
      </c>
      <c r="E920" s="1081">
        <v>1.0013671033564551</v>
      </c>
      <c r="F920" s="1081">
        <v>1.0132072512596684</v>
      </c>
      <c r="G920" s="1081">
        <v>1.0184680101438959</v>
      </c>
      <c r="H920" s="1081">
        <v>0.96625577983752076</v>
      </c>
      <c r="I920" s="1081">
        <v>0.99455707240211333</v>
      </c>
      <c r="K920">
        <v>2.4038294651623526</v>
      </c>
      <c r="L920">
        <v>0</v>
      </c>
      <c r="M920">
        <v>1.5509963601140909E-3</v>
      </c>
      <c r="N920">
        <v>0.14167201408156371</v>
      </c>
      <c r="O920">
        <v>2.0576093501055891E-2</v>
      </c>
      <c r="P920">
        <v>2.8604764202076201E-2</v>
      </c>
      <c r="Q920">
        <v>5.3917491063307822E-3</v>
      </c>
      <c r="R920">
        <v>1.5298086075611801E-3</v>
      </c>
      <c r="S920">
        <v>0.24685431065830038</v>
      </c>
      <c r="T920">
        <v>1.3897841378923286</v>
      </c>
      <c r="U920">
        <v>0.20950148796401716</v>
      </c>
      <c r="V920">
        <v>0.24795093190396139</v>
      </c>
      <c r="W920">
        <v>9.2993332600550135E-2</v>
      </c>
      <c r="X920">
        <v>1.6358196276212867E-2</v>
      </c>
      <c r="Y920">
        <v>4.1636347285095845E-3</v>
      </c>
    </row>
    <row r="921" spans="1:25" x14ac:dyDescent="0.2">
      <c r="A921" s="1077"/>
      <c r="B921" s="1444">
        <v>671</v>
      </c>
      <c r="C921" s="1081">
        <v>0.9731465855473691</v>
      </c>
      <c r="D921" s="1081">
        <v>1.0000066201918452</v>
      </c>
      <c r="E921" s="1081">
        <v>1.0102098461655289</v>
      </c>
      <c r="F921" s="1081">
        <v>0.97471242939297731</v>
      </c>
      <c r="G921" s="1081">
        <v>0.96762608582319998</v>
      </c>
      <c r="H921" s="1081">
        <v>1.0252305433353117</v>
      </c>
      <c r="I921" s="1081">
        <v>0.97452270854574885</v>
      </c>
      <c r="K921">
        <v>2.3977603272627208</v>
      </c>
      <c r="L921">
        <v>0</v>
      </c>
      <c r="M921">
        <v>1.6934222839705437E-3</v>
      </c>
      <c r="N921">
        <v>0.15899447393012711</v>
      </c>
      <c r="O921">
        <v>2.1571618037954866E-2</v>
      </c>
      <c r="P921">
        <v>2.8295894409889756E-2</v>
      </c>
      <c r="Q921">
        <v>5.7029213799685364E-3</v>
      </c>
      <c r="R921">
        <v>1.6716196003512568E-3</v>
      </c>
      <c r="S921">
        <v>0.26121882824232051</v>
      </c>
      <c r="T921">
        <v>1.3371686485635359</v>
      </c>
      <c r="U921">
        <v>0.21785855841940396</v>
      </c>
      <c r="V921">
        <v>0.24168977874566275</v>
      </c>
      <c r="W921">
        <v>0.10381919872651832</v>
      </c>
      <c r="X921">
        <v>1.6912611988055711E-2</v>
      </c>
      <c r="Y921">
        <v>4.5495975029029622E-3</v>
      </c>
    </row>
    <row r="922" spans="1:25" x14ac:dyDescent="0.2">
      <c r="A922" s="1077"/>
      <c r="B922" s="1444">
        <v>672</v>
      </c>
      <c r="C922" s="1081">
        <v>0.96477152141273681</v>
      </c>
      <c r="D922" s="1081">
        <v>1.0196624492561022</v>
      </c>
      <c r="E922" s="1081">
        <v>0.99908014135199419</v>
      </c>
      <c r="F922" s="1081">
        <v>1.0046032987496669</v>
      </c>
      <c r="G922" s="1081">
        <v>1.0335611574328056</v>
      </c>
      <c r="H922" s="1081">
        <v>1.0195278284566214</v>
      </c>
      <c r="I922" s="1081">
        <v>1.0030275538077438</v>
      </c>
      <c r="K922">
        <v>2.4572113710084236</v>
      </c>
      <c r="L922">
        <v>0</v>
      </c>
      <c r="M922">
        <v>1.7308934154831193E-3</v>
      </c>
      <c r="N922">
        <v>0.15712928195545409</v>
      </c>
      <c r="O922">
        <v>2.1658270663250923E-2</v>
      </c>
      <c r="P922">
        <v>2.8898112054642711E-2</v>
      </c>
      <c r="Q922">
        <v>5.662292386321684E-3</v>
      </c>
      <c r="R922">
        <v>1.7084836423632735E-3</v>
      </c>
      <c r="S922">
        <v>0.26798446148438954</v>
      </c>
      <c r="T922">
        <v>1.3779326771013092</v>
      </c>
      <c r="U922">
        <v>0.21971030049348539</v>
      </c>
      <c r="V922">
        <v>0.25354410370362035</v>
      </c>
      <c r="W922">
        <v>0.10327972623152036</v>
      </c>
      <c r="X922">
        <v>1.6784625434515435E-2</v>
      </c>
      <c r="Y922">
        <v>4.6499292730314895E-3</v>
      </c>
    </row>
    <row r="923" spans="1:25" x14ac:dyDescent="0.2">
      <c r="A923" s="1077"/>
      <c r="B923" s="1444">
        <v>673</v>
      </c>
      <c r="C923" s="1081">
        <v>1.0163707038924303</v>
      </c>
      <c r="D923" s="1081">
        <v>0.9957407185685736</v>
      </c>
      <c r="E923" s="1081">
        <v>0.97771067262220335</v>
      </c>
      <c r="F923" s="1081">
        <v>1.0219182802185307</v>
      </c>
      <c r="G923" s="1081">
        <v>1.0068396177090224</v>
      </c>
      <c r="H923" s="1081">
        <v>0.97878154012404839</v>
      </c>
      <c r="I923" s="1081">
        <v>1.0307865693720308</v>
      </c>
      <c r="K923">
        <v>2.425513655441828</v>
      </c>
      <c r="L923">
        <v>0</v>
      </c>
      <c r="M923">
        <v>1.6573471196650832E-3</v>
      </c>
      <c r="N923">
        <v>0.14096143875041314</v>
      </c>
      <c r="O923">
        <v>2.0652435785363632E-2</v>
      </c>
      <c r="P923">
        <v>2.8398265619951322E-2</v>
      </c>
      <c r="Q923">
        <v>5.2838539135099194E-3</v>
      </c>
      <c r="R923">
        <v>1.6349962757184636E-3</v>
      </c>
      <c r="S923">
        <v>0.26083415028112616</v>
      </c>
      <c r="T923">
        <v>1.4012110378872513</v>
      </c>
      <c r="U923">
        <v>0.20848429571358301</v>
      </c>
      <c r="V923">
        <v>0.24577603730668821</v>
      </c>
      <c r="W923">
        <v>9.3848014965909193E-2</v>
      </c>
      <c r="X923">
        <v>1.5636555175847829E-2</v>
      </c>
      <c r="Y923">
        <v>4.4499208861282181E-3</v>
      </c>
    </row>
    <row r="924" spans="1:25" x14ac:dyDescent="0.2">
      <c r="A924" s="1077"/>
      <c r="B924" s="1444">
        <v>674</v>
      </c>
      <c r="C924" s="1081">
        <v>0.99142835104434335</v>
      </c>
      <c r="D924" s="1081">
        <v>0.99784226124779341</v>
      </c>
      <c r="E924" s="1081">
        <v>0.9537420756698598</v>
      </c>
      <c r="F924" s="1081">
        <v>1.026757820392967</v>
      </c>
      <c r="G924" s="1081">
        <v>1.0184562974642539</v>
      </c>
      <c r="H924" s="1081">
        <v>1.0090380735855318</v>
      </c>
      <c r="I924" s="1081">
        <v>1.002843716001417</v>
      </c>
      <c r="K924">
        <v>2.450940655850864</v>
      </c>
      <c r="L924">
        <v>0</v>
      </c>
      <c r="M924">
        <v>1.8394987037630628E-3</v>
      </c>
      <c r="N924">
        <v>0.14555790980945274</v>
      </c>
      <c r="O924">
        <v>2.1146229406011362E-2</v>
      </c>
      <c r="P924">
        <v>2.8094842357098297E-2</v>
      </c>
      <c r="Q924">
        <v>5.2789518266905724E-3</v>
      </c>
      <c r="R924">
        <v>1.8154352394532964E-3</v>
      </c>
      <c r="S924">
        <v>0.26227655448363624</v>
      </c>
      <c r="T924">
        <v>1.4073183700581504</v>
      </c>
      <c r="U924">
        <v>0.21364716893239949</v>
      </c>
      <c r="V924">
        <v>0.24939585641605988</v>
      </c>
      <c r="W924">
        <v>9.8337184733734692E-2</v>
      </c>
      <c r="X924">
        <v>1.4970635028211705E-2</v>
      </c>
      <c r="Y924">
        <v>4.9410162637260257E-3</v>
      </c>
    </row>
    <row r="925" spans="1:25" x14ac:dyDescent="0.2">
      <c r="A925" s="1077"/>
      <c r="B925" s="1444">
        <v>675</v>
      </c>
      <c r="C925" s="1081">
        <v>1.0075384963609926</v>
      </c>
      <c r="D925" s="1081">
        <v>1.0038512708938452</v>
      </c>
      <c r="E925" s="1081">
        <v>0.98762188022003772</v>
      </c>
      <c r="F925" s="1081">
        <v>0.98273291705621713</v>
      </c>
      <c r="G925" s="1081">
        <v>0.99175641841097983</v>
      </c>
      <c r="H925" s="1081">
        <v>0.99366570034988433</v>
      </c>
      <c r="I925" s="1081">
        <v>1.0064943915244675</v>
      </c>
      <c r="K925">
        <v>2.3749887617249459</v>
      </c>
      <c r="L925">
        <v>0</v>
      </c>
      <c r="M925">
        <v>1.6598891935836039E-3</v>
      </c>
      <c r="N925">
        <v>0.14550432741278996</v>
      </c>
      <c r="O925">
        <v>2.0802834356276043E-2</v>
      </c>
      <c r="P925">
        <v>2.7836787694523052E-2</v>
      </c>
      <c r="Q925">
        <v>5.3761394172517785E-3</v>
      </c>
      <c r="R925">
        <v>1.6378393751856888E-3</v>
      </c>
      <c r="S925">
        <v>0.25721723862756302</v>
      </c>
      <c r="T925">
        <v>1.3476916385108137</v>
      </c>
      <c r="U925">
        <v>0.21034542686066382</v>
      </c>
      <c r="V925">
        <v>0.24370075637375713</v>
      </c>
      <c r="W925">
        <v>9.6295738347566912E-2</v>
      </c>
      <c r="X925">
        <v>1.5782265076487761E-2</v>
      </c>
      <c r="Y925">
        <v>4.4576588656505215E-3</v>
      </c>
    </row>
    <row r="926" spans="1:25" x14ac:dyDescent="0.2">
      <c r="A926" s="1077"/>
      <c r="B926" s="1444">
        <v>676</v>
      </c>
      <c r="C926" s="1081">
        <v>1.0046613055284113</v>
      </c>
      <c r="D926" s="1081">
        <v>0.96658399852099453</v>
      </c>
      <c r="E926" s="1081">
        <v>0.96254981216969504</v>
      </c>
      <c r="F926" s="1081">
        <v>1.0194692927058535</v>
      </c>
      <c r="G926" s="1081">
        <v>1.0008081651518321</v>
      </c>
      <c r="H926" s="1081">
        <v>0.98694340153597659</v>
      </c>
      <c r="I926" s="1081">
        <v>1.0168839995298635</v>
      </c>
      <c r="K926">
        <v>2.4315532430059945</v>
      </c>
      <c r="L926">
        <v>0</v>
      </c>
      <c r="M926">
        <v>1.7558408163052795E-3</v>
      </c>
      <c r="N926">
        <v>0.14265428379668366</v>
      </c>
      <c r="O926">
        <v>2.1020149289652075E-2</v>
      </c>
      <c r="P926">
        <v>2.8102705200672363E-2</v>
      </c>
      <c r="Q926">
        <v>5.2952459901541909E-3</v>
      </c>
      <c r="R926">
        <v>1.7323575171296142E-3</v>
      </c>
      <c r="S926">
        <v>0.26483433558790076</v>
      </c>
      <c r="T926">
        <v>1.3975208867464075</v>
      </c>
      <c r="U926">
        <v>0.21086286288235903</v>
      </c>
      <c r="V926">
        <v>0.24551676684419402</v>
      </c>
      <c r="W926">
        <v>9.5855406023046111E-2</v>
      </c>
      <c r="X926">
        <v>1.5199177853976844E-2</v>
      </c>
      <c r="Y926">
        <v>4.7149060901247675E-3</v>
      </c>
    </row>
    <row r="927" spans="1:25" x14ac:dyDescent="0.2">
      <c r="A927" s="1077"/>
      <c r="B927" s="1444">
        <v>677</v>
      </c>
      <c r="C927" s="1081">
        <v>0.97904950342018149</v>
      </c>
      <c r="D927" s="1081">
        <v>1.0120617881324943</v>
      </c>
      <c r="E927" s="1081">
        <v>1.0114935087198782</v>
      </c>
      <c r="F927" s="1081">
        <v>1.0243570095423904</v>
      </c>
      <c r="G927" s="1081">
        <v>0.99180819392408714</v>
      </c>
      <c r="H927" s="1081">
        <v>1.0276306132009267</v>
      </c>
      <c r="I927" s="1081">
        <v>0.97155577841649143</v>
      </c>
      <c r="K927">
        <v>2.4642043598842256</v>
      </c>
      <c r="L927">
        <v>0</v>
      </c>
      <c r="M927">
        <v>1.6782286536377801E-3</v>
      </c>
      <c r="N927">
        <v>0.158184552210476</v>
      </c>
      <c r="O927">
        <v>2.1385975955215037E-2</v>
      </c>
      <c r="P927">
        <v>2.9243002536837575E-2</v>
      </c>
      <c r="Q927">
        <v>5.6610991491362677E-3</v>
      </c>
      <c r="R927">
        <v>1.6566720509734293E-3</v>
      </c>
      <c r="S927">
        <v>0.25752669778012</v>
      </c>
      <c r="T927">
        <v>1.4053025457513055</v>
      </c>
      <c r="U927">
        <v>0.21654952761206375</v>
      </c>
      <c r="V927">
        <v>0.24542710497286871</v>
      </c>
      <c r="W927">
        <v>0.10321223806104075</v>
      </c>
      <c r="X927">
        <v>1.722425725687142E-2</v>
      </c>
      <c r="Y927">
        <v>4.5089152009548435E-3</v>
      </c>
    </row>
    <row r="928" spans="1:25" x14ac:dyDescent="0.2">
      <c r="A928" s="1077"/>
      <c r="B928" s="1444">
        <v>678</v>
      </c>
      <c r="C928" s="1081">
        <v>1.0216745251954251</v>
      </c>
      <c r="D928" s="1081">
        <v>1.0189451696195881</v>
      </c>
      <c r="E928" s="1081">
        <v>1.0029596418965945</v>
      </c>
      <c r="F928" s="1081">
        <v>1.0381728146153091</v>
      </c>
      <c r="G928" s="1081">
        <v>0.96332862579504475</v>
      </c>
      <c r="H928" s="1081">
        <v>0.96352282779747089</v>
      </c>
      <c r="I928" s="1081">
        <v>1.0395326347802305</v>
      </c>
      <c r="K928">
        <v>2.4354895499332643</v>
      </c>
      <c r="L928">
        <v>0</v>
      </c>
      <c r="M928">
        <v>1.5325581294453152E-3</v>
      </c>
      <c r="N928">
        <v>0.14065734570726682</v>
      </c>
      <c r="O928">
        <v>2.0457672066880504E-2</v>
      </c>
      <c r="P928">
        <v>2.9089500864148857E-2</v>
      </c>
      <c r="Q928">
        <v>5.3692959698113272E-3</v>
      </c>
      <c r="R928">
        <v>1.5115628738479399E-3</v>
      </c>
      <c r="S928">
        <v>0.25756492242200246</v>
      </c>
      <c r="T928">
        <v>1.4240643807679052</v>
      </c>
      <c r="U928">
        <v>0.20748633620898266</v>
      </c>
      <c r="V928">
        <v>0.23793490763185351</v>
      </c>
      <c r="W928">
        <v>9.2240106417798187E-2</v>
      </c>
      <c r="X928">
        <v>1.6532101276165879E-2</v>
      </c>
      <c r="Y928">
        <v>4.1139758560466456E-3</v>
      </c>
    </row>
    <row r="929" spans="1:25" x14ac:dyDescent="0.2">
      <c r="A929" s="1077"/>
      <c r="B929" s="1444">
        <v>679</v>
      </c>
      <c r="C929" s="1081">
        <v>1.0031423335970724</v>
      </c>
      <c r="D929" s="1081">
        <v>1.0024300154026589</v>
      </c>
      <c r="E929" s="1081">
        <v>0.9683210609567956</v>
      </c>
      <c r="F929" s="1081">
        <v>0.96948943092624462</v>
      </c>
      <c r="G929" s="1081">
        <v>1.0309404315968298</v>
      </c>
      <c r="H929" s="1081">
        <v>1.0293639204362659</v>
      </c>
      <c r="I929" s="1081">
        <v>1.0226109235630449</v>
      </c>
      <c r="K929">
        <v>2.3784709145215994</v>
      </c>
      <c r="L929">
        <v>0</v>
      </c>
      <c r="M929">
        <v>1.7979151628245088E-3</v>
      </c>
      <c r="N929">
        <v>0.14873155893760298</v>
      </c>
      <c r="O929">
        <v>2.0887796914282865E-2</v>
      </c>
      <c r="P929">
        <v>2.7400761947332399E-2</v>
      </c>
      <c r="Q929">
        <v>5.2931143027474129E-3</v>
      </c>
      <c r="R929">
        <v>1.7748600914280236E-3</v>
      </c>
      <c r="S929">
        <v>0.26559863935615641</v>
      </c>
      <c r="T929">
        <v>1.3291270413241991</v>
      </c>
      <c r="U929">
        <v>0.21120170873979399</v>
      </c>
      <c r="V929">
        <v>0.25073963037033564</v>
      </c>
      <c r="W929">
        <v>9.9587283885287134E-2</v>
      </c>
      <c r="X929">
        <v>1.5095849728861388E-2</v>
      </c>
      <c r="Y929">
        <v>4.8305840863951868E-3</v>
      </c>
    </row>
    <row r="930" spans="1:25" x14ac:dyDescent="0.2">
      <c r="A930" s="1077"/>
      <c r="B930" s="1444">
        <v>680</v>
      </c>
      <c r="C930" s="1081">
        <v>1.0437746219264892</v>
      </c>
      <c r="D930" s="1081">
        <v>1.0122423600861734</v>
      </c>
      <c r="E930" s="1081">
        <v>1.0415222605112078</v>
      </c>
      <c r="F930" s="1081">
        <v>1.001981700022595</v>
      </c>
      <c r="G930" s="1081">
        <v>0.99795480252526214</v>
      </c>
      <c r="H930" s="1081">
        <v>0.99942011014443533</v>
      </c>
      <c r="I930" s="1081">
        <v>1.0108791605986589</v>
      </c>
      <c r="K930">
        <v>2.3897094485039014</v>
      </c>
      <c r="L930">
        <v>0</v>
      </c>
      <c r="M930">
        <v>1.4380770141220365E-3</v>
      </c>
      <c r="N930">
        <v>0.14834046465668357</v>
      </c>
      <c r="O930">
        <v>2.0078149634390141E-2</v>
      </c>
      <c r="P930">
        <v>2.9120153741203633E-2</v>
      </c>
      <c r="Q930">
        <v>5.4753795374176848E-3</v>
      </c>
      <c r="R930">
        <v>1.4190837206341309E-3</v>
      </c>
      <c r="S930">
        <v>0.24923057016473094</v>
      </c>
      <c r="T930">
        <v>1.375260253074938</v>
      </c>
      <c r="U930">
        <v>0.20321988948036337</v>
      </c>
      <c r="V930">
        <v>0.24241820229634869</v>
      </c>
      <c r="W930">
        <v>9.5112060497371642E-2</v>
      </c>
      <c r="X930">
        <v>1.7611040627197462E-2</v>
      </c>
      <c r="Y930">
        <v>3.862278086743322E-3</v>
      </c>
    </row>
    <row r="931" spans="1:25" x14ac:dyDescent="0.2">
      <c r="A931" s="1077"/>
      <c r="B931" s="1444">
        <v>681</v>
      </c>
      <c r="C931" s="1081">
        <v>1.0408868106987621</v>
      </c>
      <c r="D931" s="1081">
        <v>0.98985426696961309</v>
      </c>
      <c r="E931" s="1081">
        <v>1.023186870607959</v>
      </c>
      <c r="F931" s="1081">
        <v>0.99400025287239746</v>
      </c>
      <c r="G931" s="1081">
        <v>0.9768536669440151</v>
      </c>
      <c r="H931" s="1081">
        <v>0.99544350985344343</v>
      </c>
      <c r="I931" s="1081">
        <v>1.0123979508965621</v>
      </c>
      <c r="K931">
        <v>2.3756812809525196</v>
      </c>
      <c r="L931">
        <v>0</v>
      </c>
      <c r="M931">
        <v>1.4996490233390989E-3</v>
      </c>
      <c r="N931">
        <v>0.14636698164613118</v>
      </c>
      <c r="O931">
        <v>2.0221391278622467E-2</v>
      </c>
      <c r="P931">
        <v>2.858596600393307E-2</v>
      </c>
      <c r="Q931">
        <v>5.4155024417970104E-3</v>
      </c>
      <c r="R931">
        <v>1.4797633991308085E-3</v>
      </c>
      <c r="S931">
        <v>0.25263915955287236</v>
      </c>
      <c r="T931">
        <v>1.3639087412961217</v>
      </c>
      <c r="U931">
        <v>0.2037231926268834</v>
      </c>
      <c r="V931">
        <v>0.23904706457768934</v>
      </c>
      <c r="W931">
        <v>9.4849030540341481E-2</v>
      </c>
      <c r="X931">
        <v>1.6916708443774464E-2</v>
      </c>
      <c r="Y931">
        <v>4.0274281685606381E-3</v>
      </c>
    </row>
    <row r="932" spans="1:25" x14ac:dyDescent="0.2">
      <c r="A932" s="1077"/>
      <c r="B932" s="1444">
        <v>682</v>
      </c>
      <c r="C932" s="1081">
        <v>1.0054268653801022</v>
      </c>
      <c r="D932" s="1081">
        <v>0.99491124426964517</v>
      </c>
      <c r="E932" s="1081">
        <v>0.97282668348429702</v>
      </c>
      <c r="F932" s="1081">
        <v>1.0000826960744984</v>
      </c>
      <c r="G932" s="1081">
        <v>1.0151541220360583</v>
      </c>
      <c r="H932" s="1081">
        <v>1.0022191705353742</v>
      </c>
      <c r="I932" s="1081">
        <v>0.9900931716061947</v>
      </c>
      <c r="K932">
        <v>2.4014864416035833</v>
      </c>
      <c r="L932">
        <v>0</v>
      </c>
      <c r="M932">
        <v>1.7332225226687383E-3</v>
      </c>
      <c r="N932">
        <v>0.1452981406081239</v>
      </c>
      <c r="O932">
        <v>2.0877846153311262E-2</v>
      </c>
      <c r="P932">
        <v>2.7875292677172019E-2</v>
      </c>
      <c r="Q932">
        <v>5.3150047346732484E-3</v>
      </c>
      <c r="R932">
        <v>1.7103950497301419E-3</v>
      </c>
      <c r="S932">
        <v>0.25529507819530589</v>
      </c>
      <c r="T932">
        <v>1.371165910990511</v>
      </c>
      <c r="U932">
        <v>0.21073706086629806</v>
      </c>
      <c r="V932">
        <v>0.24788310996460602</v>
      </c>
      <c r="W932">
        <v>9.7022040171728927E-2</v>
      </c>
      <c r="X932">
        <v>1.5384653221003424E-2</v>
      </c>
      <c r="Y932">
        <v>4.6551314937888369E-3</v>
      </c>
    </row>
    <row r="933" spans="1:25" x14ac:dyDescent="0.2">
      <c r="A933" s="1077"/>
      <c r="B933" s="1444">
        <v>683</v>
      </c>
      <c r="C933" s="1081">
        <v>1.0158248981922124</v>
      </c>
      <c r="D933" s="1081">
        <v>1.0137665303516807</v>
      </c>
      <c r="E933" s="1081">
        <v>1.0123042214925142</v>
      </c>
      <c r="F933" s="1081">
        <v>1.0354443151191983</v>
      </c>
      <c r="G933" s="1081">
        <v>1.0067137154793748</v>
      </c>
      <c r="H933" s="1081">
        <v>1.0056232663924622</v>
      </c>
      <c r="I933" s="1081">
        <v>1.0232651178964074</v>
      </c>
      <c r="K933">
        <v>2.457431972054589</v>
      </c>
      <c r="L933">
        <v>0</v>
      </c>
      <c r="M933">
        <v>1.5795840132154652E-3</v>
      </c>
      <c r="N933">
        <v>0.14920891963544494</v>
      </c>
      <c r="O933">
        <v>2.0604649009110299E-2</v>
      </c>
      <c r="P933">
        <v>2.939020079601409E-2</v>
      </c>
      <c r="Q933">
        <v>5.4586908661704622E-3</v>
      </c>
      <c r="R933">
        <v>1.5588504647961049E-3</v>
      </c>
      <c r="S933">
        <v>0.25932124281967572</v>
      </c>
      <c r="T933">
        <v>1.4205312800717691</v>
      </c>
      <c r="U933">
        <v>0.20871262768413607</v>
      </c>
      <c r="V933">
        <v>0.24566123844820725</v>
      </c>
      <c r="W933">
        <v>9.7309357302617638E-2</v>
      </c>
      <c r="X933">
        <v>1.7011821879605354E-2</v>
      </c>
      <c r="Y933">
        <v>4.2426770902573834E-3</v>
      </c>
    </row>
    <row r="934" spans="1:25" x14ac:dyDescent="0.2">
      <c r="A934" s="1077"/>
      <c r="B934" s="1444">
        <v>684</v>
      </c>
      <c r="C934" s="1081">
        <v>0.98419105305942511</v>
      </c>
      <c r="D934" s="1081">
        <v>1.0137987344578183</v>
      </c>
      <c r="E934" s="1081">
        <v>1.0082531947266851</v>
      </c>
      <c r="F934" s="1081">
        <v>0.98709398133537873</v>
      </c>
      <c r="G934" s="1081">
        <v>1.0173833322403203</v>
      </c>
      <c r="H934" s="1081">
        <v>0.9963386731040712</v>
      </c>
      <c r="I934" s="1081">
        <v>1.0164094100178058</v>
      </c>
      <c r="K934">
        <v>2.4120026900520739</v>
      </c>
      <c r="L934">
        <v>0</v>
      </c>
      <c r="M934">
        <v>1.6289434230949676E-3</v>
      </c>
      <c r="N934">
        <v>0.15198225861882358</v>
      </c>
      <c r="O934">
        <v>2.1264046642941938E-2</v>
      </c>
      <c r="P934">
        <v>2.861285169040733E-2</v>
      </c>
      <c r="Q934">
        <v>5.6106187983435193E-3</v>
      </c>
      <c r="R934">
        <v>1.6073627378266949E-3</v>
      </c>
      <c r="S934">
        <v>0.26501136709388035</v>
      </c>
      <c r="T934">
        <v>1.3541125503551845</v>
      </c>
      <c r="U934">
        <v>0.21540697179348048</v>
      </c>
      <c r="V934">
        <v>0.24947191439792818</v>
      </c>
      <c r="W934">
        <v>9.9355045224908609E-2</v>
      </c>
      <c r="X934">
        <v>1.6821934616064314E-2</v>
      </c>
      <c r="Y934">
        <v>4.374711505380143E-3</v>
      </c>
    </row>
    <row r="935" spans="1:25" x14ac:dyDescent="0.2">
      <c r="A935" s="1077"/>
      <c r="B935" s="1444">
        <v>685</v>
      </c>
      <c r="C935" s="1081">
        <v>0.98925153585863523</v>
      </c>
      <c r="D935" s="1081">
        <v>1.0165399939442077</v>
      </c>
      <c r="E935" s="1081">
        <v>0.97739553902569098</v>
      </c>
      <c r="F935" s="1081">
        <v>0.95510650893470506</v>
      </c>
      <c r="G935" s="1081">
        <v>1.0000748289562458</v>
      </c>
      <c r="H935" s="1081">
        <v>1.0386166851135883</v>
      </c>
      <c r="I935" s="1081">
        <v>0.99916287075140064</v>
      </c>
      <c r="K935">
        <v>2.361264648426562</v>
      </c>
      <c r="L935">
        <v>0</v>
      </c>
      <c r="M935">
        <v>1.7998490848320713E-3</v>
      </c>
      <c r="N935">
        <v>0.15305610700483055</v>
      </c>
      <c r="O935">
        <v>2.1122103449167567E-2</v>
      </c>
      <c r="P935">
        <v>2.7264411262741879E-2</v>
      </c>
      <c r="Q935">
        <v>5.4022837590692414E-3</v>
      </c>
      <c r="R935">
        <v>1.7769748268538534E-3</v>
      </c>
      <c r="S935">
        <v>0.26219734273443168</v>
      </c>
      <c r="T935">
        <v>1.3095950889269092</v>
      </c>
      <c r="U935">
        <v>0.21419856265236742</v>
      </c>
      <c r="V935">
        <v>0.24630352915722042</v>
      </c>
      <c r="W935">
        <v>0.10191972196949679</v>
      </c>
      <c r="X935">
        <v>1.5392032069200859E-2</v>
      </c>
      <c r="Y935">
        <v>4.8363396991019467E-3</v>
      </c>
    </row>
    <row r="936" spans="1:25" x14ac:dyDescent="0.2">
      <c r="A936" s="1077"/>
      <c r="B936" s="1444">
        <v>686</v>
      </c>
      <c r="C936" s="1081">
        <v>0.98876232771112427</v>
      </c>
      <c r="D936" s="1081">
        <v>0.99345685038137765</v>
      </c>
      <c r="E936" s="1081">
        <v>0.98813439705629658</v>
      </c>
      <c r="F936" s="1081">
        <v>1.0054434165531063</v>
      </c>
      <c r="G936" s="1081">
        <v>0.97387825972918818</v>
      </c>
      <c r="H936" s="1081">
        <v>1.0163882527620545</v>
      </c>
      <c r="I936" s="1081">
        <v>0.98870389620333921</v>
      </c>
      <c r="K936">
        <v>2.4243756149613751</v>
      </c>
      <c r="L936">
        <v>0</v>
      </c>
      <c r="M936">
        <v>1.7322151103580459E-3</v>
      </c>
      <c r="N936">
        <v>0.15212563302444232</v>
      </c>
      <c r="O936">
        <v>2.1246811119889755E-2</v>
      </c>
      <c r="P936">
        <v>2.8345429586885247E-2</v>
      </c>
      <c r="Q936">
        <v>5.4937262296387906E-3</v>
      </c>
      <c r="R936">
        <v>1.7097189497368842E-3</v>
      </c>
      <c r="S936">
        <v>0.26075556275575534</v>
      </c>
      <c r="T936">
        <v>1.3788472814868475</v>
      </c>
      <c r="U936">
        <v>0.21434156387171219</v>
      </c>
      <c r="V936">
        <v>0.24182056123567802</v>
      </c>
      <c r="W936">
        <v>0.10064680459698759</v>
      </c>
      <c r="X936">
        <v>1.612144584167792E-2</v>
      </c>
      <c r="Y936">
        <v>4.6532913724834915E-3</v>
      </c>
    </row>
    <row r="937" spans="1:25" x14ac:dyDescent="0.2">
      <c r="A937" s="1077"/>
      <c r="B937" s="1444">
        <v>687</v>
      </c>
      <c r="C937" s="1081">
        <v>0.99773175969480166</v>
      </c>
      <c r="D937" s="1081">
        <v>0.96466959732007385</v>
      </c>
      <c r="E937" s="1081">
        <v>0.9602284528619266</v>
      </c>
      <c r="F937" s="1081">
        <v>0.99788407792652967</v>
      </c>
      <c r="G937" s="1081">
        <v>1.0428252610763149</v>
      </c>
      <c r="H937" s="1081">
        <v>0.97242017682483628</v>
      </c>
      <c r="I937" s="1081">
        <v>0.97408207506599209</v>
      </c>
      <c r="K937">
        <v>2.3979328894129126</v>
      </c>
      <c r="L937">
        <v>0</v>
      </c>
      <c r="M937">
        <v>1.7511386432538939E-3</v>
      </c>
      <c r="N937">
        <v>0.14124652216489383</v>
      </c>
      <c r="O937">
        <v>2.1173827850129903E-2</v>
      </c>
      <c r="P937">
        <v>2.7642925048527757E-2</v>
      </c>
      <c r="Q937">
        <v>5.3212583407230693E-3</v>
      </c>
      <c r="R937">
        <v>1.7273684458262695E-3</v>
      </c>
      <c r="S937">
        <v>0.25447281954241147</v>
      </c>
      <c r="T937">
        <v>1.3678814955254492</v>
      </c>
      <c r="U937">
        <v>0.2123194661375172</v>
      </c>
      <c r="V937">
        <v>0.25313992156655918</v>
      </c>
      <c r="W937">
        <v>9.5044582340300526E-2</v>
      </c>
      <c r="X937">
        <v>1.5012513611143662E-2</v>
      </c>
      <c r="Y937">
        <v>4.7013274826839761E-3</v>
      </c>
    </row>
    <row r="938" spans="1:25" x14ac:dyDescent="0.2">
      <c r="A938" s="1077"/>
      <c r="B938" s="1444">
        <v>688</v>
      </c>
      <c r="C938" s="1081">
        <v>0.96466539079488134</v>
      </c>
      <c r="D938" s="1081">
        <v>1.026405885560953</v>
      </c>
      <c r="E938" s="1081">
        <v>1.0077323632862212</v>
      </c>
      <c r="F938" s="1081">
        <v>0.99889916760567343</v>
      </c>
      <c r="G938" s="1081">
        <v>1.0010663282935619</v>
      </c>
      <c r="H938" s="1081">
        <v>0.97944004694599873</v>
      </c>
      <c r="I938" s="1081">
        <v>0.99276845732587615</v>
      </c>
      <c r="K938">
        <v>2.4277390472219871</v>
      </c>
      <c r="L938">
        <v>0</v>
      </c>
      <c r="M938">
        <v>1.6310547321415527E-3</v>
      </c>
      <c r="N938">
        <v>0.15190491765263278</v>
      </c>
      <c r="O938">
        <v>2.1635186593574891E-2</v>
      </c>
      <c r="P938">
        <v>2.8807957987903456E-2</v>
      </c>
      <c r="Q938">
        <v>5.7055711848759769E-3</v>
      </c>
      <c r="R938">
        <v>1.6090732538709051E-3</v>
      </c>
      <c r="S938">
        <v>0.26098880967645605</v>
      </c>
      <c r="T938">
        <v>1.3702958382773927</v>
      </c>
      <c r="U938">
        <v>0.21976514747825274</v>
      </c>
      <c r="V938">
        <v>0.24797127963335669</v>
      </c>
      <c r="W938">
        <v>9.9335036834134582E-2</v>
      </c>
      <c r="X938">
        <v>1.6971916415494663E-2</v>
      </c>
      <c r="Y938">
        <v>4.3793669661810206E-3</v>
      </c>
    </row>
    <row r="939" spans="1:25" x14ac:dyDescent="0.2">
      <c r="A939" s="1077"/>
      <c r="B939" s="1444">
        <v>689</v>
      </c>
      <c r="C939" s="1081">
        <v>0.99846918914113303</v>
      </c>
      <c r="D939" s="1081">
        <v>1.013610617350821</v>
      </c>
      <c r="E939" s="1081">
        <v>0.99712028419882259</v>
      </c>
      <c r="F939" s="1081">
        <v>1.0106250831599006</v>
      </c>
      <c r="G939" s="1081">
        <v>0.99779442782671468</v>
      </c>
      <c r="H939" s="1081">
        <v>0.99012551118109093</v>
      </c>
      <c r="I939" s="1081">
        <v>1.0216547731675725</v>
      </c>
      <c r="K939">
        <v>2.4257621303427581</v>
      </c>
      <c r="L939">
        <v>0</v>
      </c>
      <c r="M939">
        <v>1.6329959025027294E-3</v>
      </c>
      <c r="N939">
        <v>0.14730952136791842</v>
      </c>
      <c r="O939">
        <v>2.0953444827693929E-2</v>
      </c>
      <c r="P939">
        <v>2.8671903296868521E-2</v>
      </c>
      <c r="Q939">
        <v>5.467231752303188E-3</v>
      </c>
      <c r="R939">
        <v>1.6112257704743692E-3</v>
      </c>
      <c r="S939">
        <v>0.26196250244410113</v>
      </c>
      <c r="T939">
        <v>1.3861494469577402</v>
      </c>
      <c r="U939">
        <v>0.21228851719345596</v>
      </c>
      <c r="V939">
        <v>0.24526042781023236</v>
      </c>
      <c r="W939">
        <v>9.6938302423472317E-2</v>
      </c>
      <c r="X939">
        <v>1.6397376994198083E-2</v>
      </c>
      <c r="Y939">
        <v>4.3852254067987435E-3</v>
      </c>
    </row>
    <row r="940" spans="1:25" x14ac:dyDescent="0.2">
      <c r="A940" s="1077"/>
      <c r="B940" s="1444">
        <v>690</v>
      </c>
      <c r="C940" s="1081">
        <v>0.99251882086788545</v>
      </c>
      <c r="D940" s="1081">
        <v>0.97040431376948399</v>
      </c>
      <c r="E940" s="1081">
        <v>1.0124809634308609</v>
      </c>
      <c r="F940" s="1081">
        <v>0.97417492335019629</v>
      </c>
      <c r="G940" s="1081">
        <v>1.0208011137050896</v>
      </c>
      <c r="H940" s="1081">
        <v>1.0333558354191386</v>
      </c>
      <c r="I940" s="1081">
        <v>0.96449955070885218</v>
      </c>
      <c r="K940">
        <v>2.3961960149518222</v>
      </c>
      <c r="L940">
        <v>0</v>
      </c>
      <c r="M940">
        <v>1.6766972141369729E-3</v>
      </c>
      <c r="N940">
        <v>0.15852340241517157</v>
      </c>
      <c r="O940">
        <v>2.1292394554775138E-2</v>
      </c>
      <c r="P940">
        <v>2.8338975950705839E-2</v>
      </c>
      <c r="Q940">
        <v>5.641887390982054E-3</v>
      </c>
      <c r="R940">
        <v>1.6552796061712605E-3</v>
      </c>
      <c r="S940">
        <v>0.25802141685686308</v>
      </c>
      <c r="T940">
        <v>1.3364792254458993</v>
      </c>
      <c r="U940">
        <v>0.2136141749767077</v>
      </c>
      <c r="V940">
        <v>0.24950806884743348</v>
      </c>
      <c r="W940">
        <v>0.10337321568298009</v>
      </c>
      <c r="X940">
        <v>1.6919545013046437E-2</v>
      </c>
      <c r="Y940">
        <v>4.5051254252226449E-3</v>
      </c>
    </row>
    <row r="941" spans="1:25" x14ac:dyDescent="0.2">
      <c r="A941" s="1077"/>
      <c r="B941" s="1444">
        <v>691</v>
      </c>
      <c r="C941" s="1081">
        <v>0.97172721988556443</v>
      </c>
      <c r="D941" s="1081">
        <v>1.0023943880903015</v>
      </c>
      <c r="E941" s="1081">
        <v>0.99135207874576681</v>
      </c>
      <c r="F941" s="1081">
        <v>1.0248131438898214</v>
      </c>
      <c r="G941" s="1081">
        <v>0.99661655745760958</v>
      </c>
      <c r="H941" s="1081">
        <v>1.0116851247074226</v>
      </c>
      <c r="I941" s="1081">
        <v>0.99142095013454368</v>
      </c>
      <c r="K941">
        <v>2.4682557824430358</v>
      </c>
      <c r="L941">
        <v>0</v>
      </c>
      <c r="M941">
        <v>1.7393434325337206E-3</v>
      </c>
      <c r="N941">
        <v>0.15423553552519803</v>
      </c>
      <c r="O941">
        <v>2.1578920777485952E-2</v>
      </c>
      <c r="P941">
        <v>2.8944415111115309E-2</v>
      </c>
      <c r="Q941">
        <v>5.5977776485470702E-3</v>
      </c>
      <c r="R941">
        <v>1.7166496862201924E-3</v>
      </c>
      <c r="S941">
        <v>0.26448726096679959</v>
      </c>
      <c r="T941">
        <v>1.4054817528524697</v>
      </c>
      <c r="U941">
        <v>0.21811043280574249</v>
      </c>
      <c r="V941">
        <v>0.24679942710305178</v>
      </c>
      <c r="W941">
        <v>0.10184617610207326</v>
      </c>
      <c r="X941">
        <v>1.6524622744388828E-2</v>
      </c>
      <c r="Y941">
        <v>4.6721545524743861E-3</v>
      </c>
    </row>
    <row r="942" spans="1:25" x14ac:dyDescent="0.2">
      <c r="A942" s="1077"/>
      <c r="B942" s="1444">
        <v>692</v>
      </c>
      <c r="C942" s="1081">
        <v>0.99469159676980878</v>
      </c>
      <c r="D942" s="1081">
        <v>1.0093389232933483</v>
      </c>
      <c r="E942" s="1081">
        <v>0.97695212073875382</v>
      </c>
      <c r="F942" s="1081">
        <v>0.98529871423938498</v>
      </c>
      <c r="G942" s="1081">
        <v>1.0308412422278956</v>
      </c>
      <c r="H942" s="1081">
        <v>1.0136901408327545</v>
      </c>
      <c r="I942" s="1081">
        <v>1.001977568685013</v>
      </c>
      <c r="K942">
        <v>2.3977166829136465</v>
      </c>
      <c r="L942">
        <v>0</v>
      </c>
      <c r="M942">
        <v>1.7513847497371388E-3</v>
      </c>
      <c r="N942">
        <v>0.14868797904412237</v>
      </c>
      <c r="O942">
        <v>2.1039170638808408E-2</v>
      </c>
      <c r="P942">
        <v>2.7834807440455724E-2</v>
      </c>
      <c r="Q942">
        <v>5.3786440296222657E-3</v>
      </c>
      <c r="R942">
        <v>1.728579094239073E-3</v>
      </c>
      <c r="S942">
        <v>0.26028731663265214</v>
      </c>
      <c r="T942">
        <v>1.3509837517311403</v>
      </c>
      <c r="U942">
        <v>0.21302557259292676</v>
      </c>
      <c r="V942">
        <v>0.25121777291249076</v>
      </c>
      <c r="W942">
        <v>9.9037568118512651E-2</v>
      </c>
      <c r="X942">
        <v>1.5542282959837072E-2</v>
      </c>
      <c r="Y942">
        <v>4.704622468573485E-3</v>
      </c>
    </row>
    <row r="943" spans="1:25" x14ac:dyDescent="0.2">
      <c r="A943" s="1077"/>
      <c r="B943" s="1444">
        <v>693</v>
      </c>
      <c r="C943" s="1081">
        <v>1.0025196720693141</v>
      </c>
      <c r="D943" s="1081">
        <v>1.005692344211804</v>
      </c>
      <c r="E943" s="1081">
        <v>0.9921710578060281</v>
      </c>
      <c r="F943" s="1081">
        <v>1.0097282794868214</v>
      </c>
      <c r="G943" s="1081">
        <v>0.97673992898825668</v>
      </c>
      <c r="H943" s="1081">
        <v>1.0300207420758585</v>
      </c>
      <c r="I943" s="1081">
        <v>0.9642512206301258</v>
      </c>
      <c r="K943">
        <v>2.4162090859700855</v>
      </c>
      <c r="L943">
        <v>0</v>
      </c>
      <c r="M943">
        <v>1.7123271460492678E-3</v>
      </c>
      <c r="N943">
        <v>0.15225209113438393</v>
      </c>
      <c r="O943">
        <v>2.0901554574701081E-2</v>
      </c>
      <c r="P943">
        <v>2.8327433210916343E-2</v>
      </c>
      <c r="Q943">
        <v>5.4265482321681595E-3</v>
      </c>
      <c r="R943">
        <v>1.6903835909366366E-3</v>
      </c>
      <c r="S943">
        <v>0.25043377676741119</v>
      </c>
      <c r="T943">
        <v>1.3848114450202662</v>
      </c>
      <c r="U943">
        <v>0.21141394649270331</v>
      </c>
      <c r="V943">
        <v>0.24142946443364099</v>
      </c>
      <c r="W943">
        <v>0.10048720623766103</v>
      </c>
      <c r="X943">
        <v>1.614689652161665E-2</v>
      </c>
      <c r="Y943">
        <v>4.6006668997285319E-3</v>
      </c>
    </row>
    <row r="944" spans="1:25" x14ac:dyDescent="0.2">
      <c r="A944" s="1077"/>
      <c r="B944" s="1444">
        <v>694</v>
      </c>
      <c r="C944" s="1081">
        <v>1.0019696450048663</v>
      </c>
      <c r="D944" s="1081">
        <v>1.0431964836620735</v>
      </c>
      <c r="E944" s="1081">
        <v>0.99364987349992429</v>
      </c>
      <c r="F944" s="1081">
        <v>0.97208819898478738</v>
      </c>
      <c r="G944" s="1081">
        <v>0.99904345274162132</v>
      </c>
      <c r="H944" s="1081">
        <v>1.0112071969730752</v>
      </c>
      <c r="I944" s="1081">
        <v>0.99673849783785295</v>
      </c>
      <c r="K944">
        <v>2.3635454218432277</v>
      </c>
      <c r="L944">
        <v>0</v>
      </c>
      <c r="M944">
        <v>1.6633755568429371E-3</v>
      </c>
      <c r="N944">
        <v>0.14852627778252203</v>
      </c>
      <c r="O944">
        <v>2.0746221320281057E-2</v>
      </c>
      <c r="P944">
        <v>2.7744043491235725E-2</v>
      </c>
      <c r="Q944">
        <v>5.3942639577945527E-3</v>
      </c>
      <c r="R944">
        <v>1.6416627293587003E-3</v>
      </c>
      <c r="S944">
        <v>0.25279656767955333</v>
      </c>
      <c r="T944">
        <v>1.3332202728528648</v>
      </c>
      <c r="U944">
        <v>0.2115350406445799</v>
      </c>
      <c r="V944">
        <v>0.24526792674851769</v>
      </c>
      <c r="W944">
        <v>9.7941543949357598E-2</v>
      </c>
      <c r="X944">
        <v>1.5926911468663714E-2</v>
      </c>
      <c r="Y944">
        <v>4.4680647753410924E-3</v>
      </c>
    </row>
    <row r="945" spans="1:25" x14ac:dyDescent="0.2">
      <c r="A945" s="1077"/>
      <c r="B945" s="1444">
        <v>695</v>
      </c>
      <c r="C945" s="1081">
        <v>0.96589241111566915</v>
      </c>
      <c r="D945" s="1081">
        <v>0.9893539597185167</v>
      </c>
      <c r="E945" s="1081">
        <v>1.0060064148044201</v>
      </c>
      <c r="F945" s="1081">
        <v>1.0121936486396772</v>
      </c>
      <c r="G945" s="1081">
        <v>1.0286905013630132</v>
      </c>
      <c r="H945" s="1081">
        <v>0.96786040905222093</v>
      </c>
      <c r="I945" s="1081">
        <v>0.99339142316145834</v>
      </c>
      <c r="K945">
        <v>2.4529145100425183</v>
      </c>
      <c r="L945">
        <v>0</v>
      </c>
      <c r="M945">
        <v>1.6286233999065068E-3</v>
      </c>
      <c r="N945">
        <v>0.15086535242525562</v>
      </c>
      <c r="O945">
        <v>2.1781997281655537E-2</v>
      </c>
      <c r="P945">
        <v>2.9130429054283303E-2</v>
      </c>
      <c r="Q945">
        <v>5.7343683536867675E-3</v>
      </c>
      <c r="R945">
        <v>1.6064120904111102E-3</v>
      </c>
      <c r="S945">
        <v>0.26464664113782049</v>
      </c>
      <c r="T945">
        <v>1.3884954503433113</v>
      </c>
      <c r="U945">
        <v>0.21947985453220697</v>
      </c>
      <c r="V945">
        <v>0.25261180964120727</v>
      </c>
      <c r="W945">
        <v>9.8755940787655511E-2</v>
      </c>
      <c r="X945">
        <v>1.7062753638433733E-2</v>
      </c>
      <c r="Y945">
        <v>4.3721241564957589E-3</v>
      </c>
    </row>
    <row r="946" spans="1:25" x14ac:dyDescent="0.2">
      <c r="A946" s="1077"/>
      <c r="B946" s="1444">
        <v>696</v>
      </c>
      <c r="C946" s="1081">
        <v>1.0196128250062668</v>
      </c>
      <c r="D946" s="1081">
        <v>0.99802157109509471</v>
      </c>
      <c r="E946" s="1081">
        <v>1.0009725339242947</v>
      </c>
      <c r="F946" s="1081">
        <v>0.99977608807344442</v>
      </c>
      <c r="G946" s="1081">
        <v>0.99256109996878694</v>
      </c>
      <c r="H946" s="1081">
        <v>1.0012703521954516</v>
      </c>
      <c r="I946" s="1081">
        <v>0.97511973109086036</v>
      </c>
      <c r="K946">
        <v>2.3882301572304478</v>
      </c>
      <c r="L946">
        <v>0</v>
      </c>
      <c r="M946">
        <v>1.6097432993393077E-3</v>
      </c>
      <c r="N946">
        <v>0.146934080430069</v>
      </c>
      <c r="O946">
        <v>2.0591528424753879E-2</v>
      </c>
      <c r="P946">
        <v>2.8267407890142513E-2</v>
      </c>
      <c r="Q946">
        <v>5.3936554327462275E-3</v>
      </c>
      <c r="R946">
        <v>1.5885220236412589E-3</v>
      </c>
      <c r="S946">
        <v>0.24769133961042519</v>
      </c>
      <c r="T946">
        <v>1.3713525048854698</v>
      </c>
      <c r="U946">
        <v>0.20789921855171922</v>
      </c>
      <c r="V946">
        <v>0.24305712134328888</v>
      </c>
      <c r="W946">
        <v>9.6469946043074628E-2</v>
      </c>
      <c r="X946">
        <v>1.6271142602248746E-2</v>
      </c>
      <c r="Y946">
        <v>4.323433292207148E-3</v>
      </c>
    </row>
    <row r="947" spans="1:25" x14ac:dyDescent="0.2">
      <c r="A947" s="1077"/>
      <c r="B947" s="1444">
        <v>697</v>
      </c>
      <c r="C947" s="1081">
        <v>1.0390885422999985</v>
      </c>
      <c r="D947" s="1081">
        <v>1.0192092087308084</v>
      </c>
      <c r="E947" s="1081">
        <v>1.0047404659226993</v>
      </c>
      <c r="F947" s="1081">
        <v>1.0185183445010078</v>
      </c>
      <c r="G947" s="1081">
        <v>0.97488960559011617</v>
      </c>
      <c r="H947" s="1081">
        <v>1.0061881207963801</v>
      </c>
      <c r="I947" s="1081">
        <v>1.0042427771997715</v>
      </c>
      <c r="K947">
        <v>2.4022689136529443</v>
      </c>
      <c r="L947">
        <v>0</v>
      </c>
      <c r="M947">
        <v>1.5677043294907251E-3</v>
      </c>
      <c r="N947">
        <v>0.14474423739287942</v>
      </c>
      <c r="O947">
        <v>2.0114810103014965E-2</v>
      </c>
      <c r="P947">
        <v>2.8595457149292815E-2</v>
      </c>
      <c r="Q947">
        <v>5.2887473666928201E-3</v>
      </c>
      <c r="R947">
        <v>1.5471382651361823E-3</v>
      </c>
      <c r="S947">
        <v>0.24812665382423649</v>
      </c>
      <c r="T947">
        <v>1.397143552112424</v>
      </c>
      <c r="U947">
        <v>0.20401494803178874</v>
      </c>
      <c r="V947">
        <v>0.23887929683809089</v>
      </c>
      <c r="W947">
        <v>9.4820095135645724E-2</v>
      </c>
      <c r="X947">
        <v>1.6350881419523889E-2</v>
      </c>
      <c r="Y947">
        <v>4.2108003437086551E-3</v>
      </c>
    </row>
    <row r="948" spans="1:25" x14ac:dyDescent="0.2">
      <c r="A948" s="1077"/>
      <c r="B948" s="1444">
        <v>698</v>
      </c>
      <c r="C948" s="1081">
        <v>0.98599801806650322</v>
      </c>
      <c r="D948" s="1081">
        <v>0.99727038744388485</v>
      </c>
      <c r="E948" s="1081">
        <v>0.97482952346823726</v>
      </c>
      <c r="F948" s="1081">
        <v>0.98979492105981803</v>
      </c>
      <c r="G948" s="1081">
        <v>0.99343771475865306</v>
      </c>
      <c r="H948" s="1081">
        <v>0.99371097069985237</v>
      </c>
      <c r="I948" s="1081">
        <v>0.97103376822542542</v>
      </c>
      <c r="K948">
        <v>2.3915080023669941</v>
      </c>
      <c r="L948">
        <v>0</v>
      </c>
      <c r="M948">
        <v>1.7442271065638048E-3</v>
      </c>
      <c r="N948">
        <v>0.1470930373528867</v>
      </c>
      <c r="O948">
        <v>2.1279492326465355E-2</v>
      </c>
      <c r="P948">
        <v>2.7738813687515639E-2</v>
      </c>
      <c r="Q948">
        <v>5.4283314172857648E-3</v>
      </c>
      <c r="R948">
        <v>1.721058006492963E-3</v>
      </c>
      <c r="S948">
        <v>0.25431494002551702</v>
      </c>
      <c r="T948">
        <v>1.3571034738991894</v>
      </c>
      <c r="U948">
        <v>0.21489649654255605</v>
      </c>
      <c r="V948">
        <v>0.24538672501084469</v>
      </c>
      <c r="W948">
        <v>9.8101278096667119E-2</v>
      </c>
      <c r="X948">
        <v>1.5504430561081573E-2</v>
      </c>
      <c r="Y948">
        <v>4.6841525470544838E-3</v>
      </c>
    </row>
    <row r="949" spans="1:25" x14ac:dyDescent="0.2">
      <c r="A949" s="1077"/>
      <c r="B949" s="1444">
        <v>699</v>
      </c>
      <c r="C949" s="1081">
        <v>1.0064822633394606</v>
      </c>
      <c r="D949" s="1081">
        <v>1.0045087284721363</v>
      </c>
      <c r="E949" s="1081">
        <v>1.0403279457114802</v>
      </c>
      <c r="F949" s="1081">
        <v>0.96405700375755121</v>
      </c>
      <c r="G949" s="1081">
        <v>1.0025124613887244</v>
      </c>
      <c r="H949" s="1081">
        <v>1.0196836280033792</v>
      </c>
      <c r="I949" s="1081">
        <v>0.96736248841843575</v>
      </c>
      <c r="K949">
        <v>2.3640037626222807</v>
      </c>
      <c r="L949">
        <v>0</v>
      </c>
      <c r="M949">
        <v>1.5279722087081582E-3</v>
      </c>
      <c r="N949">
        <v>0.15708911070932485</v>
      </c>
      <c r="O949">
        <v>2.0856459492487177E-2</v>
      </c>
      <c r="P949">
        <v>2.8521042221469641E-2</v>
      </c>
      <c r="Q949">
        <v>5.6809552631264049E-3</v>
      </c>
      <c r="R949">
        <v>1.5081926668866271E-3</v>
      </c>
      <c r="S949">
        <v>0.24993629503308437</v>
      </c>
      <c r="T949">
        <v>1.3231819813375885</v>
      </c>
      <c r="U949">
        <v>0.21074554789282396</v>
      </c>
      <c r="V949">
        <v>0.24541610400771952</v>
      </c>
      <c r="W949">
        <v>0.10079072123707673</v>
      </c>
      <c r="X949">
        <v>1.7700521705714747E-2</v>
      </c>
      <c r="Y949">
        <v>4.104803263686378E-3</v>
      </c>
    </row>
    <row r="950" spans="1:25" x14ac:dyDescent="0.2">
      <c r="A950" s="1077"/>
      <c r="B950" s="1444">
        <v>700</v>
      </c>
      <c r="C950" s="1081">
        <v>1.0087402367879117</v>
      </c>
      <c r="D950" s="1081">
        <v>0.99113305876312086</v>
      </c>
      <c r="E950" s="1081">
        <v>0.97281067678920108</v>
      </c>
      <c r="F950" s="1081">
        <v>0.9851877088687947</v>
      </c>
      <c r="G950" s="1081">
        <v>0.99201185471172781</v>
      </c>
      <c r="H950" s="1081">
        <v>0.98250126534911497</v>
      </c>
      <c r="I950" s="1081">
        <v>0.9984969071806411</v>
      </c>
      <c r="K950">
        <v>2.3703053448430618</v>
      </c>
      <c r="L950">
        <v>0</v>
      </c>
      <c r="M950">
        <v>1.6950158304847522E-3</v>
      </c>
      <c r="N950">
        <v>0.14205028399283015</v>
      </c>
      <c r="O950">
        <v>2.0826684502187567E-2</v>
      </c>
      <c r="P950">
        <v>2.7539093840233807E-2</v>
      </c>
      <c r="Q950">
        <v>5.3018935872355009E-3</v>
      </c>
      <c r="R950">
        <v>1.672243532470821E-3</v>
      </c>
      <c r="S950">
        <v>0.25544418475976477</v>
      </c>
      <c r="T950">
        <v>1.350743761951178</v>
      </c>
      <c r="U950">
        <v>0.21004480670609449</v>
      </c>
      <c r="V950">
        <v>0.24372434912742974</v>
      </c>
      <c r="W950">
        <v>9.4854223666962376E-2</v>
      </c>
      <c r="X950">
        <v>1.5247539366707159E-2</v>
      </c>
      <c r="Y950">
        <v>4.5512956404532489E-3</v>
      </c>
    </row>
    <row r="951" spans="1:25" x14ac:dyDescent="0.2">
      <c r="A951" s="1077"/>
      <c r="B951" s="1444">
        <v>701</v>
      </c>
      <c r="C951" s="1081">
        <v>0.99566857751291449</v>
      </c>
      <c r="D951" s="1081">
        <v>0.99391447300017832</v>
      </c>
      <c r="E951" s="1081">
        <v>1.02496780518443</v>
      </c>
      <c r="F951" s="1081">
        <v>1.0169188505029956</v>
      </c>
      <c r="G951" s="1081">
        <v>1.0290042629060174</v>
      </c>
      <c r="H951" s="1081">
        <v>1.0003720912968479</v>
      </c>
      <c r="I951" s="1081">
        <v>1.0420238052462052</v>
      </c>
      <c r="K951">
        <v>2.4625518087226324</v>
      </c>
      <c r="L951">
        <v>0</v>
      </c>
      <c r="M951">
        <v>1.5682738436201202E-3</v>
      </c>
      <c r="N951">
        <v>0.15389934582453366</v>
      </c>
      <c r="O951">
        <v>2.1121908759240821E-2</v>
      </c>
      <c r="P951">
        <v>2.9616395544056841E-2</v>
      </c>
      <c r="Q951">
        <v>5.666672105403248E-3</v>
      </c>
      <c r="R951">
        <v>1.5475806962620797E-3</v>
      </c>
      <c r="S951">
        <v>0.27173818392332977</v>
      </c>
      <c r="T951">
        <v>1.3953956492148389</v>
      </c>
      <c r="U951">
        <v>0.21298140660931725</v>
      </c>
      <c r="V951">
        <v>0.25066400459985799</v>
      </c>
      <c r="W951">
        <v>9.9626641817996756E-2</v>
      </c>
      <c r="X951">
        <v>1.7650288976027363E-2</v>
      </c>
      <c r="Y951">
        <v>4.2120044953859676E-3</v>
      </c>
    </row>
    <row r="952" spans="1:25" x14ac:dyDescent="0.2">
      <c r="A952" s="1077"/>
      <c r="B952" s="1444">
        <v>702</v>
      </c>
      <c r="C952" s="1081">
        <v>0.98153587489188165</v>
      </c>
      <c r="D952" s="1081">
        <v>0.97968464883702855</v>
      </c>
      <c r="E952" s="1081">
        <v>0.99210265345757997</v>
      </c>
      <c r="F952" s="1081">
        <v>1.0044618983502427</v>
      </c>
      <c r="G952" s="1081">
        <v>0.99578253148845541</v>
      </c>
      <c r="H952" s="1081">
        <v>1.0312739014128325</v>
      </c>
      <c r="I952" s="1081">
        <v>1.0237577116360681</v>
      </c>
      <c r="K952">
        <v>2.451621421789858</v>
      </c>
      <c r="L952">
        <v>0</v>
      </c>
      <c r="M952">
        <v>1.7614341680302252E-3</v>
      </c>
      <c r="N952">
        <v>0.15658854425350999</v>
      </c>
      <c r="O952">
        <v>2.1471763781160856E-2</v>
      </c>
      <c r="P952">
        <v>2.8688254783789707E-2</v>
      </c>
      <c r="Q952">
        <v>5.5742033484852682E-3</v>
      </c>
      <c r="R952">
        <v>1.7388887336238757E-3</v>
      </c>
      <c r="S952">
        <v>0.27525809033193227</v>
      </c>
      <c r="T952">
        <v>1.3775872807100751</v>
      </c>
      <c r="U952">
        <v>0.21593342861868284</v>
      </c>
      <c r="V952">
        <v>0.24601271821082704</v>
      </c>
      <c r="W952">
        <v>0.10335351684501509</v>
      </c>
      <c r="X952">
        <v>1.644348443237955E-2</v>
      </c>
      <c r="Y952">
        <v>4.7326819084072096E-3</v>
      </c>
    </row>
    <row r="953" spans="1:25" x14ac:dyDescent="0.2">
      <c r="A953" s="1077"/>
      <c r="B953" s="1444">
        <v>703</v>
      </c>
      <c r="C953" s="1081">
        <v>1.0099299734272642</v>
      </c>
      <c r="D953" s="1081">
        <v>0.99380568901487787</v>
      </c>
      <c r="E953" s="1081">
        <v>0.98780905603285807</v>
      </c>
      <c r="F953" s="1081">
        <v>0.97740513412969177</v>
      </c>
      <c r="G953" s="1081">
        <v>1.0086264481676861</v>
      </c>
      <c r="H953" s="1081">
        <v>0.98948493372553814</v>
      </c>
      <c r="I953" s="1081">
        <v>0.99451962940270933</v>
      </c>
      <c r="K953">
        <v>2.3659983320303506</v>
      </c>
      <c r="L953">
        <v>0</v>
      </c>
      <c r="M953">
        <v>1.6520036905164762E-3</v>
      </c>
      <c r="N953">
        <v>0.14488683833017532</v>
      </c>
      <c r="O953">
        <v>2.079966794249356E-2</v>
      </c>
      <c r="P953">
        <v>2.7735300903254372E-2</v>
      </c>
      <c r="Q953">
        <v>5.3763394599321999E-3</v>
      </c>
      <c r="R953">
        <v>1.6299659002421995E-3</v>
      </c>
      <c r="S953">
        <v>0.25448836316453904</v>
      </c>
      <c r="T953">
        <v>1.340389217231148</v>
      </c>
      <c r="U953">
        <v>0.20984796890051127</v>
      </c>
      <c r="V953">
        <v>0.2464353741271178</v>
      </c>
      <c r="W953">
        <v>9.5876309299977008E-2</v>
      </c>
      <c r="X953">
        <v>1.5748760599126794E-2</v>
      </c>
      <c r="Y953">
        <v>4.43622986234466E-3</v>
      </c>
    </row>
    <row r="954" spans="1:25" x14ac:dyDescent="0.2">
      <c r="A954" s="1077"/>
      <c r="B954" s="1444">
        <v>704</v>
      </c>
      <c r="C954" s="1081">
        <v>0.97247004379889079</v>
      </c>
      <c r="D954" s="1081">
        <v>1.0161974636453006</v>
      </c>
      <c r="E954" s="1081">
        <v>1.0415533506841068</v>
      </c>
      <c r="F954" s="1081">
        <v>1.0049303935796754</v>
      </c>
      <c r="G954" s="1081">
        <v>1.0092663140708837</v>
      </c>
      <c r="H954" s="1081">
        <v>1.0006947741799774</v>
      </c>
      <c r="I954" s="1081">
        <v>0.99811081008312097</v>
      </c>
      <c r="K954">
        <v>2.4508725066866468</v>
      </c>
      <c r="L954">
        <v>0</v>
      </c>
      <c r="M954">
        <v>1.5440644295102901E-3</v>
      </c>
      <c r="N954">
        <v>0.15929090581410887</v>
      </c>
      <c r="O954">
        <v>2.1531883683447474E-2</v>
      </c>
      <c r="P954">
        <v>2.9680114206218147E-2</v>
      </c>
      <c r="Q954">
        <v>5.8719971027194687E-3</v>
      </c>
      <c r="R954">
        <v>1.5236972915648112E-3</v>
      </c>
      <c r="S954">
        <v>0.26372388728682861</v>
      </c>
      <c r="T954">
        <v>1.3793081349102128</v>
      </c>
      <c r="U954">
        <v>0.21812072422378098</v>
      </c>
      <c r="V954">
        <v>0.24873354705633255</v>
      </c>
      <c r="W954">
        <v>0.10213137289965515</v>
      </c>
      <c r="X954">
        <v>1.8353304900328379E-2</v>
      </c>
      <c r="Y954">
        <v>4.1470017409622438E-3</v>
      </c>
    </row>
    <row r="955" spans="1:25" x14ac:dyDescent="0.2">
      <c r="A955" s="1077"/>
      <c r="B955" s="1444">
        <v>705</v>
      </c>
      <c r="C955" s="1081">
        <v>0.98879216003658721</v>
      </c>
      <c r="D955" s="1081">
        <v>0.96358546991090299</v>
      </c>
      <c r="E955" s="1081">
        <v>1.0312175714541902</v>
      </c>
      <c r="F955" s="1081">
        <v>1.0410245345213116</v>
      </c>
      <c r="G955" s="1081">
        <v>0.98533474244469432</v>
      </c>
      <c r="H955" s="1081">
        <v>0.97130604527891951</v>
      </c>
      <c r="I955" s="1081">
        <v>1.0102271983984559</v>
      </c>
      <c r="K955">
        <v>2.4836437055571796</v>
      </c>
      <c r="L955">
        <v>0</v>
      </c>
      <c r="M955">
        <v>1.5238171975351822E-3</v>
      </c>
      <c r="N955">
        <v>0.15232014720437029</v>
      </c>
      <c r="O955">
        <v>2.1418547014386606E-2</v>
      </c>
      <c r="P955">
        <v>3.0071043601810662E-2</v>
      </c>
      <c r="Q955">
        <v>5.7819095580397811E-3</v>
      </c>
      <c r="R955">
        <v>1.5031089667060515E-3</v>
      </c>
      <c r="S955">
        <v>0.26695450742180948</v>
      </c>
      <c r="T955">
        <v>1.4286144726252774</v>
      </c>
      <c r="U955">
        <v>0.21448425318489522</v>
      </c>
      <c r="V955">
        <v>0.24362641770080681</v>
      </c>
      <c r="W955">
        <v>9.8246741811085628E-2</v>
      </c>
      <c r="X955">
        <v>1.8055406557889273E-2</v>
      </c>
      <c r="Y955">
        <v>4.0909671076361656E-3</v>
      </c>
    </row>
    <row r="956" spans="1:25" x14ac:dyDescent="0.2">
      <c r="A956" s="1077"/>
      <c r="B956" s="1444">
        <v>706</v>
      </c>
      <c r="C956" s="1081">
        <v>1.0211269828055263</v>
      </c>
      <c r="D956" s="1081">
        <v>1.0049205164107815</v>
      </c>
      <c r="E956" s="1081">
        <v>0.96718478831727506</v>
      </c>
      <c r="F956" s="1081">
        <v>0.97998931108606924</v>
      </c>
      <c r="G956" s="1081">
        <v>1.002828753995394</v>
      </c>
      <c r="H956" s="1081">
        <v>1.0078257253970104</v>
      </c>
      <c r="I956" s="1081">
        <v>1.0163498015434109</v>
      </c>
      <c r="K956">
        <v>2.364032893524366</v>
      </c>
      <c r="L956">
        <v>0</v>
      </c>
      <c r="M956">
        <v>1.7324065183354938E-3</v>
      </c>
      <c r="N956">
        <v>0.14278044314810148</v>
      </c>
      <c r="O956">
        <v>2.0507976878567775E-2</v>
      </c>
      <c r="P956">
        <v>2.7327995468097277E-2</v>
      </c>
      <c r="Q956">
        <v>5.1908257596307043E-3</v>
      </c>
      <c r="R956">
        <v>1.7097167225188401E-3</v>
      </c>
      <c r="S956">
        <v>0.25717420567937871</v>
      </c>
      <c r="T956">
        <v>1.3434979902410447</v>
      </c>
      <c r="U956">
        <v>0.20747812459055293</v>
      </c>
      <c r="V956">
        <v>0.24484398805576749</v>
      </c>
      <c r="W956">
        <v>9.5668808760753038E-2</v>
      </c>
      <c r="X956">
        <v>1.4931939427554801E-2</v>
      </c>
      <c r="Y956">
        <v>4.6532853107301778E-3</v>
      </c>
    </row>
    <row r="957" spans="1:25" x14ac:dyDescent="0.2">
      <c r="A957" s="1077"/>
      <c r="B957" s="1444">
        <v>707</v>
      </c>
      <c r="C957" s="1081">
        <v>1.0085078056394654</v>
      </c>
      <c r="D957" s="1081">
        <v>1.0431640794319548</v>
      </c>
      <c r="E957" s="1081">
        <v>0.98311838623142755</v>
      </c>
      <c r="F957" s="1081">
        <v>1.0053262422367886</v>
      </c>
      <c r="G957" s="1081">
        <v>1.0116103735106714</v>
      </c>
      <c r="H957" s="1081">
        <v>1.0285396513143863</v>
      </c>
      <c r="I957" s="1081">
        <v>1.0465928724557128</v>
      </c>
      <c r="K957">
        <v>2.4227462573175162</v>
      </c>
      <c r="L957">
        <v>0</v>
      </c>
      <c r="M957">
        <v>1.7179860201933894E-3</v>
      </c>
      <c r="N957">
        <v>0.14862752896225312</v>
      </c>
      <c r="O957">
        <v>2.060501059524221E-2</v>
      </c>
      <c r="P957">
        <v>2.8307529998082281E-2</v>
      </c>
      <c r="Q957">
        <v>5.3007688415096441E-3</v>
      </c>
      <c r="R957">
        <v>1.6959382433244534E-3</v>
      </c>
      <c r="S957">
        <v>0.26515142550440601</v>
      </c>
      <c r="T957">
        <v>1.3785778463750973</v>
      </c>
      <c r="U957">
        <v>0.21012802862666738</v>
      </c>
      <c r="V957">
        <v>0.24704958587098194</v>
      </c>
      <c r="W957">
        <v>9.8629398763482451E-2</v>
      </c>
      <c r="X957">
        <v>1.5775396724222731E-2</v>
      </c>
      <c r="Y957">
        <v>4.6157848324375021E-3</v>
      </c>
    </row>
    <row r="958" spans="1:25" x14ac:dyDescent="0.2">
      <c r="A958" s="1077"/>
      <c r="B958" s="1444">
        <v>708</v>
      </c>
      <c r="C958" s="1081">
        <v>0.98817793001572429</v>
      </c>
      <c r="D958" s="1081">
        <v>0.99836970040838513</v>
      </c>
      <c r="E958" s="1081">
        <v>1.0042320000343299</v>
      </c>
      <c r="F958" s="1081">
        <v>1.0113378537070967</v>
      </c>
      <c r="G958" s="1081">
        <v>0.98897632011706327</v>
      </c>
      <c r="H958" s="1081">
        <v>0.98860269103967413</v>
      </c>
      <c r="I958" s="1081">
        <v>1.0172646746344713</v>
      </c>
      <c r="K958">
        <v>2.437031368597232</v>
      </c>
      <c r="L958">
        <v>0</v>
      </c>
      <c r="M958">
        <v>1.6287572769341765E-3</v>
      </c>
      <c r="N958">
        <v>0.15011491771640226</v>
      </c>
      <c r="O958">
        <v>2.1247125520199708E-2</v>
      </c>
      <c r="P958">
        <v>2.8906524871979776E-2</v>
      </c>
      <c r="Q958">
        <v>5.5836173909434832E-3</v>
      </c>
      <c r="R958">
        <v>1.6070102045925342E-3</v>
      </c>
      <c r="S958">
        <v>0.26548754583336037</v>
      </c>
      <c r="T958">
        <v>1.3872826452972082</v>
      </c>
      <c r="U958">
        <v>0.21452397311110274</v>
      </c>
      <c r="V958">
        <v>0.24438018257694566</v>
      </c>
      <c r="W958">
        <v>9.8367976703070403E-2</v>
      </c>
      <c r="X958">
        <v>1.6784854622229887E-2</v>
      </c>
      <c r="Y958">
        <v>4.3737520261293078E-3</v>
      </c>
    </row>
    <row r="959" spans="1:25" x14ac:dyDescent="0.2">
      <c r="A959" s="1077"/>
      <c r="B959" s="1444">
        <v>709</v>
      </c>
      <c r="C959" s="1081">
        <v>1.0242815052115031</v>
      </c>
      <c r="D959" s="1081">
        <v>0.97572030271636778</v>
      </c>
      <c r="E959" s="1081">
        <v>0.95998053747447443</v>
      </c>
      <c r="F959" s="1081">
        <v>0.9916619937889164</v>
      </c>
      <c r="G959" s="1081">
        <v>1.0000762546556574</v>
      </c>
      <c r="H959" s="1081">
        <v>0.98508116218163411</v>
      </c>
      <c r="I959" s="1081">
        <v>0.99568102763748934</v>
      </c>
      <c r="K959">
        <v>2.3683171402951473</v>
      </c>
      <c r="L959">
        <v>0</v>
      </c>
      <c r="M959">
        <v>1.7245138394092376E-3</v>
      </c>
      <c r="N959">
        <v>0.13901910081493923</v>
      </c>
      <c r="O959">
        <v>2.0573215328248899E-2</v>
      </c>
      <c r="P959">
        <v>2.7313652361408949E-2</v>
      </c>
      <c r="Q959">
        <v>5.1689994090275441E-3</v>
      </c>
      <c r="R959">
        <v>1.7014059176558606E-3</v>
      </c>
      <c r="S959">
        <v>0.25296273388023555</v>
      </c>
      <c r="T959">
        <v>1.3593471022999952</v>
      </c>
      <c r="U959">
        <v>0.20681524720241251</v>
      </c>
      <c r="V959">
        <v>0.24421238681585644</v>
      </c>
      <c r="W959">
        <v>9.3559981337788978E-2</v>
      </c>
      <c r="X959">
        <v>1.4737162727432919E-2</v>
      </c>
      <c r="Y959">
        <v>4.630666039549234E-3</v>
      </c>
    </row>
    <row r="960" spans="1:25" x14ac:dyDescent="0.2">
      <c r="A960" s="1077"/>
      <c r="B960" s="1444">
        <v>710</v>
      </c>
      <c r="C960" s="1081">
        <v>0.9915437402583559</v>
      </c>
      <c r="D960" s="1081">
        <v>1.0219441857504259</v>
      </c>
      <c r="E960" s="1081">
        <v>0.99616397566920123</v>
      </c>
      <c r="F960" s="1081">
        <v>1.0011045582741209</v>
      </c>
      <c r="G960" s="1081">
        <v>1.0046132705872364</v>
      </c>
      <c r="H960" s="1081">
        <v>1.0071478112372529</v>
      </c>
      <c r="I960" s="1081">
        <v>0.97609200219094727</v>
      </c>
      <c r="K960">
        <v>2.411459217061275</v>
      </c>
      <c r="L960">
        <v>0</v>
      </c>
      <c r="M960">
        <v>1.6729754686629328E-3</v>
      </c>
      <c r="N960">
        <v>0.150514861509979</v>
      </c>
      <c r="O960">
        <v>2.1061183343056383E-2</v>
      </c>
      <c r="P960">
        <v>2.8385410593124816E-2</v>
      </c>
      <c r="Q960">
        <v>5.490053443781704E-3</v>
      </c>
      <c r="R960">
        <v>1.6510493087111371E-3</v>
      </c>
      <c r="S960">
        <v>0.25241014491949249</v>
      </c>
      <c r="T960">
        <v>1.3730706282398297</v>
      </c>
      <c r="U960">
        <v>0.21376795380885472</v>
      </c>
      <c r="V960">
        <v>0.24686487279324792</v>
      </c>
      <c r="W960">
        <v>9.9104066178845082E-2</v>
      </c>
      <c r="X960">
        <v>1.6318356440960243E-2</v>
      </c>
      <c r="Y960">
        <v>4.4936119500533726E-3</v>
      </c>
    </row>
    <row r="961" spans="1:25" x14ac:dyDescent="0.2">
      <c r="A961" s="1077"/>
      <c r="B961" s="1444">
        <v>711</v>
      </c>
      <c r="C961" s="1081">
        <v>0.98965439922297049</v>
      </c>
      <c r="D961" s="1081">
        <v>1.0305562504574715</v>
      </c>
      <c r="E961" s="1081">
        <v>0.97340165737027129</v>
      </c>
      <c r="F961" s="1081">
        <v>0.99718955894129802</v>
      </c>
      <c r="G961" s="1081">
        <v>1.010721581854495</v>
      </c>
      <c r="H961" s="1081">
        <v>0.97739359876426957</v>
      </c>
      <c r="I961" s="1081">
        <v>1.0037786858329514</v>
      </c>
      <c r="K961">
        <v>2.3982177967578169</v>
      </c>
      <c r="L961">
        <v>0</v>
      </c>
      <c r="M961">
        <v>1.7019587993686884E-3</v>
      </c>
      <c r="N961">
        <v>0.14287736814821531</v>
      </c>
      <c r="O961">
        <v>2.1047342516145772E-2</v>
      </c>
      <c r="P961">
        <v>2.789542719808524E-2</v>
      </c>
      <c r="Q961">
        <v>5.361298762157231E-3</v>
      </c>
      <c r="R961">
        <v>1.6789737325504876E-3</v>
      </c>
      <c r="S961">
        <v>0.25624917329248592</v>
      </c>
      <c r="T961">
        <v>1.3672115994521818</v>
      </c>
      <c r="U961">
        <v>0.2140976279411605</v>
      </c>
      <c r="V961">
        <v>0.24811202732346568</v>
      </c>
      <c r="W961">
        <v>9.5372283822407075E-2</v>
      </c>
      <c r="X961">
        <v>1.5447020341868744E-2</v>
      </c>
      <c r="Y961">
        <v>4.569613026460243E-3</v>
      </c>
    </row>
    <row r="962" spans="1:25" x14ac:dyDescent="0.2">
      <c r="A962" s="1077"/>
      <c r="B962" s="1444">
        <v>712</v>
      </c>
      <c r="C962" s="1081">
        <v>1.0035144889720418</v>
      </c>
      <c r="D962" s="1081">
        <v>1.0141915256648277</v>
      </c>
      <c r="E962" s="1081">
        <v>1.0081391117376346</v>
      </c>
      <c r="F962" s="1081">
        <v>0.98843794525810702</v>
      </c>
      <c r="G962" s="1081">
        <v>1.0015201884724978</v>
      </c>
      <c r="H962" s="1081">
        <v>0.95748468483393578</v>
      </c>
      <c r="I962" s="1081">
        <v>0.99146322538775533</v>
      </c>
      <c r="K962">
        <v>2.3750072772722244</v>
      </c>
      <c r="L962">
        <v>0</v>
      </c>
      <c r="M962">
        <v>1.5355094930870285E-3</v>
      </c>
      <c r="N962">
        <v>0.14313739981036819</v>
      </c>
      <c r="O962">
        <v>2.0852738734181635E-2</v>
      </c>
      <c r="P962">
        <v>2.8321786837490315E-2</v>
      </c>
      <c r="Q962">
        <v>5.5014652126944147E-3</v>
      </c>
      <c r="R962">
        <v>1.5143411489111254E-3</v>
      </c>
      <c r="S962">
        <v>0.25022321023198429</v>
      </c>
      <c r="T962">
        <v>1.3559537803683666</v>
      </c>
      <c r="U962">
        <v>0.21125875737481911</v>
      </c>
      <c r="V962">
        <v>0.24554307847203782</v>
      </c>
      <c r="W962">
        <v>9.3579218112207083E-2</v>
      </c>
      <c r="X962">
        <v>1.6535473057338719E-2</v>
      </c>
      <c r="Y962">
        <v>4.1215374049105094E-3</v>
      </c>
    </row>
    <row r="963" spans="1:25" x14ac:dyDescent="0.2">
      <c r="A963" s="1077"/>
      <c r="B963" s="1444">
        <v>713</v>
      </c>
      <c r="C963" s="1081">
        <v>1.0031464128618008</v>
      </c>
      <c r="D963" s="1081">
        <v>0.95641630061204408</v>
      </c>
      <c r="E963" s="1081">
        <v>1.0078316339793028</v>
      </c>
      <c r="F963" s="1081">
        <v>1.0033162211695903</v>
      </c>
      <c r="G963" s="1081">
        <v>1.016687384633429</v>
      </c>
      <c r="H963" s="1081">
        <v>0.99173035131372955</v>
      </c>
      <c r="I963" s="1081">
        <v>1.010394931982721</v>
      </c>
      <c r="K963">
        <v>2.4268249368870918</v>
      </c>
      <c r="L963">
        <v>0</v>
      </c>
      <c r="M963">
        <v>1.6127052320158639E-3</v>
      </c>
      <c r="N963">
        <v>0.15026643772700854</v>
      </c>
      <c r="O963">
        <v>2.1131107490927243E-2</v>
      </c>
      <c r="P963">
        <v>2.8845469267169702E-2</v>
      </c>
      <c r="Q963">
        <v>5.5731905519044852E-3</v>
      </c>
      <c r="R963">
        <v>1.5912403943399659E-3</v>
      </c>
      <c r="S963">
        <v>0.26575182515172391</v>
      </c>
      <c r="T963">
        <v>1.3763573362323887</v>
      </c>
      <c r="U963">
        <v>0.21133522374914743</v>
      </c>
      <c r="V963">
        <v>0.24815654237023504</v>
      </c>
      <c r="W963">
        <v>9.8257825226315085E-2</v>
      </c>
      <c r="X963">
        <v>1.6840612156807908E-2</v>
      </c>
      <c r="Y963">
        <v>4.3308318011383694E-3</v>
      </c>
    </row>
    <row r="964" spans="1:25" x14ac:dyDescent="0.2">
      <c r="A964" s="1077"/>
      <c r="B964" s="1444">
        <v>714</v>
      </c>
      <c r="C964" s="1081">
        <v>0.98565730516434424</v>
      </c>
      <c r="D964" s="1081">
        <v>1.0280395769158914</v>
      </c>
      <c r="E964" s="1081">
        <v>0.9652521149496498</v>
      </c>
      <c r="F964" s="1081">
        <v>1.0302083160902475</v>
      </c>
      <c r="G964" s="1081">
        <v>1.0215295346942046</v>
      </c>
      <c r="H964" s="1081">
        <v>1.0242740262870111</v>
      </c>
      <c r="I964" s="1081">
        <v>0.96355185468982996</v>
      </c>
      <c r="K964">
        <v>2.4531064061475876</v>
      </c>
      <c r="L964">
        <v>0</v>
      </c>
      <c r="M964">
        <v>1.8221867795981705E-3</v>
      </c>
      <c r="N964">
        <v>0.14933520036482939</v>
      </c>
      <c r="O964">
        <v>2.113863858132229E-2</v>
      </c>
      <c r="P964">
        <v>2.8291955988660741E-2</v>
      </c>
      <c r="Q964">
        <v>5.3398733094628496E-3</v>
      </c>
      <c r="R964">
        <v>1.79870435427745E-3</v>
      </c>
      <c r="S964">
        <v>0.25108611500550948</v>
      </c>
      <c r="T964">
        <v>1.4123020361897534</v>
      </c>
      <c r="U964">
        <v>0.21493772776433193</v>
      </c>
      <c r="V964">
        <v>0.25024553539792332</v>
      </c>
      <c r="W964">
        <v>0.10017889173516845</v>
      </c>
      <c r="X964">
        <v>1.5378433926334163E-2</v>
      </c>
      <c r="Y964">
        <v>4.8954803096121872E-3</v>
      </c>
    </row>
    <row r="965" spans="1:25" x14ac:dyDescent="0.2">
      <c r="A965" s="1077"/>
      <c r="B965" s="1444">
        <v>715</v>
      </c>
      <c r="C965" s="1081">
        <v>1.0097930652409792</v>
      </c>
      <c r="D965" s="1081">
        <v>0.98109439824579903</v>
      </c>
      <c r="E965" s="1081">
        <v>0.9810090086800477</v>
      </c>
      <c r="F965" s="1081">
        <v>0.98339278872565083</v>
      </c>
      <c r="G965" s="1081">
        <v>0.9976351016932522</v>
      </c>
      <c r="H965" s="1081">
        <v>1.0183414862943052</v>
      </c>
      <c r="I965" s="1081">
        <v>1.0187825024392292</v>
      </c>
      <c r="K965">
        <v>2.3894263727426419</v>
      </c>
      <c r="L965">
        <v>0</v>
      </c>
      <c r="M965">
        <v>1.7293982243692331E-3</v>
      </c>
      <c r="N965">
        <v>0.14864377833923964</v>
      </c>
      <c r="O965">
        <v>2.0857008566526405E-2</v>
      </c>
      <c r="P965">
        <v>2.7816402565464846E-2</v>
      </c>
      <c r="Q965">
        <v>5.3541187377573679E-3</v>
      </c>
      <c r="R965">
        <v>1.7069817251299138E-3</v>
      </c>
      <c r="S965">
        <v>0.26485664175874668</v>
      </c>
      <c r="T965">
        <v>1.3484563704501533</v>
      </c>
      <c r="U965">
        <v>0.20985345882495648</v>
      </c>
      <c r="V965">
        <v>0.24459084889512631</v>
      </c>
      <c r="W965">
        <v>9.8765693523354556E-2</v>
      </c>
      <c r="X965">
        <v>1.5608626031127766E-2</v>
      </c>
      <c r="Y965">
        <v>4.6458415494291666E-3</v>
      </c>
    </row>
    <row r="966" spans="1:25" x14ac:dyDescent="0.2">
      <c r="A966" s="1077"/>
      <c r="B966" s="1444">
        <v>716</v>
      </c>
      <c r="C966" s="1081">
        <v>1.0199662823007716</v>
      </c>
      <c r="D966" s="1081">
        <v>1.0222574619184301</v>
      </c>
      <c r="E966" s="1081">
        <v>1.0261124911380806</v>
      </c>
      <c r="F966" s="1081">
        <v>1.00175795140126</v>
      </c>
      <c r="G966" s="1081">
        <v>1.0359149630795352</v>
      </c>
      <c r="H966" s="1081">
        <v>1.0329325703478851</v>
      </c>
      <c r="I966" s="1081">
        <v>0.99983462512786592</v>
      </c>
      <c r="K966">
        <v>2.4173685170679797</v>
      </c>
      <c r="L966">
        <v>0</v>
      </c>
      <c r="M966">
        <v>1.567254721621218E-3</v>
      </c>
      <c r="N966">
        <v>0.1543961983943907</v>
      </c>
      <c r="O966">
        <v>2.0492334582252927E-2</v>
      </c>
      <c r="P966">
        <v>2.9025939565047898E-2</v>
      </c>
      <c r="Q966">
        <v>5.5040082378454399E-3</v>
      </c>
      <c r="R966">
        <v>1.5472268945195629E-3</v>
      </c>
      <c r="S966">
        <v>0.25368664378696126</v>
      </c>
      <c r="T966">
        <v>1.3746170924896783</v>
      </c>
      <c r="U966">
        <v>0.20791160040450854</v>
      </c>
      <c r="V966">
        <v>0.25034570804719036</v>
      </c>
      <c r="W966">
        <v>9.9881656432580609E-2</v>
      </c>
      <c r="X966">
        <v>1.7316321390951125E-2</v>
      </c>
      <c r="Y966">
        <v>4.2110415636735492E-3</v>
      </c>
    </row>
    <row r="967" spans="1:25" x14ac:dyDescent="0.2">
      <c r="A967" s="1077"/>
      <c r="B967" s="1444">
        <v>717</v>
      </c>
      <c r="C967" s="1081">
        <v>1.0080094402550168</v>
      </c>
      <c r="D967" s="1081">
        <v>1.0099519003740243</v>
      </c>
      <c r="E967" s="1081">
        <v>1.0146588187736818</v>
      </c>
      <c r="F967" s="1081">
        <v>0.9770271114041672</v>
      </c>
      <c r="G967" s="1081">
        <v>0.99503127647311906</v>
      </c>
      <c r="H967" s="1081">
        <v>1.02001822952865</v>
      </c>
      <c r="I967" s="1081">
        <v>1.0285195269531275</v>
      </c>
      <c r="K967">
        <v>2.3878430249042086</v>
      </c>
      <c r="L967">
        <v>0</v>
      </c>
      <c r="M967">
        <v>1.6080673681932924E-3</v>
      </c>
      <c r="N967">
        <v>0.15301154851922807</v>
      </c>
      <c r="O967">
        <v>2.0783183148266725E-2</v>
      </c>
      <c r="P967">
        <v>2.840827773452043E-2</v>
      </c>
      <c r="Q967">
        <v>5.5189391020117624E-3</v>
      </c>
      <c r="R967">
        <v>1.5872578260895419E-3</v>
      </c>
      <c r="S967">
        <v>0.2644350791049162</v>
      </c>
      <c r="T967">
        <v>1.3404383125291337</v>
      </c>
      <c r="U967">
        <v>0.21033885256918711</v>
      </c>
      <c r="V967">
        <v>0.24413493803640787</v>
      </c>
      <c r="W967">
        <v>9.9651234623814505E-2</v>
      </c>
      <c r="X967">
        <v>1.68234765156124E-2</v>
      </c>
      <c r="Y967">
        <v>4.3199925632139849E-3</v>
      </c>
    </row>
    <row r="968" spans="1:25" x14ac:dyDescent="0.2">
      <c r="A968" s="1077"/>
      <c r="B968" s="1444">
        <v>718</v>
      </c>
      <c r="C968" s="1081">
        <v>0.97415286071473661</v>
      </c>
      <c r="D968" s="1081">
        <v>0.96511553034329645</v>
      </c>
      <c r="E968" s="1081">
        <v>0.99384694478840907</v>
      </c>
      <c r="F968" s="1081">
        <v>1.00956317751111</v>
      </c>
      <c r="G968" s="1081">
        <v>0.96303059018644666</v>
      </c>
      <c r="H968" s="1081">
        <v>1.0136201435831924</v>
      </c>
      <c r="I968" s="1081">
        <v>0.99226560464912561</v>
      </c>
      <c r="K968">
        <v>2.4482114296605455</v>
      </c>
      <c r="L968">
        <v>0</v>
      </c>
      <c r="M968">
        <v>1.7438478411203042E-3</v>
      </c>
      <c r="N968">
        <v>0.15580950187809323</v>
      </c>
      <c r="O968">
        <v>2.1707122839040045E-2</v>
      </c>
      <c r="P968">
        <v>2.8693425716291205E-2</v>
      </c>
      <c r="Q968">
        <v>5.6452318086133053E-3</v>
      </c>
      <c r="R968">
        <v>1.7211387593677248E-3</v>
      </c>
      <c r="S968">
        <v>0.26931386180295264</v>
      </c>
      <c r="T968">
        <v>1.3846215539400382</v>
      </c>
      <c r="U968">
        <v>0.21757608184397961</v>
      </c>
      <c r="V968">
        <v>0.24089416282962051</v>
      </c>
      <c r="W968">
        <v>0.10273217140432336</v>
      </c>
      <c r="X968">
        <v>1.6556652349586864E-2</v>
      </c>
      <c r="Y968">
        <v>4.6843723297594073E-3</v>
      </c>
    </row>
    <row r="969" spans="1:25" x14ac:dyDescent="0.2">
      <c r="A969" s="1077"/>
      <c r="B969" s="1444">
        <v>719</v>
      </c>
      <c r="C969" s="1081">
        <v>0.99165796540171092</v>
      </c>
      <c r="D969" s="1081">
        <v>0.97034832242470803</v>
      </c>
      <c r="E969" s="1081">
        <v>1.0098401837650404</v>
      </c>
      <c r="F969" s="1081">
        <v>1.0024032044012963</v>
      </c>
      <c r="G969" s="1081">
        <v>1.0044921260403403</v>
      </c>
      <c r="H969" s="1081">
        <v>1.0207854323260626</v>
      </c>
      <c r="I969" s="1081">
        <v>0.96927842520495044</v>
      </c>
      <c r="K969">
        <v>2.4297611188602626</v>
      </c>
      <c r="L969">
        <v>0</v>
      </c>
      <c r="M969">
        <v>1.6668811398530602E-3</v>
      </c>
      <c r="N969">
        <v>0.15631910118514114</v>
      </c>
      <c r="O969">
        <v>2.1309366763615806E-2</v>
      </c>
      <c r="P969">
        <v>2.8786406911907318E-2</v>
      </c>
      <c r="Q969">
        <v>5.6315082521071133E-3</v>
      </c>
      <c r="R969">
        <v>1.645326717546595E-3</v>
      </c>
      <c r="S969">
        <v>0.2584583145666296</v>
      </c>
      <c r="T969">
        <v>1.3751484749992242</v>
      </c>
      <c r="U969">
        <v>0.21379049440721942</v>
      </c>
      <c r="V969">
        <v>0.24678790519263005</v>
      </c>
      <c r="W969">
        <v>0.10209450268169459</v>
      </c>
      <c r="X969">
        <v>1.6978561379043591E-2</v>
      </c>
      <c r="Y969">
        <v>4.4780369433551617E-3</v>
      </c>
    </row>
    <row r="970" spans="1:25" x14ac:dyDescent="0.2">
      <c r="A970" s="1077"/>
      <c r="B970" s="1444">
        <v>720</v>
      </c>
      <c r="C970" s="1081">
        <v>1.0289416885703746</v>
      </c>
      <c r="D970" s="1081">
        <v>1.0125755504155727</v>
      </c>
      <c r="E970" s="1081">
        <v>0.99647259889296869</v>
      </c>
      <c r="F970" s="1081">
        <v>1.0110367949798078</v>
      </c>
      <c r="G970" s="1081">
        <v>0.95595956337035226</v>
      </c>
      <c r="H970" s="1081">
        <v>0.96393279929459741</v>
      </c>
      <c r="I970" s="1081">
        <v>1.0108895864068888</v>
      </c>
      <c r="K970">
        <v>2.383123682147922</v>
      </c>
      <c r="L970">
        <v>0</v>
      </c>
      <c r="M970">
        <v>1.5451345623999394E-3</v>
      </c>
      <c r="N970">
        <v>0.13906009633430277</v>
      </c>
      <c r="O970">
        <v>2.0337054958778938E-2</v>
      </c>
      <c r="P970">
        <v>2.8287462657550527E-2</v>
      </c>
      <c r="Q970">
        <v>5.3029418904475415E-3</v>
      </c>
      <c r="R970">
        <v>1.523976018956611E-3</v>
      </c>
      <c r="S970">
        <v>0.2494664683570291</v>
      </c>
      <c r="T970">
        <v>1.3866999873939749</v>
      </c>
      <c r="U970">
        <v>0.20599936143757369</v>
      </c>
      <c r="V970">
        <v>0.23626731161760547</v>
      </c>
      <c r="W970">
        <v>9.1545019641240871E-2</v>
      </c>
      <c r="X970">
        <v>1.6031376057820922E-2</v>
      </c>
      <c r="Y970">
        <v>4.1477603450402632E-3</v>
      </c>
    </row>
    <row r="971" spans="1:25" x14ac:dyDescent="0.2">
      <c r="A971" s="1077"/>
      <c r="B971" s="1444">
        <v>721</v>
      </c>
      <c r="C971" s="1081">
        <v>1.0269128710994189</v>
      </c>
      <c r="D971" s="1081">
        <v>1.0193894872749616</v>
      </c>
      <c r="E971" s="1081">
        <v>1.0278143475129315</v>
      </c>
      <c r="F971" s="1081">
        <v>1.0017963114709572</v>
      </c>
      <c r="G971" s="1081">
        <v>0.97830331033996842</v>
      </c>
      <c r="H971" s="1081">
        <v>0.9972982175814189</v>
      </c>
      <c r="I971" s="1081">
        <v>0.99033779187098825</v>
      </c>
      <c r="K971">
        <v>2.3883596694486391</v>
      </c>
      <c r="L971">
        <v>0</v>
      </c>
      <c r="M971">
        <v>1.4985590711498493E-3</v>
      </c>
      <c r="N971">
        <v>0.14831960389187596</v>
      </c>
      <c r="O971">
        <v>2.036739736791085E-2</v>
      </c>
      <c r="P971">
        <v>2.880811831383865E-2</v>
      </c>
      <c r="Q971">
        <v>5.4796793272334698E-3</v>
      </c>
      <c r="R971">
        <v>1.4787248549691483E-3</v>
      </c>
      <c r="S971">
        <v>0.24702466090994982</v>
      </c>
      <c r="T971">
        <v>1.37470679872233</v>
      </c>
      <c r="U971">
        <v>0.20651086295823984</v>
      </c>
      <c r="V971">
        <v>0.24009466054354092</v>
      </c>
      <c r="W971">
        <v>9.5855631550516712E-2</v>
      </c>
      <c r="X971">
        <v>1.7187488485672388E-2</v>
      </c>
      <c r="Y971">
        <v>4.0246015937085893E-3</v>
      </c>
    </row>
    <row r="972" spans="1:25" x14ac:dyDescent="0.2">
      <c r="A972" s="1077"/>
      <c r="B972" s="1444">
        <v>722</v>
      </c>
      <c r="C972" s="1081">
        <v>1.0018001958158853</v>
      </c>
      <c r="D972" s="1081">
        <v>0.96817871467116423</v>
      </c>
      <c r="E972" s="1081">
        <v>0.97007037605890156</v>
      </c>
      <c r="F972" s="1081">
        <v>0.97876935917608698</v>
      </c>
      <c r="G972" s="1081">
        <v>1.0023765881203344</v>
      </c>
      <c r="H972" s="1081">
        <v>0.97158838681442428</v>
      </c>
      <c r="I972" s="1081">
        <v>0.96587867917147996</v>
      </c>
      <c r="K972">
        <v>2.3602792660876055</v>
      </c>
      <c r="L972">
        <v>0</v>
      </c>
      <c r="M972">
        <v>1.7061510851348494E-3</v>
      </c>
      <c r="N972">
        <v>0.14178043438981985</v>
      </c>
      <c r="O972">
        <v>2.1077528664865765E-2</v>
      </c>
      <c r="P972">
        <v>2.7350742645366015E-2</v>
      </c>
      <c r="Q972">
        <v>5.3507561991550882E-3</v>
      </c>
      <c r="R972">
        <v>1.6829717278367779E-3</v>
      </c>
      <c r="S972">
        <v>0.25085118817600199</v>
      </c>
      <c r="T972">
        <v>1.3418862049051405</v>
      </c>
      <c r="U972">
        <v>0.21149060003125417</v>
      </c>
      <c r="V972">
        <v>0.24593416128061699</v>
      </c>
      <c r="W972">
        <v>9.4831883244707829E-2</v>
      </c>
      <c r="X972">
        <v>1.516845165628356E-2</v>
      </c>
      <c r="Y972">
        <v>4.5804942516907308E-3</v>
      </c>
    </row>
    <row r="973" spans="1:25" x14ac:dyDescent="0.2">
      <c r="A973" s="1077"/>
      <c r="B973" s="1444">
        <v>723</v>
      </c>
      <c r="C973" s="1081">
        <v>0.97846507890530277</v>
      </c>
      <c r="D973" s="1081">
        <v>1.0471708108392612</v>
      </c>
      <c r="E973" s="1081">
        <v>1.0043751173048872</v>
      </c>
      <c r="F973" s="1081">
        <v>0.97889494904862806</v>
      </c>
      <c r="G973" s="1081">
        <v>1.0363550733973206</v>
      </c>
      <c r="H973" s="1081">
        <v>1.0282851315186254</v>
      </c>
      <c r="I973" s="1081">
        <v>1.0168333687731523</v>
      </c>
      <c r="K973">
        <v>2.4126239641215226</v>
      </c>
      <c r="L973">
        <v>0</v>
      </c>
      <c r="M973">
        <v>1.692579950874335E-3</v>
      </c>
      <c r="N973">
        <v>0.15614610134049606</v>
      </c>
      <c r="O973">
        <v>2.123401990119202E-2</v>
      </c>
      <c r="P973">
        <v>2.8444562565045944E-2</v>
      </c>
      <c r="Q973">
        <v>5.5809742169107114E-3</v>
      </c>
      <c r="R973">
        <v>1.6708528463106765E-3</v>
      </c>
      <c r="S973">
        <v>0.26517660855265268</v>
      </c>
      <c r="T973">
        <v>1.3427827668629424</v>
      </c>
      <c r="U973">
        <v>0.21665397140307247</v>
      </c>
      <c r="V973">
        <v>0.25309642552199152</v>
      </c>
      <c r="W973">
        <v>0.10231144418169928</v>
      </c>
      <c r="X973">
        <v>1.6671306028915402E-2</v>
      </c>
      <c r="Y973">
        <v>4.5475106511649044E-3</v>
      </c>
    </row>
    <row r="974" spans="1:25" x14ac:dyDescent="0.2">
      <c r="A974" s="1077"/>
      <c r="B974" s="1444">
        <v>724</v>
      </c>
      <c r="C974" s="1081">
        <v>1.0176875120470525</v>
      </c>
      <c r="D974" s="1081">
        <v>1.0205664770486318</v>
      </c>
      <c r="E974" s="1081">
        <v>1.0305099075161446</v>
      </c>
      <c r="F974" s="1081">
        <v>1.0167912728123132</v>
      </c>
      <c r="G974" s="1081">
        <v>0.97333992857277218</v>
      </c>
      <c r="H974" s="1081">
        <v>1.0279046000706464</v>
      </c>
      <c r="I974" s="1081">
        <v>0.97300402900842931</v>
      </c>
      <c r="K974">
        <v>2.4221869097001054</v>
      </c>
      <c r="L974">
        <v>0</v>
      </c>
      <c r="M974">
        <v>1.5494280889139958E-3</v>
      </c>
      <c r="N974">
        <v>0.15466740756205288</v>
      </c>
      <c r="O974">
        <v>2.0548569201184842E-2</v>
      </c>
      <c r="P974">
        <v>2.9177873893243573E-2</v>
      </c>
      <c r="Q974">
        <v>5.5431822726617211E-3</v>
      </c>
      <c r="R974">
        <v>1.5295312156512364E-3</v>
      </c>
      <c r="S974">
        <v>0.24726170647951337</v>
      </c>
      <c r="T974">
        <v>1.3953431275509274</v>
      </c>
      <c r="U974">
        <v>0.20839198210367155</v>
      </c>
      <c r="V974">
        <v>0.23978966098614982</v>
      </c>
      <c r="W974">
        <v>9.9801689071712815E-2</v>
      </c>
      <c r="X974">
        <v>1.7518727693076986E-2</v>
      </c>
      <c r="Y974">
        <v>4.162879759172935E-3</v>
      </c>
    </row>
    <row r="975" spans="1:25" x14ac:dyDescent="0.2">
      <c r="A975" s="1077"/>
      <c r="B975" s="1444">
        <v>725</v>
      </c>
      <c r="C975" s="1081">
        <v>1.019823738397089</v>
      </c>
      <c r="D975" s="1081">
        <v>1.003684709617138</v>
      </c>
      <c r="E975" s="1081">
        <v>1.0255561777758606</v>
      </c>
      <c r="F975" s="1081">
        <v>0.99482744506892429</v>
      </c>
      <c r="G975" s="1081">
        <v>1.0143929848398936</v>
      </c>
      <c r="H975" s="1081">
        <v>1.0160510152970297</v>
      </c>
      <c r="I975" s="1081">
        <v>0.99629501397225151</v>
      </c>
      <c r="K975">
        <v>2.4007697066056046</v>
      </c>
      <c r="L975">
        <v>0</v>
      </c>
      <c r="M975">
        <v>1.5498826630535947E-3</v>
      </c>
      <c r="N975">
        <v>0.15239610535808024</v>
      </c>
      <c r="O975">
        <v>2.0577676143797748E-2</v>
      </c>
      <c r="P975">
        <v>2.8831807408372559E-2</v>
      </c>
      <c r="Q975">
        <v>5.5238839444523673E-3</v>
      </c>
      <c r="R975">
        <v>1.5297477608509592E-3</v>
      </c>
      <c r="S975">
        <v>0.25372696713681475</v>
      </c>
      <c r="T975">
        <v>1.3650949879857721</v>
      </c>
      <c r="U975">
        <v>0.2079387889029114</v>
      </c>
      <c r="V975">
        <v>0.24668358375776367</v>
      </c>
      <c r="W975">
        <v>9.8619706588184419E-2</v>
      </c>
      <c r="X975">
        <v>1.7232865157835495E-2</v>
      </c>
      <c r="Y975">
        <v>4.1634691238224752E-3</v>
      </c>
    </row>
    <row r="976" spans="1:25" x14ac:dyDescent="0.2">
      <c r="A976" s="1077"/>
      <c r="B976" s="1444">
        <v>726</v>
      </c>
      <c r="C976" s="1081">
        <v>1.022625881069793</v>
      </c>
      <c r="D976" s="1081">
        <v>0.98515211365186639</v>
      </c>
      <c r="E976" s="1081">
        <v>1.0169167950183087</v>
      </c>
      <c r="F976" s="1081">
        <v>0.99684854519597443</v>
      </c>
      <c r="G976" s="1081">
        <v>1.0162026202837535</v>
      </c>
      <c r="H976" s="1081">
        <v>0.99425148659646578</v>
      </c>
      <c r="I976" s="1081">
        <v>0.99692244291990162</v>
      </c>
      <c r="K976">
        <v>2.3957344264375631</v>
      </c>
      <c r="L976">
        <v>0</v>
      </c>
      <c r="M976">
        <v>1.5462394437465356E-3</v>
      </c>
      <c r="N976">
        <v>0.14808408582469718</v>
      </c>
      <c r="O976">
        <v>2.0599960335148312E-2</v>
      </c>
      <c r="P976">
        <v>2.8679358045892913E-2</v>
      </c>
      <c r="Q976">
        <v>5.4826064122467143E-3</v>
      </c>
      <c r="R976">
        <v>1.5257114400570881E-3</v>
      </c>
      <c r="S976">
        <v>0.25367706369288817</v>
      </c>
      <c r="T976">
        <v>1.3676812838846706</v>
      </c>
      <c r="U976">
        <v>0.20734003506791704</v>
      </c>
      <c r="V976">
        <v>0.24685581124897382</v>
      </c>
      <c r="W976">
        <v>9.6314403482387068E-2</v>
      </c>
      <c r="X976">
        <v>1.6887862857234374E-2</v>
      </c>
      <c r="Y976">
        <v>4.1524835891943506E-3</v>
      </c>
    </row>
    <row r="977" spans="1:25" x14ac:dyDescent="0.2">
      <c r="A977" s="1077"/>
      <c r="B977" s="1444">
        <v>727</v>
      </c>
      <c r="C977" s="1081">
        <v>1.0118875158452068</v>
      </c>
      <c r="D977" s="1081">
        <v>1.0426024113783487</v>
      </c>
      <c r="E977" s="1081">
        <v>1.0254103620365804</v>
      </c>
      <c r="F977" s="1081">
        <v>0.99432588830665114</v>
      </c>
      <c r="G977" s="1081">
        <v>1.0382632426834919</v>
      </c>
      <c r="H977" s="1081">
        <v>1.0041211774304348</v>
      </c>
      <c r="I977" s="1081">
        <v>1.0084032973278452</v>
      </c>
      <c r="K977">
        <v>2.4023547263599845</v>
      </c>
      <c r="L977">
        <v>0</v>
      </c>
      <c r="M977">
        <v>1.5312971374418418E-3</v>
      </c>
      <c r="N977">
        <v>0.15047890832613142</v>
      </c>
      <c r="O977">
        <v>2.0566125718891954E-2</v>
      </c>
      <c r="P977">
        <v>2.8894694087521825E-2</v>
      </c>
      <c r="Q977">
        <v>5.5199855060587052E-3</v>
      </c>
      <c r="R977">
        <v>1.5111673326941744E-3</v>
      </c>
      <c r="S977">
        <v>0.25297879209255586</v>
      </c>
      <c r="T977">
        <v>1.3644036039727019</v>
      </c>
      <c r="U977">
        <v>0.20956915603539206</v>
      </c>
      <c r="V977">
        <v>0.2512376165037582</v>
      </c>
      <c r="W977">
        <v>9.7387307749580626E-2</v>
      </c>
      <c r="X977">
        <v>1.7225766848722728E-2</v>
      </c>
      <c r="Y977">
        <v>4.1128993234162033E-3</v>
      </c>
    </row>
    <row r="978" spans="1:25" x14ac:dyDescent="0.2">
      <c r="A978" s="1077"/>
      <c r="B978" s="1444">
        <v>728</v>
      </c>
      <c r="C978" s="1081">
        <v>1.0132012939520407</v>
      </c>
      <c r="D978" s="1081">
        <v>1.0128751072036817</v>
      </c>
      <c r="E978" s="1081">
        <v>1.015318877425192</v>
      </c>
      <c r="F978" s="1081">
        <v>1.0046458460301759</v>
      </c>
      <c r="G978" s="1081">
        <v>0.96811631898979444</v>
      </c>
      <c r="H978" s="1081">
        <v>0.99955170423906969</v>
      </c>
      <c r="I978" s="1081">
        <v>0.99295853509305132</v>
      </c>
      <c r="K978">
        <v>2.4008658766152875</v>
      </c>
      <c r="L978">
        <v>0</v>
      </c>
      <c r="M978">
        <v>1.5645818841049305E-3</v>
      </c>
      <c r="N978">
        <v>0.14913060435565931</v>
      </c>
      <c r="O978">
        <v>2.0663974877813789E-2</v>
      </c>
      <c r="P978">
        <v>2.8689873250754741E-2</v>
      </c>
      <c r="Q978">
        <v>5.4908954071660335E-3</v>
      </c>
      <c r="R978">
        <v>1.543920507599476E-3</v>
      </c>
      <c r="S978">
        <v>0.25192219943497951</v>
      </c>
      <c r="T978">
        <v>1.3783443889811777</v>
      </c>
      <c r="U978">
        <v>0.20926326460547637</v>
      </c>
      <c r="V978">
        <v>0.23922102954626401</v>
      </c>
      <c r="W978">
        <v>9.7086060201153096E-2</v>
      </c>
      <c r="X978">
        <v>1.6872204662918732E-2</v>
      </c>
      <c r="Y978">
        <v>4.2020426684272272E-3</v>
      </c>
    </row>
    <row r="979" spans="1:25" x14ac:dyDescent="0.2">
      <c r="A979" s="1077"/>
      <c r="B979" s="1444">
        <v>729</v>
      </c>
      <c r="C979" s="1081">
        <v>1.0085439557706708</v>
      </c>
      <c r="D979" s="1081">
        <v>0.97491318341443978</v>
      </c>
      <c r="E979" s="1081">
        <v>0.99491487843272985</v>
      </c>
      <c r="F979" s="1081">
        <v>0.97672283164361928</v>
      </c>
      <c r="G979" s="1081">
        <v>1.0326823545333566</v>
      </c>
      <c r="H979" s="1081">
        <v>1.0138998436929683</v>
      </c>
      <c r="I979" s="1081">
        <v>1.0328502035694953</v>
      </c>
      <c r="K979">
        <v>2.3943735176407888</v>
      </c>
      <c r="L979">
        <v>0</v>
      </c>
      <c r="M979">
        <v>1.6773914058957574E-3</v>
      </c>
      <c r="N979">
        <v>0.15035682857731877</v>
      </c>
      <c r="O979">
        <v>2.0921081916706524E-2</v>
      </c>
      <c r="P979">
        <v>2.8137077757650838E-2</v>
      </c>
      <c r="Q979">
        <v>5.4466730823450257E-3</v>
      </c>
      <c r="R979">
        <v>1.6555537722494937E-3</v>
      </c>
      <c r="S979">
        <v>0.26943012583184633</v>
      </c>
      <c r="T979">
        <v>1.3396033698159262</v>
      </c>
      <c r="U979">
        <v>0.21016040852630694</v>
      </c>
      <c r="V979">
        <v>0.2506028551227909</v>
      </c>
      <c r="W979">
        <v>9.9073795956153385E-2</v>
      </c>
      <c r="X979">
        <v>1.6157267072480316E-2</v>
      </c>
      <c r="Y979">
        <v>4.5058716149087748E-3</v>
      </c>
    </row>
    <row r="980" spans="1:25" x14ac:dyDescent="0.2">
      <c r="A980" s="1077"/>
      <c r="B980" s="1444">
        <v>730</v>
      </c>
      <c r="C980" s="1081">
        <v>1.013700106598266</v>
      </c>
      <c r="D980" s="1081">
        <v>1.0284766931239764</v>
      </c>
      <c r="E980" s="1081">
        <v>0.99390466809974076</v>
      </c>
      <c r="F980" s="1081">
        <v>0.97273820593542693</v>
      </c>
      <c r="G980" s="1081">
        <v>1.0307537779563742</v>
      </c>
      <c r="H980" s="1081">
        <v>0.98502673843124766</v>
      </c>
      <c r="I980" s="1081">
        <v>0.98834953041695794</v>
      </c>
      <c r="K980">
        <v>2.3523199522141529</v>
      </c>
      <c r="L980">
        <v>0</v>
      </c>
      <c r="M980">
        <v>1.6057269959831944E-3</v>
      </c>
      <c r="N980">
        <v>0.14343874111624202</v>
      </c>
      <c r="O980">
        <v>2.0570523353972206E-2</v>
      </c>
      <c r="P980">
        <v>2.771819692035107E-2</v>
      </c>
      <c r="Q980">
        <v>5.3499551538667162E-3</v>
      </c>
      <c r="R980">
        <v>1.584209590310343E-3</v>
      </c>
      <c r="S980">
        <v>0.24736249742199298</v>
      </c>
      <c r="T980">
        <v>1.334117112027408</v>
      </c>
      <c r="U980">
        <v>0.20908803135441323</v>
      </c>
      <c r="V980">
        <v>0.24996261739078338</v>
      </c>
      <c r="W980">
        <v>9.4572315353844069E-2</v>
      </c>
      <c r="X980">
        <v>1.584978325667968E-2</v>
      </c>
      <c r="Y980">
        <v>4.3116962702736614E-3</v>
      </c>
    </row>
    <row r="981" spans="1:25" x14ac:dyDescent="0.2">
      <c r="A981" s="1077"/>
      <c r="B981" s="1444">
        <v>731</v>
      </c>
      <c r="C981" s="1081">
        <v>0.99393957969105984</v>
      </c>
      <c r="D981" s="1081">
        <v>1.0112384597779314</v>
      </c>
      <c r="E981" s="1081">
        <v>0.9680918826057332</v>
      </c>
      <c r="F981" s="1081">
        <v>1.0257834400493235</v>
      </c>
      <c r="G981" s="1081">
        <v>0.98896874304942239</v>
      </c>
      <c r="H981" s="1081">
        <v>0.98810466572113853</v>
      </c>
      <c r="I981" s="1081">
        <v>1.0207094737608178</v>
      </c>
      <c r="K981">
        <v>2.4411271857035155</v>
      </c>
      <c r="L981">
        <v>0</v>
      </c>
      <c r="M981">
        <v>1.7393032199302498E-3</v>
      </c>
      <c r="N981">
        <v>0.14370510685899529</v>
      </c>
      <c r="O981">
        <v>2.1040506084916869E-2</v>
      </c>
      <c r="P981">
        <v>2.8324889729149833E-2</v>
      </c>
      <c r="Q981">
        <v>5.3305618619511217E-3</v>
      </c>
      <c r="R981">
        <v>1.7160684396799342E-3</v>
      </c>
      <c r="S981">
        <v>0.26280419547037159</v>
      </c>
      <c r="T981">
        <v>1.4062985820966496</v>
      </c>
      <c r="U981">
        <v>0.2131564130973278</v>
      </c>
      <c r="V981">
        <v>0.24414206439398628</v>
      </c>
      <c r="W981">
        <v>9.6235127005344992E-2</v>
      </c>
      <c r="X981">
        <v>1.5442401294072308E-2</v>
      </c>
      <c r="Y981">
        <v>4.6705725909996767E-3</v>
      </c>
    </row>
    <row r="982" spans="1:25" x14ac:dyDescent="0.2">
      <c r="A982" s="1077"/>
      <c r="B982" s="1444">
        <v>732</v>
      </c>
      <c r="C982" s="1081">
        <v>1.0170473486970106</v>
      </c>
      <c r="D982" s="1081">
        <v>0.99208413294355446</v>
      </c>
      <c r="E982" s="1081">
        <v>0.98825201854370137</v>
      </c>
      <c r="F982" s="1081">
        <v>1.0013920590862271</v>
      </c>
      <c r="G982" s="1081">
        <v>0.98658827762891099</v>
      </c>
      <c r="H982" s="1081">
        <v>1.0228834483738625</v>
      </c>
      <c r="I982" s="1081">
        <v>0.95870125063973155</v>
      </c>
      <c r="K982">
        <v>2.3922252553815113</v>
      </c>
      <c r="L982">
        <v>0</v>
      </c>
      <c r="M982">
        <v>1.6949052405165472E-3</v>
      </c>
      <c r="N982">
        <v>0.14891441751300441</v>
      </c>
      <c r="O982">
        <v>2.0662278956273213E-2</v>
      </c>
      <c r="P982">
        <v>2.8005001930982099E-2</v>
      </c>
      <c r="Q982">
        <v>5.3432212892504894E-3</v>
      </c>
      <c r="R982">
        <v>1.6730333919814039E-3</v>
      </c>
      <c r="S982">
        <v>0.24650356391294378</v>
      </c>
      <c r="T982">
        <v>1.3732938630098663</v>
      </c>
      <c r="U982">
        <v>0.20838092267120054</v>
      </c>
      <c r="V982">
        <v>0.24223675495093561</v>
      </c>
      <c r="W982">
        <v>9.8515302357102388E-2</v>
      </c>
      <c r="X982">
        <v>1.5838355260823053E-2</v>
      </c>
      <c r="Y982">
        <v>4.5534453776639354E-3</v>
      </c>
    </row>
    <row r="983" spans="1:25" x14ac:dyDescent="0.2">
      <c r="A983" s="1077"/>
      <c r="B983" s="1444">
        <v>733</v>
      </c>
      <c r="C983" s="1081">
        <v>0.99509953899917547</v>
      </c>
      <c r="D983" s="1081">
        <v>1.0093466129458544</v>
      </c>
      <c r="E983" s="1081">
        <v>0.98620866727207068</v>
      </c>
      <c r="F983" s="1081">
        <v>0.97602822046195592</v>
      </c>
      <c r="G983" s="1081">
        <v>0.99383183064517699</v>
      </c>
      <c r="H983" s="1081">
        <v>0.95967018139820204</v>
      </c>
      <c r="I983" s="1081">
        <v>1.0315428558901427</v>
      </c>
      <c r="K983">
        <v>2.3696664440420663</v>
      </c>
      <c r="L983">
        <v>0</v>
      </c>
      <c r="M983">
        <v>1.6259411120085167E-3</v>
      </c>
      <c r="N983">
        <v>0.14185295941921131</v>
      </c>
      <c r="O983">
        <v>2.1036653156350931E-2</v>
      </c>
      <c r="P983">
        <v>2.7813897538700276E-2</v>
      </c>
      <c r="Q983">
        <v>5.4287924316991113E-3</v>
      </c>
      <c r="R983">
        <v>1.6035771353649323E-3</v>
      </c>
      <c r="S983">
        <v>0.26318326622456178</v>
      </c>
      <c r="T983">
        <v>1.338467257753293</v>
      </c>
      <c r="U983">
        <v>0.21296994538466194</v>
      </c>
      <c r="V983">
        <v>0.24483432966902746</v>
      </c>
      <c r="W983">
        <v>9.3958944832894159E-2</v>
      </c>
      <c r="X983">
        <v>1.5778353264907209E-2</v>
      </c>
      <c r="Y983">
        <v>4.3644083434027422E-3</v>
      </c>
    </row>
    <row r="984" spans="1:25" x14ac:dyDescent="0.2">
      <c r="A984" s="1077"/>
      <c r="B984" s="1444">
        <v>734</v>
      </c>
      <c r="C984" s="1081">
        <v>0.96927682193128228</v>
      </c>
      <c r="D984" s="1081">
        <v>1.0027542196836849</v>
      </c>
      <c r="E984" s="1081">
        <v>1.0181363551610958</v>
      </c>
      <c r="F984" s="1081">
        <v>0.98603884989013035</v>
      </c>
      <c r="G984" s="1081">
        <v>1.0172284432882823</v>
      </c>
      <c r="H984" s="1081">
        <v>0.99858597750472966</v>
      </c>
      <c r="I984" s="1081">
        <v>0.99335791441720089</v>
      </c>
      <c r="K984">
        <v>2.4229124174886159</v>
      </c>
      <c r="L984">
        <v>0</v>
      </c>
      <c r="M984">
        <v>1.6279506717596093E-3</v>
      </c>
      <c r="N984">
        <v>0.15649352360406055</v>
      </c>
      <c r="O984">
        <v>2.1650107508908382E-2</v>
      </c>
      <c r="P984">
        <v>2.885960326100781E-2</v>
      </c>
      <c r="Q984">
        <v>5.7690992040803548E-3</v>
      </c>
      <c r="R984">
        <v>1.606431676175815E-3</v>
      </c>
      <c r="S984">
        <v>0.26470962673927301</v>
      </c>
      <c r="T984">
        <v>1.3528764255250927</v>
      </c>
      <c r="U984">
        <v>0.21875635647091266</v>
      </c>
      <c r="V984">
        <v>0.25038565218659908</v>
      </c>
      <c r="W984">
        <v>0.10171119200655089</v>
      </c>
      <c r="X984">
        <v>1.7350172515222747E-2</v>
      </c>
      <c r="Y984">
        <v>4.3721774624908396E-3</v>
      </c>
    </row>
    <row r="985" spans="1:25" x14ac:dyDescent="0.2">
      <c r="A985" s="1077"/>
      <c r="B985" s="1444">
        <v>735</v>
      </c>
      <c r="C985" s="1081">
        <v>1.0138927731319682</v>
      </c>
      <c r="D985" s="1081">
        <v>0.97739339902250255</v>
      </c>
      <c r="E985" s="1081">
        <v>0.99067247932771951</v>
      </c>
      <c r="F985" s="1081">
        <v>0.99970323892726431</v>
      </c>
      <c r="G985" s="1081">
        <v>1.0173337678780854</v>
      </c>
      <c r="H985" s="1081">
        <v>1.0193355797967414</v>
      </c>
      <c r="I985" s="1081">
        <v>1.0098985611051372</v>
      </c>
      <c r="K985">
        <v>2.4135416077676064</v>
      </c>
      <c r="L985">
        <v>0</v>
      </c>
      <c r="M985">
        <v>1.691352368936286E-3</v>
      </c>
      <c r="N985">
        <v>0.14968697043303669</v>
      </c>
      <c r="O985">
        <v>2.0796294906482774E-2</v>
      </c>
      <c r="P985">
        <v>2.831988504202259E-2</v>
      </c>
      <c r="Q985">
        <v>5.3910546498515633E-3</v>
      </c>
      <c r="R985">
        <v>1.6694504013973893E-3</v>
      </c>
      <c r="S985">
        <v>0.26214638173404675</v>
      </c>
      <c r="T985">
        <v>1.3710300630845338</v>
      </c>
      <c r="U985">
        <v>0.20903741538938281</v>
      </c>
      <c r="V985">
        <v>0.24767076851164954</v>
      </c>
      <c r="W985">
        <v>9.8882844197766356E-2</v>
      </c>
      <c r="X985">
        <v>1.6058138127946694E-2</v>
      </c>
      <c r="Y985">
        <v>4.5436936584267789E-3</v>
      </c>
    </row>
    <row r="986" spans="1:25" x14ac:dyDescent="0.2">
      <c r="A986" s="1077"/>
      <c r="B986" s="1444">
        <v>736</v>
      </c>
      <c r="C986" s="1081">
        <v>0.97241586820846959</v>
      </c>
      <c r="D986" s="1081">
        <v>1.0173578704219077</v>
      </c>
      <c r="E986" s="1081">
        <v>1.0078212603215915</v>
      </c>
      <c r="F986" s="1081">
        <v>1.0323074443327107</v>
      </c>
      <c r="G986" s="1081">
        <v>1.018034196495716</v>
      </c>
      <c r="H986" s="1081">
        <v>1.0175851639232301</v>
      </c>
      <c r="I986" s="1081">
        <v>1.0252697592138562</v>
      </c>
      <c r="K986">
        <v>2.4946051499613997</v>
      </c>
      <c r="L986">
        <v>0</v>
      </c>
      <c r="M986">
        <v>1.6840380846537223E-3</v>
      </c>
      <c r="N986">
        <v>0.15696185596806841</v>
      </c>
      <c r="O986">
        <v>2.1504656624587268E-2</v>
      </c>
      <c r="P986">
        <v>2.9598433013687253E-2</v>
      </c>
      <c r="Q986">
        <v>5.6716527923841671E-3</v>
      </c>
      <c r="R986">
        <v>1.6621933204706966E-3</v>
      </c>
      <c r="S986">
        <v>0.27198086968619273</v>
      </c>
      <c r="T986">
        <v>1.4161274995177873</v>
      </c>
      <c r="U986">
        <v>0.21801385913543714</v>
      </c>
      <c r="V986">
        <v>0.25035237466169064</v>
      </c>
      <c r="W986">
        <v>0.10263652581764052</v>
      </c>
      <c r="X986">
        <v>1.7255325231664596E-2</v>
      </c>
      <c r="Y986">
        <v>4.5239422764404048E-3</v>
      </c>
    </row>
    <row r="987" spans="1:25" x14ac:dyDescent="0.2">
      <c r="A987" s="1077"/>
      <c r="B987" s="1444">
        <v>737</v>
      </c>
      <c r="C987" s="1081">
        <v>1.0330280304035173</v>
      </c>
      <c r="D987" s="1081">
        <v>1.03415513249586</v>
      </c>
      <c r="E987" s="1081">
        <v>1.0022940635766253</v>
      </c>
      <c r="F987" s="1081">
        <v>0.98226784411272017</v>
      </c>
      <c r="G987" s="1081">
        <v>0.99229093107421606</v>
      </c>
      <c r="H987" s="1081">
        <v>0.95751081407033167</v>
      </c>
      <c r="I987" s="1081">
        <v>0.98928352526781682</v>
      </c>
      <c r="K987">
        <v>2.3362055291654173</v>
      </c>
      <c r="L987">
        <v>0</v>
      </c>
      <c r="M987">
        <v>1.5034301587793131E-3</v>
      </c>
      <c r="N987">
        <v>0.1376948532898612</v>
      </c>
      <c r="O987">
        <v>2.0166561444548318E-2</v>
      </c>
      <c r="P987">
        <v>2.7815654265096735E-2</v>
      </c>
      <c r="Q987">
        <v>5.2893566707623201E-3</v>
      </c>
      <c r="R987">
        <v>1.4827046219317483E-3</v>
      </c>
      <c r="S987">
        <v>0.24013725454747023</v>
      </c>
      <c r="T987">
        <v>1.3473652381551351</v>
      </c>
      <c r="U987">
        <v>0.20520375222768672</v>
      </c>
      <c r="V987">
        <v>0.24221157394026582</v>
      </c>
      <c r="W987">
        <v>9.0333019858227781E-2</v>
      </c>
      <c r="X987">
        <v>1.5973557095759882E-2</v>
      </c>
      <c r="Y987">
        <v>4.0354332074509598E-3</v>
      </c>
    </row>
    <row r="988" spans="1:25" x14ac:dyDescent="0.2">
      <c r="A988" s="1077"/>
      <c r="B988" s="1444">
        <v>738</v>
      </c>
      <c r="C988" s="1081">
        <v>1.0068228954877187</v>
      </c>
      <c r="D988" s="1081">
        <v>1.0120366111062964</v>
      </c>
      <c r="E988" s="1081">
        <v>0.99353291039443126</v>
      </c>
      <c r="F988" s="1081">
        <v>1.0182424429749672</v>
      </c>
      <c r="G988" s="1081">
        <v>1.011284822998773</v>
      </c>
      <c r="H988" s="1081">
        <v>1.0222780306595574</v>
      </c>
      <c r="I988" s="1081">
        <v>0.97022213098322962</v>
      </c>
      <c r="K988">
        <v>2.4287244737681091</v>
      </c>
      <c r="L988">
        <v>0</v>
      </c>
      <c r="M988">
        <v>1.6850908127124882E-3</v>
      </c>
      <c r="N988">
        <v>0.15043363668042603</v>
      </c>
      <c r="O988">
        <v>2.0784341001052458E-2</v>
      </c>
      <c r="P988">
        <v>2.8566926993568911E-2</v>
      </c>
      <c r="Q988">
        <v>5.403537942750781E-3</v>
      </c>
      <c r="R988">
        <v>1.6633327361046093E-3</v>
      </c>
      <c r="S988">
        <v>0.24950253735939124</v>
      </c>
      <c r="T988">
        <v>1.3965183080772781</v>
      </c>
      <c r="U988">
        <v>0.21051496854920182</v>
      </c>
      <c r="V988">
        <v>0.24705906257533269</v>
      </c>
      <c r="W988">
        <v>9.9206230223192776E-2</v>
      </c>
      <c r="X988">
        <v>1.6229639052335116E-2</v>
      </c>
      <c r="Y988">
        <v>4.5270433901876527E-3</v>
      </c>
    </row>
    <row r="989" spans="1:25" x14ac:dyDescent="0.2">
      <c r="A989" s="1077"/>
      <c r="B989" s="1444">
        <v>739</v>
      </c>
      <c r="C989" s="1081">
        <v>0.98392445913241589</v>
      </c>
      <c r="D989" s="1081">
        <v>0.99895123244813877</v>
      </c>
      <c r="E989" s="1081">
        <v>1.005004952263906</v>
      </c>
      <c r="F989" s="1081">
        <v>0.99502251838667433</v>
      </c>
      <c r="G989" s="1081">
        <v>1.030753203479817</v>
      </c>
      <c r="H989" s="1081">
        <v>0.98841322848727331</v>
      </c>
      <c r="I989" s="1081">
        <v>0.97181510824202622</v>
      </c>
      <c r="K989">
        <v>2.4130262803255036</v>
      </c>
      <c r="L989">
        <v>0</v>
      </c>
      <c r="M989">
        <v>1.6326536635918444E-3</v>
      </c>
      <c r="N989">
        <v>0.15082532459112055</v>
      </c>
      <c r="O989">
        <v>2.1336764434463331E-2</v>
      </c>
      <c r="P989">
        <v>2.8582286853736618E-2</v>
      </c>
      <c r="Q989">
        <v>5.6115210551301448E-3</v>
      </c>
      <c r="R989">
        <v>1.6108503883942354E-3</v>
      </c>
      <c r="S989">
        <v>0.25463830138746352</v>
      </c>
      <c r="T989">
        <v>1.3649190574236572</v>
      </c>
      <c r="U989">
        <v>0.21545403994411061</v>
      </c>
      <c r="V989">
        <v>0.25178373623946054</v>
      </c>
      <c r="W989">
        <v>9.878826667991282E-2</v>
      </c>
      <c r="X989">
        <v>1.6724581251122462E-2</v>
      </c>
      <c r="Y989">
        <v>4.3842037405212881E-3</v>
      </c>
    </row>
    <row r="990" spans="1:25" x14ac:dyDescent="0.2">
      <c r="A990" s="1077"/>
      <c r="B990" s="1444">
        <v>740</v>
      </c>
      <c r="C990" s="1081">
        <v>0.98955457383562495</v>
      </c>
      <c r="D990" s="1081">
        <v>0.99278274024613944</v>
      </c>
      <c r="E990" s="1081">
        <v>0.97426135543361903</v>
      </c>
      <c r="F990" s="1081">
        <v>1.0127557163167216</v>
      </c>
      <c r="G990" s="1081">
        <v>1.0167523483009031</v>
      </c>
      <c r="H990" s="1081">
        <v>1.0079149539198031</v>
      </c>
      <c r="I990" s="1081">
        <v>0.97542647496172541</v>
      </c>
      <c r="K990">
        <v>2.4313625655106139</v>
      </c>
      <c r="L990">
        <v>0</v>
      </c>
      <c r="M990">
        <v>1.7666227829565802E-3</v>
      </c>
      <c r="N990">
        <v>0.14875391593458895</v>
      </c>
      <c r="O990">
        <v>2.1223680123130355E-2</v>
      </c>
      <c r="P990">
        <v>2.8214618253464614E-2</v>
      </c>
      <c r="Q990">
        <v>5.4109587406553292E-3</v>
      </c>
      <c r="R990">
        <v>1.7434868958370391E-3</v>
      </c>
      <c r="S990">
        <v>0.25631160896089517</v>
      </c>
      <c r="T990">
        <v>1.3885725400327296</v>
      </c>
      <c r="U990">
        <v>0.21412218300166228</v>
      </c>
      <c r="V990">
        <v>0.24914581545994968</v>
      </c>
      <c r="W990">
        <v>9.9243163081385283E-2</v>
      </c>
      <c r="X990">
        <v>1.5642021219101365E-2</v>
      </c>
      <c r="Y990">
        <v>4.7451965901676727E-3</v>
      </c>
    </row>
    <row r="991" spans="1:25" x14ac:dyDescent="0.2">
      <c r="A991" s="1077"/>
      <c r="B991" s="1444">
        <v>741</v>
      </c>
      <c r="C991" s="1081">
        <v>0.96331312276760916</v>
      </c>
      <c r="D991" s="1081">
        <v>0.97189298686993175</v>
      </c>
      <c r="E991" s="1081">
        <v>0.98812420898427356</v>
      </c>
      <c r="F991" s="1081">
        <v>0.97438318065274443</v>
      </c>
      <c r="G991" s="1081">
        <v>1.0376040240879918</v>
      </c>
      <c r="H991" s="1081">
        <v>0.98189252051349352</v>
      </c>
      <c r="I991" s="1081">
        <v>0.97304230202420849</v>
      </c>
      <c r="K991">
        <v>2.4021387717162703</v>
      </c>
      <c r="L991">
        <v>0</v>
      </c>
      <c r="M991">
        <v>1.7259827727265577E-3</v>
      </c>
      <c r="N991">
        <v>0.1515035642676672</v>
      </c>
      <c r="O991">
        <v>2.1913652751113386E-2</v>
      </c>
      <c r="P991">
        <v>2.8050347788239487E-2</v>
      </c>
      <c r="Q991">
        <v>5.6660911241390062E-3</v>
      </c>
      <c r="R991">
        <v>1.7027800621285144E-3</v>
      </c>
      <c r="S991">
        <v>0.26333817830435591</v>
      </c>
      <c r="T991">
        <v>1.3362516102838895</v>
      </c>
      <c r="U991">
        <v>0.22000409197239498</v>
      </c>
      <c r="V991">
        <v>0.25437351572536288</v>
      </c>
      <c r="W991">
        <v>0.10023585459229938</v>
      </c>
      <c r="X991">
        <v>1.6190661609590748E-2</v>
      </c>
      <c r="Y991">
        <v>4.6344060078171946E-3</v>
      </c>
    </row>
    <row r="992" spans="1:25" x14ac:dyDescent="0.2">
      <c r="A992" s="1077"/>
      <c r="B992" s="1444">
        <v>742</v>
      </c>
      <c r="C992" s="1081">
        <v>1.0190035289377697</v>
      </c>
      <c r="D992" s="1081">
        <v>1.0078680563145785</v>
      </c>
      <c r="E992" s="1081">
        <v>0.99523387569589417</v>
      </c>
      <c r="F992" s="1081">
        <v>1.0104333557631391</v>
      </c>
      <c r="G992" s="1081">
        <v>1.0133960880295354</v>
      </c>
      <c r="H992" s="1081">
        <v>1.0125501524222733</v>
      </c>
      <c r="I992" s="1081">
        <v>1.0034062562254096</v>
      </c>
      <c r="K992">
        <v>2.4149657141779741</v>
      </c>
      <c r="L992">
        <v>0</v>
      </c>
      <c r="M992">
        <v>1.6447942917939254E-3</v>
      </c>
      <c r="N992">
        <v>0.14757452842253546</v>
      </c>
      <c r="O992">
        <v>2.0555656860137488E-2</v>
      </c>
      <c r="P992">
        <v>2.8489185056129046E-2</v>
      </c>
      <c r="Q992">
        <v>5.3532578812961959E-3</v>
      </c>
      <c r="R992">
        <v>1.6233524905913223E-3</v>
      </c>
      <c r="S992">
        <v>0.25467622960429037</v>
      </c>
      <c r="T992">
        <v>1.3858452846387264</v>
      </c>
      <c r="U992">
        <v>0.20800428389381978</v>
      </c>
      <c r="V992">
        <v>0.24667270811951664</v>
      </c>
      <c r="W992">
        <v>9.7221963891420182E-2</v>
      </c>
      <c r="X992">
        <v>1.6175827269917304E-2</v>
      </c>
      <c r="Y992">
        <v>4.4182303413848791E-3</v>
      </c>
    </row>
    <row r="993" spans="1:25" x14ac:dyDescent="0.2">
      <c r="A993" s="1077"/>
      <c r="B993" s="1444">
        <v>743</v>
      </c>
      <c r="C993" s="1081">
        <v>0.9936636423006816</v>
      </c>
      <c r="D993" s="1081">
        <v>0.98642050523986391</v>
      </c>
      <c r="E993" s="1081">
        <v>0.99151343255424829</v>
      </c>
      <c r="F993" s="1081">
        <v>0.99490823363177339</v>
      </c>
      <c r="G993" s="1081">
        <v>0.96260662096174343</v>
      </c>
      <c r="H993" s="1081">
        <v>0.99819734599093601</v>
      </c>
      <c r="I993" s="1081">
        <v>0.98873353582043932</v>
      </c>
      <c r="K993">
        <v>2.3996221475072916</v>
      </c>
      <c r="L993">
        <v>0</v>
      </c>
      <c r="M993">
        <v>1.6836469650664506E-3</v>
      </c>
      <c r="N993">
        <v>0.1493428369814</v>
      </c>
      <c r="O993">
        <v>2.1177356172103465E-2</v>
      </c>
      <c r="P993">
        <v>2.8152631754077159E-2</v>
      </c>
      <c r="Q993">
        <v>5.4945032821376791E-3</v>
      </c>
      <c r="R993">
        <v>1.6613830857399414E-3</v>
      </c>
      <c r="S993">
        <v>0.25888589993760169</v>
      </c>
      <c r="T993">
        <v>1.3644720781102053</v>
      </c>
      <c r="U993">
        <v>0.21329591450507265</v>
      </c>
      <c r="V993">
        <v>0.23957224324779253</v>
      </c>
      <c r="W993">
        <v>9.8605865045367364E-2</v>
      </c>
      <c r="X993">
        <v>1.6123345266263855E-2</v>
      </c>
      <c r="Y993">
        <v>4.5217370845970963E-3</v>
      </c>
    </row>
    <row r="994" spans="1:25" x14ac:dyDescent="0.2">
      <c r="A994" s="1077"/>
      <c r="B994" s="1444">
        <v>744</v>
      </c>
      <c r="C994" s="1081">
        <v>0.98460435674476632</v>
      </c>
      <c r="D994" s="1081">
        <v>0.99282869513308958</v>
      </c>
      <c r="E994" s="1081">
        <v>1.0023313129797127</v>
      </c>
      <c r="F994" s="1081">
        <v>1.0022559089336396</v>
      </c>
      <c r="G994" s="1081">
        <v>1.037324181514452</v>
      </c>
      <c r="H994" s="1081">
        <v>1.0069086865584149</v>
      </c>
      <c r="I994" s="1081">
        <v>0.97150353297464609</v>
      </c>
      <c r="K994">
        <v>2.4305172406343805</v>
      </c>
      <c r="L994">
        <v>0</v>
      </c>
      <c r="M994">
        <v>1.6735663836040138E-3</v>
      </c>
      <c r="N994">
        <v>0.15339951190598614</v>
      </c>
      <c r="O994">
        <v>2.1349082725508006E-2</v>
      </c>
      <c r="P994">
        <v>2.8701327558211347E-2</v>
      </c>
      <c r="Q994">
        <v>5.5997219063827859E-3</v>
      </c>
      <c r="R994">
        <v>1.6516272701194597E-3</v>
      </c>
      <c r="S994">
        <v>0.25670119917199236</v>
      </c>
      <c r="T994">
        <v>1.3747834391963669</v>
      </c>
      <c r="U994">
        <v>0.21529597539990059</v>
      </c>
      <c r="V994">
        <v>0.2528718982472053</v>
      </c>
      <c r="W994">
        <v>0.10063364465663535</v>
      </c>
      <c r="X994">
        <v>1.6708194009194276E-2</v>
      </c>
      <c r="Y994">
        <v>4.4951849704819007E-3</v>
      </c>
    </row>
    <row r="995" spans="1:25" x14ac:dyDescent="0.2">
      <c r="A995" s="1077"/>
      <c r="B995" s="1444">
        <v>745</v>
      </c>
      <c r="C995" s="1081">
        <v>0.97550051349521516</v>
      </c>
      <c r="D995" s="1081">
        <v>1.0221793538461892</v>
      </c>
      <c r="E995" s="1081">
        <v>0.99564864637081785</v>
      </c>
      <c r="F995" s="1081">
        <v>1.0100621031300736</v>
      </c>
      <c r="G995" s="1081">
        <v>1.0016176401782309</v>
      </c>
      <c r="H995" s="1081">
        <v>1.0087336822666304</v>
      </c>
      <c r="I995" s="1081">
        <v>1.0286407319040081</v>
      </c>
      <c r="K995">
        <v>2.451470273415318</v>
      </c>
      <c r="L995">
        <v>0</v>
      </c>
      <c r="M995">
        <v>1.704901200111747E-3</v>
      </c>
      <c r="N995">
        <v>0.15315166714492531</v>
      </c>
      <c r="O995">
        <v>2.1406126384017291E-2</v>
      </c>
      <c r="P995">
        <v>2.8842179581370472E-2</v>
      </c>
      <c r="Q995">
        <v>5.5770740927816153E-3</v>
      </c>
      <c r="R995">
        <v>1.6825917476061497E-3</v>
      </c>
      <c r="S995">
        <v>0.27047971821388045</v>
      </c>
      <c r="T995">
        <v>1.3853451511245924</v>
      </c>
      <c r="U995">
        <v>0.21728180882978784</v>
      </c>
      <c r="V995">
        <v>0.24738992065878276</v>
      </c>
      <c r="W995">
        <v>0.10087121851005987</v>
      </c>
      <c r="X995">
        <v>1.6568258256860566E-2</v>
      </c>
      <c r="Y995">
        <v>4.5794600707634104E-3</v>
      </c>
    </row>
    <row r="996" spans="1:25" x14ac:dyDescent="0.2">
      <c r="A996" s="1077"/>
      <c r="B996" s="1444">
        <v>746</v>
      </c>
      <c r="C996" s="1081">
        <v>0.98757423429226476</v>
      </c>
      <c r="D996" s="1081">
        <v>1.0161323695343489</v>
      </c>
      <c r="E996" s="1081">
        <v>1.0029238750535188</v>
      </c>
      <c r="F996" s="1081">
        <v>1.0076312073023255</v>
      </c>
      <c r="G996" s="1081">
        <v>1.0104353146693659</v>
      </c>
      <c r="H996" s="1081">
        <v>0.98696027763256144</v>
      </c>
      <c r="I996" s="1081">
        <v>1.0065816579402809</v>
      </c>
      <c r="K996">
        <v>2.4288776581425386</v>
      </c>
      <c r="L996">
        <v>0</v>
      </c>
      <c r="M996">
        <v>1.6251512545614624E-3</v>
      </c>
      <c r="N996">
        <v>0.14918857111824699</v>
      </c>
      <c r="O996">
        <v>2.1176912952604418E-2</v>
      </c>
      <c r="P996">
        <v>2.8791286112343356E-2</v>
      </c>
      <c r="Q996">
        <v>5.5578675707889926E-3</v>
      </c>
      <c r="R996">
        <v>1.6034162201580022E-3</v>
      </c>
      <c r="S996">
        <v>0.26039540884073942</v>
      </c>
      <c r="T996">
        <v>1.382169597736671</v>
      </c>
      <c r="U996">
        <v>0.21465057952548514</v>
      </c>
      <c r="V996">
        <v>0.24808764274959161</v>
      </c>
      <c r="W996">
        <v>9.7836778197861518E-2</v>
      </c>
      <c r="X996">
        <v>1.6680777987350688E-2</v>
      </c>
      <c r="Y996">
        <v>4.3639703852551611E-3</v>
      </c>
    </row>
    <row r="997" spans="1:25" x14ac:dyDescent="0.2">
      <c r="A997" s="1077"/>
      <c r="B997" s="1444">
        <v>747</v>
      </c>
      <c r="C997" s="1081">
        <v>0.98243382842654614</v>
      </c>
      <c r="D997" s="1081">
        <v>0.95659399325311878</v>
      </c>
      <c r="E997" s="1081">
        <v>0.98458040066604446</v>
      </c>
      <c r="F997" s="1081">
        <v>0.99290581126499433</v>
      </c>
      <c r="G997" s="1081">
        <v>0.99594928654081416</v>
      </c>
      <c r="H997" s="1081">
        <v>0.96787770253236372</v>
      </c>
      <c r="I997" s="1081">
        <v>1.0148785509128744</v>
      </c>
      <c r="K997">
        <v>2.4129095037703521</v>
      </c>
      <c r="L997">
        <v>0</v>
      </c>
      <c r="M997">
        <v>1.6863929850939698E-3</v>
      </c>
      <c r="N997">
        <v>0.14642154838100746</v>
      </c>
      <c r="O997">
        <v>2.1559879590383302E-2</v>
      </c>
      <c r="P997">
        <v>2.823916424290019E-2</v>
      </c>
      <c r="Q997">
        <v>5.5546452922024345E-3</v>
      </c>
      <c r="R997">
        <v>1.6633942198392496E-3</v>
      </c>
      <c r="S997">
        <v>0.27021730190211768</v>
      </c>
      <c r="T997">
        <v>1.3615773234134187</v>
      </c>
      <c r="U997">
        <v>0.21570993945907843</v>
      </c>
      <c r="V997">
        <v>0.24601010571715551</v>
      </c>
      <c r="W997">
        <v>9.7080028796649939E-2</v>
      </c>
      <c r="X997">
        <v>1.6035355012046001E-2</v>
      </c>
      <c r="Y997">
        <v>4.5272107286452373E-3</v>
      </c>
    </row>
    <row r="998" spans="1:25" x14ac:dyDescent="0.2">
      <c r="A998" s="1077"/>
      <c r="B998" s="1444">
        <v>748</v>
      </c>
      <c r="C998" s="1081">
        <v>0.98266658031661691</v>
      </c>
      <c r="D998" s="1081">
        <v>0.99956742588119973</v>
      </c>
      <c r="E998" s="1081">
        <v>1.0081299759020366</v>
      </c>
      <c r="F998" s="1081">
        <v>1.0010567456083574</v>
      </c>
      <c r="G998" s="1081">
        <v>1.0246439852918503</v>
      </c>
      <c r="H998" s="1081">
        <v>0.9981478140418476</v>
      </c>
      <c r="I998" s="1081">
        <v>1.0042283552468327</v>
      </c>
      <c r="K998">
        <v>2.4342435363578434</v>
      </c>
      <c r="L998">
        <v>0</v>
      </c>
      <c r="M998">
        <v>1.6399438001425141E-3</v>
      </c>
      <c r="N998">
        <v>0.15295541249457162</v>
      </c>
      <c r="O998">
        <v>2.1363291749966533E-2</v>
      </c>
      <c r="P998">
        <v>2.8885791858141292E-2</v>
      </c>
      <c r="Q998">
        <v>5.6361101266684827E-3</v>
      </c>
      <c r="R998">
        <v>1.6182567579843888E-3</v>
      </c>
      <c r="S998">
        <v>0.2642592085386628</v>
      </c>
      <c r="T998">
        <v>1.3732642390462857</v>
      </c>
      <c r="U998">
        <v>0.21574071707184775</v>
      </c>
      <c r="V998">
        <v>0.25081035139502617</v>
      </c>
      <c r="W998">
        <v>9.9998498988102189E-2</v>
      </c>
      <c r="X998">
        <v>1.6947240693688137E-2</v>
      </c>
      <c r="Y998">
        <v>4.4043614370366064E-3</v>
      </c>
    </row>
    <row r="999" spans="1:25" x14ac:dyDescent="0.2">
      <c r="A999" s="1077"/>
      <c r="B999" s="1444">
        <v>749</v>
      </c>
      <c r="C999" s="1081">
        <v>0.9814110649260529</v>
      </c>
      <c r="D999" s="1081">
        <v>1.0060523198838505</v>
      </c>
      <c r="E999" s="1081">
        <v>0.99623267802988325</v>
      </c>
      <c r="F999" s="1081">
        <v>1.0245262323459006</v>
      </c>
      <c r="G999" s="1081">
        <v>0.99212197405192493</v>
      </c>
      <c r="H999" s="1081">
        <v>1.0211458687297752</v>
      </c>
      <c r="I999" s="1081">
        <v>1.0374580433185967</v>
      </c>
      <c r="K999">
        <v>2.4749596413923625</v>
      </c>
      <c r="L999">
        <v>0</v>
      </c>
      <c r="M999">
        <v>1.7194148405563893E-3</v>
      </c>
      <c r="N999">
        <v>0.15475322395368382</v>
      </c>
      <c r="O999">
        <v>2.1352173671817444E-2</v>
      </c>
      <c r="P999">
        <v>2.9133585934600373E-2</v>
      </c>
      <c r="Q999">
        <v>5.5662915680773301E-3</v>
      </c>
      <c r="R999">
        <v>1.6971889534212726E-3</v>
      </c>
      <c r="S999">
        <v>0.27443175391715219</v>
      </c>
      <c r="T999">
        <v>1.4051962791854604</v>
      </c>
      <c r="U999">
        <v>0.21597526127664149</v>
      </c>
      <c r="V999">
        <v>0.24538089174802746</v>
      </c>
      <c r="W999">
        <v>0.10189057401243533</v>
      </c>
      <c r="X999">
        <v>1.6682643158578484E-2</v>
      </c>
      <c r="Y999">
        <v>4.6191888530245718E-3</v>
      </c>
    </row>
    <row r="1000" spans="1:25" x14ac:dyDescent="0.2">
      <c r="A1000" s="1077"/>
      <c r="B1000" s="1444">
        <v>750</v>
      </c>
      <c r="C1000" s="1081">
        <v>1.0000566511523215</v>
      </c>
      <c r="D1000" s="1081">
        <v>1.002897291643041</v>
      </c>
      <c r="E1000" s="1081">
        <v>0.97838255098419658</v>
      </c>
      <c r="F1000" s="1081">
        <v>0.97757264316629333</v>
      </c>
      <c r="G1000" s="1081">
        <v>0.96982652706986516</v>
      </c>
      <c r="H1000" s="1081">
        <v>1.0310325071815167</v>
      </c>
      <c r="I1000" s="1081">
        <v>0.99763493889827259</v>
      </c>
      <c r="K1000">
        <v>2.378199548133292</v>
      </c>
      <c r="L1000">
        <v>0</v>
      </c>
      <c r="M1000">
        <v>1.7690503053708903E-3</v>
      </c>
      <c r="N1000">
        <v>0.15087274473982815</v>
      </c>
      <c r="O1000">
        <v>2.0956742441890417E-2</v>
      </c>
      <c r="P1000">
        <v>2.7560643743051855E-2</v>
      </c>
      <c r="Q1000">
        <v>5.3653764389474199E-3</v>
      </c>
      <c r="R1000">
        <v>1.7464020870420385E-3</v>
      </c>
      <c r="S1000">
        <v>0.26007474709130013</v>
      </c>
      <c r="T1000">
        <v>1.3404203209063419</v>
      </c>
      <c r="U1000">
        <v>0.21188761522187077</v>
      </c>
      <c r="V1000">
        <v>0.24045000811126208</v>
      </c>
      <c r="W1000">
        <v>0.10040586777827064</v>
      </c>
      <c r="X1000">
        <v>1.5474999099220862E-2</v>
      </c>
      <c r="Y1000">
        <v>4.753130779635158E-3</v>
      </c>
    </row>
    <row r="1001" spans="1:25" x14ac:dyDescent="0.2">
      <c r="A1001" s="1077"/>
      <c r="B1001" s="1444">
        <v>751</v>
      </c>
      <c r="C1001" s="1081">
        <v>0.96905570432752386</v>
      </c>
      <c r="D1001" s="1081">
        <v>1.0103412426415661</v>
      </c>
      <c r="E1001" s="1081">
        <v>1.0026678534766651</v>
      </c>
      <c r="F1001" s="1081">
        <v>0.95925646495702921</v>
      </c>
      <c r="G1001" s="1081">
        <v>0.99131261453469133</v>
      </c>
      <c r="H1001" s="1081">
        <v>1.0007023667114372</v>
      </c>
      <c r="I1001" s="1081">
        <v>0.9644538602106969</v>
      </c>
      <c r="K1001">
        <v>2.3684372432055483</v>
      </c>
      <c r="L1001">
        <v>0</v>
      </c>
      <c r="M1001">
        <v>1.6822745442170869E-3</v>
      </c>
      <c r="N1001">
        <v>0.1543418211145462</v>
      </c>
      <c r="O1001">
        <v>2.1608579946907128E-2</v>
      </c>
      <c r="P1001">
        <v>2.7848388764837761E-2</v>
      </c>
      <c r="Q1001">
        <v>5.6697012878941669E-3</v>
      </c>
      <c r="R1001">
        <v>1.6600845001436715E-3</v>
      </c>
      <c r="S1001">
        <v>0.2561520783097968</v>
      </c>
      <c r="T1001">
        <v>1.3158085591744952</v>
      </c>
      <c r="U1001">
        <v>0.21875162103165377</v>
      </c>
      <c r="V1001">
        <v>0.24603059766017013</v>
      </c>
      <c r="W1001">
        <v>0.10123161081508202</v>
      </c>
      <c r="X1001">
        <v>1.6498272381554175E-2</v>
      </c>
      <c r="Y1001">
        <v>4.5182027626826781E-3</v>
      </c>
    </row>
    <row r="1002" spans="1:25" x14ac:dyDescent="0.2">
      <c r="A1002" s="1077"/>
      <c r="B1002" s="1444">
        <v>752</v>
      </c>
      <c r="C1002" s="1081">
        <v>0.96857763587583479</v>
      </c>
      <c r="D1002" s="1081">
        <v>0.97758276209550954</v>
      </c>
      <c r="E1002" s="1081">
        <v>0.99883606241699308</v>
      </c>
      <c r="F1002" s="1081">
        <v>0.96601122566560238</v>
      </c>
      <c r="G1002" s="1081">
        <v>1.0033262171162254</v>
      </c>
      <c r="H1002" s="1081">
        <v>0.99218333392083724</v>
      </c>
      <c r="I1002" s="1081">
        <v>1.0046606338866704</v>
      </c>
      <c r="K1002">
        <v>2.3938645472275493</v>
      </c>
      <c r="L1002">
        <v>0</v>
      </c>
      <c r="M1002">
        <v>1.6943365853933875E-3</v>
      </c>
      <c r="N1002">
        <v>0.1536417284659313</v>
      </c>
      <c r="O1002">
        <v>2.1773943869972372E-2</v>
      </c>
      <c r="P1002">
        <v>2.8121463409134514E-2</v>
      </c>
      <c r="Q1002">
        <v>5.6911364864553182E-3</v>
      </c>
      <c r="R1002">
        <v>1.6717955438610339E-3</v>
      </c>
      <c r="S1002">
        <v>0.27062395004483847</v>
      </c>
      <c r="T1002">
        <v>1.3249939692303569</v>
      </c>
      <c r="U1002">
        <v>0.2188460675152164</v>
      </c>
      <c r="V1002">
        <v>0.24812745673120676</v>
      </c>
      <c r="W1002">
        <v>0.10100205037807872</v>
      </c>
      <c r="X1002">
        <v>1.6515245774752604E-2</v>
      </c>
      <c r="Y1002">
        <v>4.5500763631368159E-3</v>
      </c>
    </row>
    <row r="1003" spans="1:25" x14ac:dyDescent="0.2">
      <c r="A1003" s="1077"/>
      <c r="B1003" s="1444">
        <v>753</v>
      </c>
      <c r="C1003" s="1081">
        <v>0.97793952909687176</v>
      </c>
      <c r="D1003" s="1081">
        <v>0.98279691008326042</v>
      </c>
      <c r="E1003" s="1081">
        <v>0.9616489458253038</v>
      </c>
      <c r="F1003" s="1081">
        <v>0.97642187925352275</v>
      </c>
      <c r="G1003" s="1081">
        <v>0.95970655386610415</v>
      </c>
      <c r="H1003" s="1081">
        <v>0.96890730495211486</v>
      </c>
      <c r="I1003" s="1081">
        <v>1.0015835686406658</v>
      </c>
      <c r="K1003">
        <v>2.3728778280000511</v>
      </c>
      <c r="L1003">
        <v>0</v>
      </c>
      <c r="M1003">
        <v>1.7676657290590103E-3</v>
      </c>
      <c r="N1003">
        <v>0.14318742952317903</v>
      </c>
      <c r="O1003">
        <v>2.1515024265501795E-2</v>
      </c>
      <c r="P1003">
        <v>2.7297463515880832E-2</v>
      </c>
      <c r="Q1003">
        <v>5.414901204408051E-3</v>
      </c>
      <c r="R1003">
        <v>1.7435841960529175E-3</v>
      </c>
      <c r="S1003">
        <v>0.26415115783741816</v>
      </c>
      <c r="T1003">
        <v>1.3384912521188455</v>
      </c>
      <c r="U1003">
        <v>0.2166214705714215</v>
      </c>
      <c r="V1003">
        <v>0.24018943400816706</v>
      </c>
      <c r="W1003">
        <v>9.6266749661696127E-2</v>
      </c>
      <c r="X1003">
        <v>1.5021565417259823E-2</v>
      </c>
      <c r="Y1003">
        <v>4.7454614092802862E-3</v>
      </c>
    </row>
    <row r="1004" spans="1:25" x14ac:dyDescent="0.2">
      <c r="A1004" s="1077"/>
      <c r="B1004" s="1444">
        <v>754</v>
      </c>
      <c r="C1004" s="1081">
        <v>1.0165130413958687</v>
      </c>
      <c r="D1004" s="1081">
        <v>0.99871851681491541</v>
      </c>
      <c r="E1004" s="1081">
        <v>1.0003533494834789</v>
      </c>
      <c r="F1004" s="1081">
        <v>1.0272364415851671</v>
      </c>
      <c r="G1004" s="1081">
        <v>1.0222521668615283</v>
      </c>
      <c r="H1004" s="1081">
        <v>1.0102843871955354</v>
      </c>
      <c r="I1004" s="1081">
        <v>1.0027176418557784</v>
      </c>
      <c r="K1004">
        <v>2.4441225004253742</v>
      </c>
      <c r="L1004">
        <v>0</v>
      </c>
      <c r="M1004">
        <v>1.631031703889921E-3</v>
      </c>
      <c r="N1004">
        <v>0.14861672536939491</v>
      </c>
      <c r="O1004">
        <v>2.0650744579667681E-2</v>
      </c>
      <c r="P1004">
        <v>2.896403947435135E-2</v>
      </c>
      <c r="Q1004">
        <v>5.4058019183690926E-3</v>
      </c>
      <c r="R1004">
        <v>1.6097216288113718E-3</v>
      </c>
      <c r="S1004">
        <v>0.25614048884801088</v>
      </c>
      <c r="T1004">
        <v>1.4090050049052785</v>
      </c>
      <c r="U1004">
        <v>0.20853110995612359</v>
      </c>
      <c r="V1004">
        <v>0.24831626099476745</v>
      </c>
      <c r="W1004">
        <v>9.7610587087741507E-2</v>
      </c>
      <c r="X1004">
        <v>1.6521915737711852E-2</v>
      </c>
      <c r="Y1004">
        <v>4.3811316290322307E-3</v>
      </c>
    </row>
    <row r="1005" spans="1:25" x14ac:dyDescent="0.2">
      <c r="A1005" s="1077"/>
      <c r="B1005" s="1444">
        <v>755</v>
      </c>
      <c r="C1005" s="1081">
        <v>1.0392766676192875</v>
      </c>
      <c r="D1005" s="1081">
        <v>1.0041554120729779</v>
      </c>
      <c r="E1005" s="1081">
        <v>1.0005468664037636</v>
      </c>
      <c r="F1005" s="1081">
        <v>1.0383145313462001</v>
      </c>
      <c r="G1005" s="1081">
        <v>1.0186676191078796</v>
      </c>
      <c r="H1005" s="1081">
        <v>1.0093883992369848</v>
      </c>
      <c r="I1005" s="1081">
        <v>0.98969347465702773</v>
      </c>
      <c r="K1005">
        <v>2.4364664682206025</v>
      </c>
      <c r="L1005">
        <v>0</v>
      </c>
      <c r="M1005">
        <v>1.5913502674031932E-3</v>
      </c>
      <c r="N1005">
        <v>0.14508411585727701</v>
      </c>
      <c r="O1005">
        <v>2.0174437185832499E-2</v>
      </c>
      <c r="P1005">
        <v>2.89554997501732E-2</v>
      </c>
      <c r="Q1005">
        <v>5.2821447511867013E-3</v>
      </c>
      <c r="R1005">
        <v>1.5705401902334209E-3</v>
      </c>
      <c r="S1005">
        <v>0.24653513729990476</v>
      </c>
      <c r="T1005">
        <v>1.4242045712914637</v>
      </c>
      <c r="U1005">
        <v>0.20396421948495905</v>
      </c>
      <c r="V1005">
        <v>0.24635897317463687</v>
      </c>
      <c r="W1005">
        <v>9.5279434651029241E-2</v>
      </c>
      <c r="X1005">
        <v>1.6374252181927226E-2</v>
      </c>
      <c r="Y1005">
        <v>4.2744926693808038E-3</v>
      </c>
    </row>
    <row r="1006" spans="1:25" x14ac:dyDescent="0.2">
      <c r="A1006" s="1077"/>
      <c r="B1006" s="1444">
        <v>756</v>
      </c>
      <c r="C1006" s="1081">
        <v>1.0048024318778679</v>
      </c>
      <c r="D1006" s="1081">
        <v>1.0034359646109634</v>
      </c>
      <c r="E1006" s="1081">
        <v>0.99763149949560836</v>
      </c>
      <c r="F1006" s="1081">
        <v>1.0086140877062377</v>
      </c>
      <c r="G1006" s="1081">
        <v>0.9964129367143636</v>
      </c>
      <c r="H1006" s="1081">
        <v>0.96588483249621604</v>
      </c>
      <c r="I1006" s="1081">
        <v>1.0053931449793825</v>
      </c>
      <c r="K1006">
        <v>2.407080603793307</v>
      </c>
      <c r="L1006">
        <v>0</v>
      </c>
      <c r="M1006">
        <v>1.5848120445576411E-3</v>
      </c>
      <c r="N1006">
        <v>0.14313541023645759</v>
      </c>
      <c r="O1006">
        <v>2.0867977982146416E-2</v>
      </c>
      <c r="P1006">
        <v>2.8529327172508015E-2</v>
      </c>
      <c r="Q1006">
        <v>5.4477342404749343E-3</v>
      </c>
      <c r="R1006">
        <v>1.5631540302999034E-3</v>
      </c>
      <c r="S1006">
        <v>0.25540774523567489</v>
      </c>
      <c r="T1006">
        <v>1.383402359223364</v>
      </c>
      <c r="U1006">
        <v>0.21095220675633269</v>
      </c>
      <c r="V1006">
        <v>0.24462880855639144</v>
      </c>
      <c r="W1006">
        <v>9.4162818561932912E-2</v>
      </c>
      <c r="X1006">
        <v>1.6313483865393261E-2</v>
      </c>
      <c r="Y1006">
        <v>4.2543899768887365E-3</v>
      </c>
    </row>
    <row r="1007" spans="1:25" x14ac:dyDescent="0.2">
      <c r="A1007" s="1077"/>
      <c r="B1007" s="1444">
        <v>757</v>
      </c>
      <c r="C1007" s="1081">
        <v>1.0192672126762794</v>
      </c>
      <c r="D1007" s="1081">
        <v>1.021477145945656</v>
      </c>
      <c r="E1007" s="1081">
        <v>0.97385953795822511</v>
      </c>
      <c r="F1007" s="1081">
        <v>0.99919303523232705</v>
      </c>
      <c r="G1007" s="1081">
        <v>0.99415355585062315</v>
      </c>
      <c r="H1007" s="1081">
        <v>0.9735204225191576</v>
      </c>
      <c r="I1007" s="1081">
        <v>1.0051075806746139</v>
      </c>
      <c r="K1007">
        <v>2.3751819834082095</v>
      </c>
      <c r="L1007">
        <v>0</v>
      </c>
      <c r="M1007">
        <v>1.6476115391163327E-3</v>
      </c>
      <c r="N1007">
        <v>0.13849928103494513</v>
      </c>
      <c r="O1007">
        <v>2.0475971272970604E-2</v>
      </c>
      <c r="P1007">
        <v>2.7711745421926337E-2</v>
      </c>
      <c r="Q1007">
        <v>5.2181923792785174E-3</v>
      </c>
      <c r="R1007">
        <v>1.6252719090715337E-3</v>
      </c>
      <c r="S1007">
        <v>0.24991806313262763</v>
      </c>
      <c r="T1007">
        <v>1.3699683364424176</v>
      </c>
      <c r="U1007">
        <v>0.2078789694955577</v>
      </c>
      <c r="V1007">
        <v>0.24344797994383174</v>
      </c>
      <c r="W1007">
        <v>9.2424174074662163E-2</v>
      </c>
      <c r="X1007">
        <v>1.5238155474283208E-2</v>
      </c>
      <c r="Y1007">
        <v>4.4234543657518813E-3</v>
      </c>
    </row>
    <row r="1008" spans="1:25" x14ac:dyDescent="0.2">
      <c r="A1008" s="1077"/>
      <c r="B1008" s="1444">
        <v>758</v>
      </c>
      <c r="C1008" s="1081">
        <v>0.98399742221203268</v>
      </c>
      <c r="D1008" s="1081">
        <v>1.0183130964439566</v>
      </c>
      <c r="E1008" s="1081">
        <v>1.0313253896536712</v>
      </c>
      <c r="F1008" s="1081">
        <v>0.98327419139039518</v>
      </c>
      <c r="G1008" s="1081">
        <v>0.9874101984480077</v>
      </c>
      <c r="H1008" s="1081">
        <v>1.0080810988790896</v>
      </c>
      <c r="I1008" s="1081">
        <v>1.0350483185943413</v>
      </c>
      <c r="K1008">
        <v>2.4160246169752639</v>
      </c>
      <c r="L1008">
        <v>0</v>
      </c>
      <c r="M1008">
        <v>1.5696675289614409E-3</v>
      </c>
      <c r="N1008">
        <v>0.15703321189682756</v>
      </c>
      <c r="O1008">
        <v>2.1262998416095351E-2</v>
      </c>
      <c r="P1008">
        <v>2.9041110730736341E-2</v>
      </c>
      <c r="Q1008">
        <v>5.7405308884748716E-3</v>
      </c>
      <c r="R1008">
        <v>1.5491143775920619E-3</v>
      </c>
      <c r="S1008">
        <v>0.27057095897604233</v>
      </c>
      <c r="T1008">
        <v>1.3493650680400788</v>
      </c>
      <c r="U1008">
        <v>0.2155297498708045</v>
      </c>
      <c r="V1008">
        <v>0.24428780153693885</v>
      </c>
      <c r="W1008">
        <v>0.10128034358284727</v>
      </c>
      <c r="X1008">
        <v>1.7717217517400356E-2</v>
      </c>
      <c r="Y1008">
        <v>4.2161786703882641E-3</v>
      </c>
    </row>
    <row r="1009" spans="1:25" x14ac:dyDescent="0.2">
      <c r="A1009" s="1077"/>
      <c r="B1009" s="1444">
        <v>759</v>
      </c>
      <c r="C1009" s="1081">
        <v>0.9757610813637192</v>
      </c>
      <c r="D1009" s="1081">
        <v>0.97703107102391229</v>
      </c>
      <c r="E1009" s="1081">
        <v>1.001524313308183</v>
      </c>
      <c r="F1009" s="1081">
        <v>0.97009028093141536</v>
      </c>
      <c r="G1009" s="1081">
        <v>1.037319315174305</v>
      </c>
      <c r="H1009" s="1081">
        <v>0.99211744134097657</v>
      </c>
      <c r="I1009" s="1081">
        <v>0.9989842725782766</v>
      </c>
      <c r="K1009">
        <v>2.3984228877725271</v>
      </c>
      <c r="L1009">
        <v>0</v>
      </c>
      <c r="M1009">
        <v>1.6726070411672528E-3</v>
      </c>
      <c r="N1009">
        <v>0.1529080068318561</v>
      </c>
      <c r="O1009">
        <v>2.161816874724155E-2</v>
      </c>
      <c r="P1009">
        <v>2.8259146885688008E-2</v>
      </c>
      <c r="Q1009">
        <v>5.6657085076988233E-3</v>
      </c>
      <c r="R1009">
        <v>1.6503536063139433E-3</v>
      </c>
      <c r="S1009">
        <v>0.26720689675222004</v>
      </c>
      <c r="T1009">
        <v>1.3306452614742434</v>
      </c>
      <c r="U1009">
        <v>0.2172443644987791</v>
      </c>
      <c r="V1009">
        <v>0.25344841230482018</v>
      </c>
      <c r="W1009">
        <v>0.10035925716070601</v>
      </c>
      <c r="X1009">
        <v>1.6598199566660553E-2</v>
      </c>
      <c r="Y1009">
        <v>4.4917184774664444E-3</v>
      </c>
    </row>
    <row r="1010" spans="1:25" x14ac:dyDescent="0.2">
      <c r="A1010" s="1077"/>
      <c r="B1010" s="1444">
        <v>760</v>
      </c>
      <c r="C1010" s="1081">
        <v>1.0172182051863339</v>
      </c>
      <c r="D1010" s="1081">
        <v>0.97885460063279406</v>
      </c>
      <c r="E1010" s="1081">
        <v>1.0407434246542684</v>
      </c>
      <c r="F1010" s="1081">
        <v>1.0234685736805753</v>
      </c>
      <c r="G1010" s="1081">
        <v>0.96586527236756015</v>
      </c>
      <c r="H1010" s="1081">
        <v>1.0084299320607928</v>
      </c>
      <c r="I1010" s="1081">
        <v>0.98105788885053358</v>
      </c>
      <c r="K1010">
        <v>2.4367663017272392</v>
      </c>
      <c r="L1010">
        <v>0</v>
      </c>
      <c r="M1010">
        <v>1.5023909968700456E-3</v>
      </c>
      <c r="N1010">
        <v>0.1546299312593151</v>
      </c>
      <c r="O1010">
        <v>2.0754397861270601E-2</v>
      </c>
      <c r="P1010">
        <v>2.959283119804745E-2</v>
      </c>
      <c r="Q1010">
        <v>5.6554646737226252E-3</v>
      </c>
      <c r="R1010">
        <v>1.4827255661496084E-3</v>
      </c>
      <c r="S1010">
        <v>0.25313987934236776</v>
      </c>
      <c r="T1010">
        <v>1.4047344766030496</v>
      </c>
      <c r="U1010">
        <v>0.20852269819302466</v>
      </c>
      <c r="V1010">
        <v>0.23850872458820782</v>
      </c>
      <c r="W1010">
        <v>9.9189146856872787E-2</v>
      </c>
      <c r="X1010">
        <v>1.8022926371371161E-2</v>
      </c>
      <c r="Y1010">
        <v>4.0354902107077161E-3</v>
      </c>
    </row>
    <row r="1011" spans="1:25" x14ac:dyDescent="0.2">
      <c r="A1011" s="1077"/>
      <c r="B1011" s="1444">
        <v>761</v>
      </c>
      <c r="C1011" s="1081">
        <v>0.99351226628213118</v>
      </c>
      <c r="D1011" s="1081">
        <v>1.007934427433977</v>
      </c>
      <c r="E1011" s="1081">
        <v>0.99260606642807259</v>
      </c>
      <c r="F1011" s="1081">
        <v>0.98664421890120302</v>
      </c>
      <c r="G1011" s="1081">
        <v>1.008952248547454</v>
      </c>
      <c r="H1011" s="1081">
        <v>0.96978250300551527</v>
      </c>
      <c r="I1011" s="1081">
        <v>1.0197632148917215</v>
      </c>
      <c r="K1011">
        <v>2.3907516930621564</v>
      </c>
      <c r="L1011">
        <v>0</v>
      </c>
      <c r="M1011">
        <v>1.6245407104447658E-3</v>
      </c>
      <c r="N1011">
        <v>0.14451997741221315</v>
      </c>
      <c r="O1011">
        <v>2.1081012101292755E-2</v>
      </c>
      <c r="P1011">
        <v>2.8168541267901352E-2</v>
      </c>
      <c r="Q1011">
        <v>5.4755435741450408E-3</v>
      </c>
      <c r="R1011">
        <v>1.6024289931437009E-3</v>
      </c>
      <c r="S1011">
        <v>0.26171118174874375</v>
      </c>
      <c r="T1011">
        <v>1.3531616306011913</v>
      </c>
      <c r="U1011">
        <v>0.21333216777743086</v>
      </c>
      <c r="V1011">
        <v>0.24749420511893427</v>
      </c>
      <c r="W1011">
        <v>9.5359162625506005E-2</v>
      </c>
      <c r="X1011">
        <v>1.6109099073338764E-2</v>
      </c>
      <c r="Y1011">
        <v>4.3612834787615318E-3</v>
      </c>
    </row>
    <row r="1012" spans="1:25" x14ac:dyDescent="0.2">
      <c r="A1012" s="1077"/>
      <c r="B1012" s="1444">
        <v>762</v>
      </c>
      <c r="C1012" s="1081">
        <v>1.0203137559006985</v>
      </c>
      <c r="D1012" s="1081">
        <v>0.99491458717165304</v>
      </c>
      <c r="E1012" s="1081">
        <v>0.9899030536736273</v>
      </c>
      <c r="F1012" s="1081">
        <v>0.99603695762984912</v>
      </c>
      <c r="G1012" s="1081">
        <v>1.0005000471112884</v>
      </c>
      <c r="H1012" s="1081">
        <v>1.0258334154549782</v>
      </c>
      <c r="I1012" s="1081">
        <v>1.0022682757017334</v>
      </c>
      <c r="K1012">
        <v>2.3968148575241623</v>
      </c>
      <c r="L1012">
        <v>0</v>
      </c>
      <c r="M1012">
        <v>1.6875106637872386E-3</v>
      </c>
      <c r="N1012">
        <v>0.14901234011998704</v>
      </c>
      <c r="O1012">
        <v>2.0584299438356244E-2</v>
      </c>
      <c r="P1012">
        <v>2.8100449635866265E-2</v>
      </c>
      <c r="Q1012">
        <v>5.3319510912856541E-3</v>
      </c>
      <c r="R1012">
        <v>1.6657968603207337E-3</v>
      </c>
      <c r="S1012">
        <v>0.25677535058179746</v>
      </c>
      <c r="T1012">
        <v>1.3659854464647645</v>
      </c>
      <c r="U1012">
        <v>0.20771933880819451</v>
      </c>
      <c r="V1012">
        <v>0.24441088839226971</v>
      </c>
      <c r="W1012">
        <v>9.8482558125518718E-2</v>
      </c>
      <c r="X1012">
        <v>1.5900198745580976E-2</v>
      </c>
      <c r="Y1012">
        <v>4.5337499240056161E-3</v>
      </c>
    </row>
    <row r="1013" spans="1:25" x14ac:dyDescent="0.2">
      <c r="A1013" s="1077"/>
      <c r="B1013" s="1444">
        <v>763</v>
      </c>
      <c r="C1013" s="1081">
        <v>0.98344628821297941</v>
      </c>
      <c r="D1013" s="1081">
        <v>1.0097305532219147</v>
      </c>
      <c r="E1013" s="1081">
        <v>0.98286203521314919</v>
      </c>
      <c r="F1013" s="1081">
        <v>1.0102874409145568</v>
      </c>
      <c r="G1013" s="1081">
        <v>1.0387881175626008</v>
      </c>
      <c r="H1013" s="1081">
        <v>0.98500628796257306</v>
      </c>
      <c r="I1013" s="1081">
        <v>1.0063557606115485</v>
      </c>
      <c r="K1013">
        <v>2.4362471571872266</v>
      </c>
      <c r="L1013">
        <v>0</v>
      </c>
      <c r="M1013">
        <v>1.7002347796751416E-3</v>
      </c>
      <c r="N1013">
        <v>0.14689335429307984</v>
      </c>
      <c r="O1013">
        <v>2.1281895930535488E-2</v>
      </c>
      <c r="P1013">
        <v>2.8506003028228311E-2</v>
      </c>
      <c r="Q1013">
        <v>5.4734779048893597E-3</v>
      </c>
      <c r="R1013">
        <v>1.6774504575913782E-3</v>
      </c>
      <c r="S1013">
        <v>0.2619219387966184</v>
      </c>
      <c r="T1013">
        <v>1.3853754277763237</v>
      </c>
      <c r="U1013">
        <v>0.21548190858223179</v>
      </c>
      <c r="V1013">
        <v>0.25327011002174388</v>
      </c>
      <c r="W1013">
        <v>9.7493652699349134E-2</v>
      </c>
      <c r="X1013">
        <v>1.6006705302143012E-2</v>
      </c>
      <c r="Y1013">
        <v>4.5654671741690014E-3</v>
      </c>
    </row>
    <row r="1014" spans="1:25" x14ac:dyDescent="0.2">
      <c r="A1014" s="1077"/>
      <c r="B1014" s="1444">
        <v>764</v>
      </c>
      <c r="C1014" s="1081">
        <v>1.0216911642172206</v>
      </c>
      <c r="D1014" s="1081">
        <v>0.96765199384322875</v>
      </c>
      <c r="E1014" s="1081">
        <v>0.99896940272242207</v>
      </c>
      <c r="F1014" s="1081">
        <v>0.96127124020955468</v>
      </c>
      <c r="G1014" s="1081">
        <v>1.0070155116050656</v>
      </c>
      <c r="H1014" s="1081">
        <v>0.99442827353342367</v>
      </c>
      <c r="I1014" s="1081">
        <v>1.0067080152042023</v>
      </c>
      <c r="K1014">
        <v>2.3466152407133123</v>
      </c>
      <c r="L1014">
        <v>0</v>
      </c>
      <c r="M1014">
        <v>1.6130635519622295E-3</v>
      </c>
      <c r="N1014">
        <v>0.14633532031417076</v>
      </c>
      <c r="O1014">
        <v>2.0688513370824325E-2</v>
      </c>
      <c r="P1014">
        <v>2.7679427285414598E-2</v>
      </c>
      <c r="Q1014">
        <v>5.4081587423213569E-3</v>
      </c>
      <c r="R1014">
        <v>1.5916521929781882E-3</v>
      </c>
      <c r="S1014">
        <v>0.25859797056386857</v>
      </c>
      <c r="T1014">
        <v>1.318495313145138</v>
      </c>
      <c r="U1014">
        <v>0.20746960512956286</v>
      </c>
      <c r="V1014">
        <v>0.24540825492803092</v>
      </c>
      <c r="W1014">
        <v>9.6191283725007903E-2</v>
      </c>
      <c r="X1014">
        <v>1.603085228667412E-2</v>
      </c>
      <c r="Y1014">
        <v>4.3319525812822246E-3</v>
      </c>
    </row>
    <row r="1015" spans="1:25" x14ac:dyDescent="0.2">
      <c r="A1015" s="1077"/>
      <c r="B1015" s="1444">
        <v>765</v>
      </c>
      <c r="C1015" s="1081">
        <v>1.0198795063695634</v>
      </c>
      <c r="D1015" s="1081">
        <v>0.97548911401497462</v>
      </c>
      <c r="E1015" s="1081">
        <v>0.95438605050176872</v>
      </c>
      <c r="F1015" s="1081">
        <v>0.96546218902265857</v>
      </c>
      <c r="G1015" s="1081">
        <v>1.0387185329644042</v>
      </c>
      <c r="H1015" s="1081">
        <v>0.97418647482900123</v>
      </c>
      <c r="I1015" s="1081">
        <v>1.0293774206105089</v>
      </c>
      <c r="K1015">
        <v>2.3457132998292596</v>
      </c>
      <c r="L1015">
        <v>0</v>
      </c>
      <c r="M1015">
        <v>1.7327476033669508E-3</v>
      </c>
      <c r="N1015">
        <v>0.1373135704103729</v>
      </c>
      <c r="O1015">
        <v>2.0659455965437817E-2</v>
      </c>
      <c r="P1015">
        <v>2.6938071011103112E-2</v>
      </c>
      <c r="Q1015">
        <v>5.1608596348279665E-3</v>
      </c>
      <c r="R1015">
        <v>1.7092696935812489E-3</v>
      </c>
      <c r="S1015">
        <v>0.26169851824648022</v>
      </c>
      <c r="T1015">
        <v>1.323317260705156</v>
      </c>
      <c r="U1015">
        <v>0.20768928441553375</v>
      </c>
      <c r="V1015">
        <v>0.25110375463740009</v>
      </c>
      <c r="W1015">
        <v>9.2730591355573114E-2</v>
      </c>
      <c r="X1015">
        <v>1.4473342711832017E-2</v>
      </c>
      <c r="Y1015">
        <v>4.6520686453251038E-3</v>
      </c>
    </row>
    <row r="1016" spans="1:25" x14ac:dyDescent="0.2">
      <c r="A1016" s="1077"/>
      <c r="B1016" s="1444">
        <v>766</v>
      </c>
      <c r="C1016" s="1081">
        <v>1.0298149523000903</v>
      </c>
      <c r="D1016" s="1081">
        <v>0.98266042486554839</v>
      </c>
      <c r="E1016" s="1081">
        <v>0.95716369066545393</v>
      </c>
      <c r="F1016" s="1081">
        <v>0.99878403243544378</v>
      </c>
      <c r="G1016" s="1081">
        <v>0.95906883097856077</v>
      </c>
      <c r="H1016" s="1081">
        <v>0.96838558900844962</v>
      </c>
      <c r="I1016" s="1081">
        <v>1.0133341373501061</v>
      </c>
      <c r="K1016">
        <v>2.3638568091442482</v>
      </c>
      <c r="L1016">
        <v>0</v>
      </c>
      <c r="M1016">
        <v>1.6933501547831144E-3</v>
      </c>
      <c r="N1016">
        <v>0.13531489368193197</v>
      </c>
      <c r="O1016">
        <v>2.0428978331117446E-2</v>
      </c>
      <c r="P1016">
        <v>2.7280855762670718E-2</v>
      </c>
      <c r="Q1016">
        <v>5.1179094915404242E-3</v>
      </c>
      <c r="R1016">
        <v>1.6702686205900142E-3</v>
      </c>
      <c r="S1016">
        <v>0.25372609049229217</v>
      </c>
      <c r="T1016">
        <v>1.369049509926151</v>
      </c>
      <c r="U1016">
        <v>0.20569469247778455</v>
      </c>
      <c r="V1016">
        <v>0.23688447098765156</v>
      </c>
      <c r="W1016">
        <v>9.1224735779033242E-2</v>
      </c>
      <c r="X1016">
        <v>1.4611833166926387E-2</v>
      </c>
      <c r="Y1016">
        <v>4.5459205813432185E-3</v>
      </c>
    </row>
    <row r="1017" spans="1:25" x14ac:dyDescent="0.2">
      <c r="A1017" s="1077"/>
      <c r="B1017" s="1444">
        <v>767</v>
      </c>
      <c r="C1017" s="1081">
        <v>1.0052389171037728</v>
      </c>
      <c r="D1017" s="1081">
        <v>1.0176467688821633</v>
      </c>
      <c r="E1017" s="1081">
        <v>1.0177820365844756</v>
      </c>
      <c r="F1017" s="1081">
        <v>1.0354222647977902</v>
      </c>
      <c r="G1017" s="1081">
        <v>1.0309262982833234</v>
      </c>
      <c r="H1017" s="1081">
        <v>0.9804836001408469</v>
      </c>
      <c r="I1017" s="1081">
        <v>0.97620989147687298</v>
      </c>
      <c r="K1017">
        <v>2.4501447274521069</v>
      </c>
      <c r="L1017">
        <v>0</v>
      </c>
      <c r="M1017">
        <v>1.5373974404240774E-3</v>
      </c>
      <c r="N1017">
        <v>0.14759429527317766</v>
      </c>
      <c r="O1017">
        <v>2.0807751428135238E-2</v>
      </c>
      <c r="P1017">
        <v>2.9443081685887915E-2</v>
      </c>
      <c r="Q1017">
        <v>5.5426818572761015E-3</v>
      </c>
      <c r="R1017">
        <v>1.5167002193679801E-3</v>
      </c>
      <c r="S1017">
        <v>0.24749946298321127</v>
      </c>
      <c r="T1017">
        <v>1.4206240666656145</v>
      </c>
      <c r="U1017">
        <v>0.21092921085280242</v>
      </c>
      <c r="V1017">
        <v>0.25042142475747764</v>
      </c>
      <c r="W1017">
        <v>9.5947158676958896E-2</v>
      </c>
      <c r="X1017">
        <v>1.7228332475594615E-2</v>
      </c>
      <c r="Y1017">
        <v>4.1279580170266988E-3</v>
      </c>
    </row>
    <row r="1018" spans="1:25" x14ac:dyDescent="0.2">
      <c r="A1018" s="1077"/>
      <c r="B1018" s="1444">
        <v>768</v>
      </c>
      <c r="C1018" s="1081">
        <v>1.0211721039342847</v>
      </c>
      <c r="D1018" s="1081">
        <v>0.99064142790988619</v>
      </c>
      <c r="E1018" s="1081">
        <v>0.98104789487058564</v>
      </c>
      <c r="F1018" s="1081">
        <v>0.98939855076512095</v>
      </c>
      <c r="G1018" s="1081">
        <v>1.031492206132788</v>
      </c>
      <c r="H1018" s="1081">
        <v>0.9938979187482665</v>
      </c>
      <c r="I1018" s="1081">
        <v>0.98982070923339738</v>
      </c>
      <c r="K1018">
        <v>2.3769088369296782</v>
      </c>
      <c r="L1018">
        <v>0</v>
      </c>
      <c r="M1018">
        <v>1.6653925445446703E-3</v>
      </c>
      <c r="N1018">
        <v>0.14311302134252132</v>
      </c>
      <c r="O1018">
        <v>2.0580728429116037E-2</v>
      </c>
      <c r="P1018">
        <v>2.7781482459949061E-2</v>
      </c>
      <c r="Q1018">
        <v>5.2834046723547797E-3</v>
      </c>
      <c r="R1018">
        <v>1.6432747890198199E-3</v>
      </c>
      <c r="S1018">
        <v>0.25121035989043705</v>
      </c>
      <c r="T1018">
        <v>1.3566924723242322</v>
      </c>
      <c r="U1018">
        <v>0.20751516726632416</v>
      </c>
      <c r="V1018">
        <v>0.2496873079108437</v>
      </c>
      <c r="W1018">
        <v>9.5088575856194388E-2</v>
      </c>
      <c r="X1018">
        <v>1.5505982262904837E-2</v>
      </c>
      <c r="Y1018">
        <v>4.4724522703233358E-3</v>
      </c>
    </row>
    <row r="1019" spans="1:25" x14ac:dyDescent="0.2">
      <c r="A1019" s="1077"/>
      <c r="B1019" s="1444">
        <v>769</v>
      </c>
      <c r="C1019" s="1081">
        <v>0.96864117727355781</v>
      </c>
      <c r="D1019" s="1081">
        <v>0.98253737204287594</v>
      </c>
      <c r="E1019" s="1081">
        <v>0.9894379865751638</v>
      </c>
      <c r="F1019" s="1081">
        <v>1.0183852132293638</v>
      </c>
      <c r="G1019" s="1081">
        <v>0.96088610167977784</v>
      </c>
      <c r="H1019" s="1081">
        <v>1.0066479851310464</v>
      </c>
      <c r="I1019" s="1081">
        <v>1.0014917229581559</v>
      </c>
      <c r="K1019">
        <v>2.4602687287513207</v>
      </c>
      <c r="L1019">
        <v>0</v>
      </c>
      <c r="M1019">
        <v>1.7507836823578606E-3</v>
      </c>
      <c r="N1019">
        <v>0.15434395216243846</v>
      </c>
      <c r="O1019">
        <v>2.1741855492930617E-2</v>
      </c>
      <c r="P1019">
        <v>2.8790659981666359E-2</v>
      </c>
      <c r="Q1019">
        <v>5.6291456166239102E-3</v>
      </c>
      <c r="R1019">
        <v>1.7278263680568678E-3</v>
      </c>
      <c r="S1019">
        <v>0.27026283958787856</v>
      </c>
      <c r="T1019">
        <v>1.3966240791190083</v>
      </c>
      <c r="U1019">
        <v>0.21879857745450851</v>
      </c>
      <c r="V1019">
        <v>0.24090725571709901</v>
      </c>
      <c r="W1019">
        <v>0.10203466201044242</v>
      </c>
      <c r="X1019">
        <v>1.6456085126982552E-2</v>
      </c>
      <c r="Y1019">
        <v>4.7025737960416421E-3</v>
      </c>
    </row>
    <row r="1020" spans="1:25" x14ac:dyDescent="0.2">
      <c r="A1020" s="1077"/>
      <c r="B1020" s="1444">
        <v>770</v>
      </c>
      <c r="C1020" s="1081">
        <v>0.96268368049556696</v>
      </c>
      <c r="D1020" s="1081">
        <v>1.0061927111151245</v>
      </c>
      <c r="E1020" s="1081">
        <v>0.99129207247154161</v>
      </c>
      <c r="F1020" s="1081">
        <v>0.99696358169810184</v>
      </c>
      <c r="G1020" s="1081">
        <v>0.95744583547284612</v>
      </c>
      <c r="H1020" s="1081">
        <v>1.02308717885744</v>
      </c>
      <c r="I1020" s="1081">
        <v>0.99357397697019889</v>
      </c>
      <c r="K1020">
        <v>2.4343903467234718</v>
      </c>
      <c r="L1020">
        <v>0</v>
      </c>
      <c r="M1020">
        <v>1.7742140058002039E-3</v>
      </c>
      <c r="N1020">
        <v>0.15732230595809621</v>
      </c>
      <c r="O1020">
        <v>2.1763477816029785E-2</v>
      </c>
      <c r="P1020">
        <v>2.8418816613062035E-2</v>
      </c>
      <c r="Q1020">
        <v>5.6453113425166375E-3</v>
      </c>
      <c r="R1020">
        <v>1.7513232791388389E-3</v>
      </c>
      <c r="S1020">
        <v>0.26804589566733494</v>
      </c>
      <c r="T1020">
        <v>1.3672861311681657</v>
      </c>
      <c r="U1020">
        <v>0.22015916957868967</v>
      </c>
      <c r="V1020">
        <v>0.2407118773065999</v>
      </c>
      <c r="W1020">
        <v>0.1038881902592983</v>
      </c>
      <c r="X1020">
        <v>1.6405537098085631E-2</v>
      </c>
      <c r="Y1020">
        <v>4.7665246422521112E-3</v>
      </c>
    </row>
    <row r="1021" spans="1:25" x14ac:dyDescent="0.2">
      <c r="A1021" s="1077"/>
      <c r="B1021" s="1444">
        <v>771</v>
      </c>
      <c r="C1021" s="1081">
        <v>1.0140442996769208</v>
      </c>
      <c r="D1021" s="1081">
        <v>0.99596761438788817</v>
      </c>
      <c r="E1021" s="1081">
        <v>1.0094450523623482</v>
      </c>
      <c r="F1021" s="1081">
        <v>0.98756081068752433</v>
      </c>
      <c r="G1021" s="1081">
        <v>1.0066969830861756</v>
      </c>
      <c r="H1021" s="1081">
        <v>0.99367271512833821</v>
      </c>
      <c r="I1021" s="1081">
        <v>0.98080809744056319</v>
      </c>
      <c r="K1021">
        <v>2.3795531501393707</v>
      </c>
      <c r="L1021">
        <v>0</v>
      </c>
      <c r="M1021">
        <v>1.5790109269778246E-3</v>
      </c>
      <c r="N1021">
        <v>0.14784927601465667</v>
      </c>
      <c r="O1021">
        <v>2.0719545508239894E-2</v>
      </c>
      <c r="P1021">
        <v>2.8305857348616355E-2</v>
      </c>
      <c r="Q1021">
        <v>5.4734711092872422E-3</v>
      </c>
      <c r="R1021">
        <v>1.5580356362567751E-3</v>
      </c>
      <c r="S1021">
        <v>0.2502044752039238</v>
      </c>
      <c r="T1021">
        <v>1.3547784569980277</v>
      </c>
      <c r="U1021">
        <v>0.20906945989095432</v>
      </c>
      <c r="V1021">
        <v>0.24577651645513932</v>
      </c>
      <c r="W1021">
        <v>9.6585232560977979E-2</v>
      </c>
      <c r="X1021">
        <v>1.657137494468389E-2</v>
      </c>
      <c r="Y1021">
        <v>4.2404593955814845E-3</v>
      </c>
    </row>
    <row r="1022" spans="1:25" x14ac:dyDescent="0.2">
      <c r="A1022" s="1077"/>
      <c r="B1022" s="1444">
        <v>772</v>
      </c>
      <c r="C1022" s="1081">
        <v>1.0054670434683159</v>
      </c>
      <c r="D1022" s="1081">
        <v>0.99526909068734559</v>
      </c>
      <c r="E1022" s="1081">
        <v>0.9875309153993943</v>
      </c>
      <c r="F1022" s="1081">
        <v>0.99680662511399565</v>
      </c>
      <c r="G1022" s="1081">
        <v>0.98082418822307005</v>
      </c>
      <c r="H1022" s="1081">
        <v>1.0423695625240459</v>
      </c>
      <c r="I1022" s="1081">
        <v>0.95432634553539564</v>
      </c>
      <c r="K1022">
        <v>2.3987193874221395</v>
      </c>
      <c r="L1022">
        <v>0</v>
      </c>
      <c r="M1022">
        <v>1.7484630718907631E-3</v>
      </c>
      <c r="N1022">
        <v>0.1533228607034049</v>
      </c>
      <c r="O1022">
        <v>2.0885045254783175E-2</v>
      </c>
      <c r="P1022">
        <v>2.7972104175947046E-2</v>
      </c>
      <c r="Q1022">
        <v>5.3968885254519899E-3</v>
      </c>
      <c r="R1022">
        <v>1.7263218817594379E-3</v>
      </c>
      <c r="S1022">
        <v>0.24937636559691334</v>
      </c>
      <c r="T1022">
        <v>1.3669899605369376</v>
      </c>
      <c r="U1022">
        <v>0.21077846971534017</v>
      </c>
      <c r="V1022">
        <v>0.24196107442476669</v>
      </c>
      <c r="W1022">
        <v>0.10147563626327252</v>
      </c>
      <c r="X1022">
        <v>1.5884644335159428E-2</v>
      </c>
      <c r="Y1022">
        <v>4.6984790802938117E-3</v>
      </c>
    </row>
    <row r="1023" spans="1:25" x14ac:dyDescent="0.2">
      <c r="A1023" s="1077"/>
      <c r="B1023" s="1444">
        <v>773</v>
      </c>
      <c r="C1023" s="1081">
        <v>1.0020741862183415</v>
      </c>
      <c r="D1023" s="1081">
        <v>0.95509768100315739</v>
      </c>
      <c r="E1023" s="1081">
        <v>1.0105690020611235</v>
      </c>
      <c r="F1023" s="1081">
        <v>0.96811693119791331</v>
      </c>
      <c r="G1023" s="1081">
        <v>0.98947752679168877</v>
      </c>
      <c r="H1023" s="1081">
        <v>0.95888796744886895</v>
      </c>
      <c r="I1023" s="1081">
        <v>0.9783009872752747</v>
      </c>
      <c r="K1023">
        <v>2.3548267193255419</v>
      </c>
      <c r="L1023">
        <v>0</v>
      </c>
      <c r="M1023">
        <v>1.552587348827079E-3</v>
      </c>
      <c r="N1023">
        <v>0.14579801406545284</v>
      </c>
      <c r="O1023">
        <v>2.1161973590674898E-2</v>
      </c>
      <c r="P1023">
        <v>2.8033289421978531E-2</v>
      </c>
      <c r="Q1023">
        <v>5.5966316009321768E-3</v>
      </c>
      <c r="R1023">
        <v>1.5312148947555257E-3</v>
      </c>
      <c r="S1023">
        <v>0.25503247585484801</v>
      </c>
      <c r="T1023">
        <v>1.3281280865498519</v>
      </c>
      <c r="U1023">
        <v>0.21157070486879348</v>
      </c>
      <c r="V1023">
        <v>0.24356787969977131</v>
      </c>
      <c r="W1023">
        <v>9.5182104277169041E-2</v>
      </c>
      <c r="X1023">
        <v>1.6609469671468192E-2</v>
      </c>
      <c r="Y1023">
        <v>4.1674621786701432E-3</v>
      </c>
    </row>
    <row r="1024" spans="1:25" x14ac:dyDescent="0.2">
      <c r="A1024" s="1077"/>
      <c r="B1024" s="1444">
        <v>774</v>
      </c>
      <c r="C1024" s="1081">
        <v>1.0124125547419405</v>
      </c>
      <c r="D1024" s="1081">
        <v>0.99318999194901381</v>
      </c>
      <c r="E1024" s="1081">
        <v>0.96859173165348944</v>
      </c>
      <c r="F1024" s="1081">
        <v>1.0315108521478362</v>
      </c>
      <c r="G1024" s="1081">
        <v>0.98383813608871673</v>
      </c>
      <c r="H1024" s="1081">
        <v>0.97309782236060627</v>
      </c>
      <c r="I1024" s="1081">
        <v>0.97813320685674454</v>
      </c>
      <c r="K1024">
        <v>2.4207376117799102</v>
      </c>
      <c r="L1024">
        <v>0</v>
      </c>
      <c r="M1024">
        <v>1.6865683713942114E-3</v>
      </c>
      <c r="N1024">
        <v>0.13952998267408198</v>
      </c>
      <c r="O1024">
        <v>2.0738920884689305E-2</v>
      </c>
      <c r="P1024">
        <v>2.8167926115434172E-2</v>
      </c>
      <c r="Q1024">
        <v>5.2568434096915894E-3</v>
      </c>
      <c r="R1024">
        <v>1.663690602456384E-3</v>
      </c>
      <c r="S1024">
        <v>0.24826047333128434</v>
      </c>
      <c r="T1024">
        <v>1.4141616597902031</v>
      </c>
      <c r="U1024">
        <v>0.20926873578296901</v>
      </c>
      <c r="V1024">
        <v>0.2421184739442776</v>
      </c>
      <c r="W1024">
        <v>9.3410708232061934E-2</v>
      </c>
      <c r="X1024">
        <v>1.5318747999726387E-2</v>
      </c>
      <c r="Y1024">
        <v>4.5280173844265735E-3</v>
      </c>
    </row>
    <row r="1025" spans="1:25" x14ac:dyDescent="0.2">
      <c r="A1025" s="1077"/>
      <c r="B1025" s="1444">
        <v>775</v>
      </c>
      <c r="C1025" s="1081">
        <v>1.0302519279341642</v>
      </c>
      <c r="D1025" s="1081">
        <v>1.0129427316888959</v>
      </c>
      <c r="E1025" s="1081">
        <v>0.96078153581695691</v>
      </c>
      <c r="F1025" s="1081">
        <v>0.9655681487944392</v>
      </c>
      <c r="G1025" s="1081">
        <v>0.98103896969238591</v>
      </c>
      <c r="H1025" s="1081">
        <v>1.0121965188114908</v>
      </c>
      <c r="I1025" s="1081">
        <v>0.97811808480184426</v>
      </c>
      <c r="K1025">
        <v>2.3215259783696478</v>
      </c>
      <c r="L1025">
        <v>0</v>
      </c>
      <c r="M1025">
        <v>1.7443806717869677E-3</v>
      </c>
      <c r="N1025">
        <v>0.14101363067343911</v>
      </c>
      <c r="O1025">
        <v>2.0286723453256959E-2</v>
      </c>
      <c r="P1025">
        <v>2.668307402650099E-2</v>
      </c>
      <c r="Q1025">
        <v>5.1012156610309228E-3</v>
      </c>
      <c r="R1025">
        <v>1.7216327018832371E-3</v>
      </c>
      <c r="S1025">
        <v>0.24463909279109763</v>
      </c>
      <c r="T1025">
        <v>1.3235948568852973</v>
      </c>
      <c r="U1025">
        <v>0.20561937045890374</v>
      </c>
      <c r="V1025">
        <v>0.24060194921199216</v>
      </c>
      <c r="W1025">
        <v>9.4855691847832255E-2</v>
      </c>
      <c r="X1025">
        <v>1.4467404651737738E-2</v>
      </c>
      <c r="Y1025">
        <v>4.6857166784585232E-3</v>
      </c>
    </row>
    <row r="1026" spans="1:25" x14ac:dyDescent="0.2">
      <c r="A1026" s="1077"/>
      <c r="B1026" s="1444">
        <v>776</v>
      </c>
      <c r="C1026" s="1081">
        <v>0.96689463930414932</v>
      </c>
      <c r="D1026" s="1081">
        <v>0.98184459452911932</v>
      </c>
      <c r="E1026" s="1081">
        <v>0.95904245602369365</v>
      </c>
      <c r="F1026" s="1081">
        <v>0.97425096961476931</v>
      </c>
      <c r="G1026" s="1081">
        <v>0.99759700443900889</v>
      </c>
      <c r="H1026" s="1081">
        <v>1.0285429147296059</v>
      </c>
      <c r="I1026" s="1081">
        <v>0.99200284681650441</v>
      </c>
      <c r="K1026">
        <v>2.403546891364468</v>
      </c>
      <c r="L1026">
        <v>0</v>
      </c>
      <c r="M1026">
        <v>1.9085303299702892E-3</v>
      </c>
      <c r="N1026">
        <v>0.15350463835871547</v>
      </c>
      <c r="O1026">
        <v>2.1763648596237115E-2</v>
      </c>
      <c r="P1026">
        <v>2.7407066998245327E-2</v>
      </c>
      <c r="Q1026">
        <v>5.4628235278389699E-3</v>
      </c>
      <c r="R1026">
        <v>1.8840372800512639E-3</v>
      </c>
      <c r="S1026">
        <v>0.26994000508830296</v>
      </c>
      <c r="T1026">
        <v>1.3354608792880538</v>
      </c>
      <c r="U1026">
        <v>0.21908679490195027</v>
      </c>
      <c r="V1026">
        <v>0.24740504591938964</v>
      </c>
      <c r="W1026">
        <v>0.10336825617964665</v>
      </c>
      <c r="X1026">
        <v>1.504449715243082E-2</v>
      </c>
      <c r="Y1026">
        <v>5.1277284035770873E-3</v>
      </c>
    </row>
    <row r="1027" spans="1:25" x14ac:dyDescent="0.2">
      <c r="A1027" s="1077"/>
      <c r="B1027" s="1444">
        <v>777</v>
      </c>
      <c r="C1027" s="1081">
        <v>0.97807454721884657</v>
      </c>
      <c r="D1027" s="1081">
        <v>1.0057141509343268</v>
      </c>
      <c r="E1027" s="1081">
        <v>0.98907985966955159</v>
      </c>
      <c r="F1027" s="1081">
        <v>1.0410435871793731</v>
      </c>
      <c r="G1027" s="1081">
        <v>1.0037593299504108</v>
      </c>
      <c r="H1027" s="1081">
        <v>0.99352492853965946</v>
      </c>
      <c r="I1027" s="1081">
        <v>0.97672333896843988</v>
      </c>
      <c r="K1027">
        <v>2.4751289847543427</v>
      </c>
      <c r="L1027">
        <v>0</v>
      </c>
      <c r="M1027">
        <v>1.7038018067301571E-3</v>
      </c>
      <c r="N1027">
        <v>0.15001328009933398</v>
      </c>
      <c r="O1027">
        <v>2.1421755419638457E-2</v>
      </c>
      <c r="P1027">
        <v>2.9084454141801854E-2</v>
      </c>
      <c r="Q1027">
        <v>5.5442609552370341E-3</v>
      </c>
      <c r="R1027">
        <v>1.6811654502640284E-3</v>
      </c>
      <c r="S1027">
        <v>0.25688961831206902</v>
      </c>
      <c r="T1027">
        <v>1.4276899630336302</v>
      </c>
      <c r="U1027">
        <v>0.21668705128960977</v>
      </c>
      <c r="V1027">
        <v>0.24761108301758278</v>
      </c>
      <c r="W1027">
        <v>9.9193005370248111E-2</v>
      </c>
      <c r="X1027">
        <v>1.6441571312080724E-2</v>
      </c>
      <c r="Y1027">
        <v>4.5755781595769492E-3</v>
      </c>
    </row>
    <row r="1028" spans="1:25" x14ac:dyDescent="0.2">
      <c r="A1028" s="1077"/>
      <c r="B1028" s="1444">
        <v>778</v>
      </c>
      <c r="C1028" s="1081">
        <v>1.0016564323957931</v>
      </c>
      <c r="D1028" s="1081">
        <v>0.99671252118631548</v>
      </c>
      <c r="E1028" s="1081">
        <v>1.000724408165194</v>
      </c>
      <c r="F1028" s="1081">
        <v>0.97228603911914013</v>
      </c>
      <c r="G1028" s="1081">
        <v>0.97700750921350576</v>
      </c>
      <c r="H1028" s="1081">
        <v>1.0138692881539138</v>
      </c>
      <c r="I1028" s="1081">
        <v>1.0221021034855882</v>
      </c>
      <c r="K1028">
        <v>2.3784913920302531</v>
      </c>
      <c r="L1028">
        <v>0</v>
      </c>
      <c r="M1028">
        <v>1.6605528455043428E-3</v>
      </c>
      <c r="N1028">
        <v>0.15148344048782447</v>
      </c>
      <c r="O1028">
        <v>2.0966555290070014E-2</v>
      </c>
      <c r="P1028">
        <v>2.8020714038056057E-2</v>
      </c>
      <c r="Q1028">
        <v>5.4905194164814727E-3</v>
      </c>
      <c r="R1028">
        <v>1.638933778286475E-3</v>
      </c>
      <c r="S1028">
        <v>0.26554581468283145</v>
      </c>
      <c r="T1028">
        <v>1.3336402956510822</v>
      </c>
      <c r="U1028">
        <v>0.21162531824666164</v>
      </c>
      <c r="V1028">
        <v>0.24149896775084542</v>
      </c>
      <c r="W1028">
        <v>9.9471498410647424E-2</v>
      </c>
      <c r="X1028">
        <v>1.6309249652849304E-2</v>
      </c>
      <c r="Y1028">
        <v>4.4606374701209751E-3</v>
      </c>
    </row>
    <row r="1029" spans="1:25" x14ac:dyDescent="0.2">
      <c r="A1029" s="1077"/>
      <c r="B1029" s="1444">
        <v>779</v>
      </c>
      <c r="C1029" s="1081">
        <v>0.97748998534405585</v>
      </c>
      <c r="D1029" s="1081">
        <v>1.0353336606749661</v>
      </c>
      <c r="E1029" s="1081">
        <v>0.999464351670036</v>
      </c>
      <c r="F1029" s="1081">
        <v>0.9909197575022648</v>
      </c>
      <c r="G1029" s="1081">
        <v>1.0175559996679644</v>
      </c>
      <c r="H1029" s="1081">
        <v>1.0292541772428299</v>
      </c>
      <c r="I1029" s="1081">
        <v>1.0021963563388858</v>
      </c>
      <c r="K1029">
        <v>2.4243566747162548</v>
      </c>
      <c r="L1029">
        <v>0</v>
      </c>
      <c r="M1029">
        <v>1.7175235391804382E-3</v>
      </c>
      <c r="N1029">
        <v>0.15611602131369329</v>
      </c>
      <c r="O1029">
        <v>2.1305118408160958E-2</v>
      </c>
      <c r="P1029">
        <v>2.8496570228608593E-2</v>
      </c>
      <c r="Q1029">
        <v>5.5721174133123467E-3</v>
      </c>
      <c r="R1029">
        <v>1.6954969993875086E-3</v>
      </c>
      <c r="S1029">
        <v>0.26313359321686708</v>
      </c>
      <c r="T1029">
        <v>1.3591723091015966</v>
      </c>
      <c r="U1029">
        <v>0.21685291637379245</v>
      </c>
      <c r="V1029">
        <v>0.24996795500524646</v>
      </c>
      <c r="W1029">
        <v>0.10259027572385658</v>
      </c>
      <c r="X1029">
        <v>1.6557240559015324E-2</v>
      </c>
      <c r="Y1029">
        <v>4.6145839118971648E-3</v>
      </c>
    </row>
    <row r="1030" spans="1:25" x14ac:dyDescent="0.2">
      <c r="A1030" s="1077"/>
      <c r="B1030" s="1444">
        <v>780</v>
      </c>
      <c r="C1030" s="1081">
        <v>0.99005210373724495</v>
      </c>
      <c r="D1030" s="1081">
        <v>0.99408520233546094</v>
      </c>
      <c r="E1030" s="1081">
        <v>1.013910043724602</v>
      </c>
      <c r="F1030" s="1081">
        <v>1.0014931913297829</v>
      </c>
      <c r="G1030" s="1081">
        <v>0.98706103948233692</v>
      </c>
      <c r="H1030" s="1081">
        <v>1.0115061463441837</v>
      </c>
      <c r="I1030" s="1081">
        <v>0.98793145558387963</v>
      </c>
      <c r="K1030">
        <v>2.4249532939508769</v>
      </c>
      <c r="L1030">
        <v>0</v>
      </c>
      <c r="M1030">
        <v>1.631775323681417E-3</v>
      </c>
      <c r="N1030">
        <v>0.15489984369317722</v>
      </c>
      <c r="O1030">
        <v>2.1233484477285149E-2</v>
      </c>
      <c r="P1030">
        <v>2.8842369826877965E-2</v>
      </c>
      <c r="Q1030">
        <v>5.634306937306861E-3</v>
      </c>
      <c r="R1030">
        <v>1.6104812842664355E-3</v>
      </c>
      <c r="S1030">
        <v>0.25992717231506379</v>
      </c>
      <c r="T1030">
        <v>1.3739884355157141</v>
      </c>
      <c r="U1030">
        <v>0.21415133923664997</v>
      </c>
      <c r="V1030">
        <v>0.24389995562921019</v>
      </c>
      <c r="W1030">
        <v>0.10092541946328729</v>
      </c>
      <c r="X1030">
        <v>1.7089061734957483E-2</v>
      </c>
      <c r="Y1030">
        <v>4.3831991607605593E-3</v>
      </c>
    </row>
    <row r="1031" spans="1:25" x14ac:dyDescent="0.2">
      <c r="A1031" s="1077"/>
      <c r="B1031" s="1444">
        <v>781</v>
      </c>
      <c r="C1031" s="1081">
        <v>1.0123888853671374</v>
      </c>
      <c r="D1031" s="1081">
        <v>0.98301534698431903</v>
      </c>
      <c r="E1031" s="1081">
        <v>0.99139965044273293</v>
      </c>
      <c r="F1031" s="1081">
        <v>0.96284241978329288</v>
      </c>
      <c r="G1031" s="1081">
        <v>1.0174608483558549</v>
      </c>
      <c r="H1031" s="1081">
        <v>1.0391214215125457</v>
      </c>
      <c r="I1031" s="1081">
        <v>1.0168079007238373</v>
      </c>
      <c r="K1031">
        <v>2.3709288642023578</v>
      </c>
      <c r="L1031">
        <v>0</v>
      </c>
      <c r="M1031">
        <v>1.721970509523814E-3</v>
      </c>
      <c r="N1031">
        <v>0.15277026585257422</v>
      </c>
      <c r="O1031">
        <v>2.0801401912448933E-2</v>
      </c>
      <c r="P1031">
        <v>2.7698322976551407E-2</v>
      </c>
      <c r="Q1031">
        <v>5.3963411194501779E-3</v>
      </c>
      <c r="R1031">
        <v>1.7000966393604427E-3</v>
      </c>
      <c r="S1031">
        <v>0.26527502374976758</v>
      </c>
      <c r="T1031">
        <v>1.3204928853702251</v>
      </c>
      <c r="U1031">
        <v>0.20935038891753657</v>
      </c>
      <c r="V1031">
        <v>0.24778117709289643</v>
      </c>
      <c r="W1031">
        <v>0.10087574453699807</v>
      </c>
      <c r="X1031">
        <v>1.588208392843941E-2</v>
      </c>
      <c r="Y1031">
        <v>4.6271026156325798E-3</v>
      </c>
    </row>
    <row r="1032" spans="1:25" x14ac:dyDescent="0.2">
      <c r="A1032" s="1077"/>
      <c r="B1032" s="1444">
        <v>782</v>
      </c>
      <c r="C1032" s="1081">
        <v>0.95923633396644081</v>
      </c>
      <c r="D1032" s="1081">
        <v>1.0189342400060424</v>
      </c>
      <c r="E1032" s="1081">
        <v>0.98983781504960222</v>
      </c>
      <c r="F1032" s="1081">
        <v>0.99094373324260576</v>
      </c>
      <c r="G1032" s="1081">
        <v>0.986849282551016</v>
      </c>
      <c r="H1032" s="1081">
        <v>0.99124892297013867</v>
      </c>
      <c r="I1032" s="1081">
        <v>0.99104266523584417</v>
      </c>
      <c r="K1032">
        <v>2.4193207375285297</v>
      </c>
      <c r="L1032">
        <v>0</v>
      </c>
      <c r="M1032">
        <v>1.7255992092417593E-3</v>
      </c>
      <c r="N1032">
        <v>0.15227633672993088</v>
      </c>
      <c r="O1032">
        <v>2.1780309082953742E-2</v>
      </c>
      <c r="P1032">
        <v>2.8300604069284585E-2</v>
      </c>
      <c r="Q1032">
        <v>5.6413814329078519E-3</v>
      </c>
      <c r="R1032">
        <v>1.7026206167651853E-3</v>
      </c>
      <c r="S1032">
        <v>0.26385269947535345</v>
      </c>
      <c r="T1032">
        <v>1.3589990990814373</v>
      </c>
      <c r="U1032">
        <v>0.22094521298402936</v>
      </c>
      <c r="V1032">
        <v>0.2459723669617784</v>
      </c>
      <c r="W1032">
        <v>0.10064367378466822</v>
      </c>
      <c r="X1032">
        <v>1.6298060468559236E-2</v>
      </c>
      <c r="Y1032">
        <v>4.6339720500993614E-3</v>
      </c>
    </row>
    <row r="1033" spans="1:25" x14ac:dyDescent="0.2">
      <c r="A1033" s="1077"/>
      <c r="B1033" s="1444">
        <v>783</v>
      </c>
      <c r="C1033" s="1081">
        <v>1.0203421113672229</v>
      </c>
      <c r="D1033" s="1081">
        <v>0.95702639072957729</v>
      </c>
      <c r="E1033" s="1081">
        <v>0.98260989105976349</v>
      </c>
      <c r="F1033" s="1081">
        <v>1.016392440347009</v>
      </c>
      <c r="G1033" s="1081">
        <v>0.98100439047713306</v>
      </c>
      <c r="H1033" s="1081">
        <v>1.0029060485405241</v>
      </c>
      <c r="I1033" s="1081">
        <v>1.0222742044528168</v>
      </c>
      <c r="K1033">
        <v>2.4250457360248268</v>
      </c>
      <c r="L1033">
        <v>0</v>
      </c>
      <c r="M1033">
        <v>1.6892092753558619E-3</v>
      </c>
      <c r="N1033">
        <v>0.14586487430437933</v>
      </c>
      <c r="O1033">
        <v>2.0755521147816852E-2</v>
      </c>
      <c r="P1033">
        <v>2.8386080580614297E-2</v>
      </c>
      <c r="Q1033">
        <v>5.3367341071204029E-3</v>
      </c>
      <c r="R1033">
        <v>1.666976717800222E-3</v>
      </c>
      <c r="S1033">
        <v>0.26501007213455213</v>
      </c>
      <c r="T1033">
        <v>1.3937414985275414</v>
      </c>
      <c r="U1033">
        <v>0.20768918709396719</v>
      </c>
      <c r="V1033">
        <v>0.24110493032601021</v>
      </c>
      <c r="W1033">
        <v>9.682575552498042E-2</v>
      </c>
      <c r="X1033">
        <v>1.5816353728271674E-2</v>
      </c>
      <c r="Y1033">
        <v>4.5369611071248671E-3</v>
      </c>
    </row>
    <row r="1034" spans="1:25" x14ac:dyDescent="0.2">
      <c r="A1034" s="1077"/>
      <c r="B1034" s="1444">
        <v>784</v>
      </c>
      <c r="C1034" s="1081">
        <v>1.0133430470089517</v>
      </c>
      <c r="D1034" s="1081">
        <v>0.99395851975738303</v>
      </c>
      <c r="E1034" s="1081">
        <v>1.0111623094261697</v>
      </c>
      <c r="F1034" s="1081">
        <v>1.0099529978699373</v>
      </c>
      <c r="G1034" s="1081">
        <v>0.99250787206056124</v>
      </c>
      <c r="H1034" s="1081">
        <v>0.97882860405462779</v>
      </c>
      <c r="I1034" s="1081">
        <v>1.0079176797485758</v>
      </c>
      <c r="K1034">
        <v>2.4117474470663862</v>
      </c>
      <c r="L1034">
        <v>0</v>
      </c>
      <c r="M1034">
        <v>1.5516448478469001E-3</v>
      </c>
      <c r="N1034">
        <v>0.14601222486711593</v>
      </c>
      <c r="O1034">
        <v>2.0744224660724522E-2</v>
      </c>
      <c r="P1034">
        <v>2.8818306952749246E-2</v>
      </c>
      <c r="Q1034">
        <v>5.4894042410334552E-3</v>
      </c>
      <c r="R1034">
        <v>1.5307205019836608E-3</v>
      </c>
      <c r="S1034">
        <v>0.2563149724833918</v>
      </c>
      <c r="T1034">
        <v>1.3855346117690219</v>
      </c>
      <c r="U1034">
        <v>0.20921994185795098</v>
      </c>
      <c r="V1034">
        <v>0.24339060292239367</v>
      </c>
      <c r="W1034">
        <v>9.5288627972425544E-2</v>
      </c>
      <c r="X1034">
        <v>1.6789337080922295E-2</v>
      </c>
      <c r="Y1034">
        <v>4.1661166045216594E-3</v>
      </c>
    </row>
    <row r="1035" spans="1:25" x14ac:dyDescent="0.2">
      <c r="A1035" s="1077"/>
      <c r="B1035" s="1444">
        <v>785</v>
      </c>
      <c r="C1035" s="1081">
        <v>0.98287409229021994</v>
      </c>
      <c r="D1035" s="1081">
        <v>0.98325297340702111</v>
      </c>
      <c r="E1035" s="1081">
        <v>1.0370655713129773</v>
      </c>
      <c r="F1035" s="1081">
        <v>1.0015389322873443</v>
      </c>
      <c r="G1035" s="1081">
        <v>1.006094153269331</v>
      </c>
      <c r="H1035" s="1081">
        <v>0.97870837126362931</v>
      </c>
      <c r="I1035" s="1081">
        <v>1.0014161219724926</v>
      </c>
      <c r="K1035">
        <v>2.4348931785610763</v>
      </c>
      <c r="L1035">
        <v>0</v>
      </c>
      <c r="M1035">
        <v>1.5191867607403935E-3</v>
      </c>
      <c r="N1035">
        <v>0.15457343172183455</v>
      </c>
      <c r="O1035">
        <v>2.1455926447886364E-2</v>
      </c>
      <c r="P1035">
        <v>2.947492770929758E-2</v>
      </c>
      <c r="Q1035">
        <v>5.8255093539790019E-3</v>
      </c>
      <c r="R1035">
        <v>1.4986976041132158E-3</v>
      </c>
      <c r="S1035">
        <v>0.26420023168859358</v>
      </c>
      <c r="T1035">
        <v>1.3745552682331126</v>
      </c>
      <c r="U1035">
        <v>0.21579614501696112</v>
      </c>
      <c r="V1035">
        <v>0.2475283160894618</v>
      </c>
      <c r="W1035">
        <v>9.9363337121145534E-2</v>
      </c>
      <c r="X1035">
        <v>1.8061613502565289E-2</v>
      </c>
      <c r="Y1035">
        <v>4.0789608328637549E-3</v>
      </c>
    </row>
    <row r="1036" spans="1:25" x14ac:dyDescent="0.2">
      <c r="A1036" s="1077"/>
      <c r="B1036" s="1444">
        <v>786</v>
      </c>
      <c r="C1036" s="1081">
        <v>1.0028988202136693</v>
      </c>
      <c r="D1036" s="1081">
        <v>0.98505940454493923</v>
      </c>
      <c r="E1036" s="1081">
        <v>0.99605261143229851</v>
      </c>
      <c r="F1036" s="1081">
        <v>0.99249580430423312</v>
      </c>
      <c r="G1036" s="1081">
        <v>1.016245818668805</v>
      </c>
      <c r="H1036" s="1081">
        <v>1.0019783354707303</v>
      </c>
      <c r="I1036" s="1081">
        <v>1.0084065510709606</v>
      </c>
      <c r="K1036">
        <v>2.405889837168409</v>
      </c>
      <c r="L1036">
        <v>0</v>
      </c>
      <c r="M1036">
        <v>1.659288704351387E-3</v>
      </c>
      <c r="N1036">
        <v>0.14922302778276522</v>
      </c>
      <c r="O1036">
        <v>2.0991730538596733E-2</v>
      </c>
      <c r="P1036">
        <v>2.8339286432338625E-2</v>
      </c>
      <c r="Q1036">
        <v>5.4713352439691868E-3</v>
      </c>
      <c r="R1036">
        <v>1.6374297268181401E-3</v>
      </c>
      <c r="S1036">
        <v>0.26214929571366474</v>
      </c>
      <c r="T1036">
        <v>1.3612608543034825</v>
      </c>
      <c r="U1036">
        <v>0.21134723838452096</v>
      </c>
      <c r="V1036">
        <v>0.24813958026923696</v>
      </c>
      <c r="W1036">
        <v>9.8260002757038958E-2</v>
      </c>
      <c r="X1036">
        <v>1.6272800782493921E-2</v>
      </c>
      <c r="Y1036">
        <v>4.4565439378346002E-3</v>
      </c>
    </row>
    <row r="1037" spans="1:25" x14ac:dyDescent="0.2">
      <c r="A1037" s="1077"/>
      <c r="B1037" s="1444">
        <v>787</v>
      </c>
      <c r="C1037" s="1081">
        <v>0.98728147649831843</v>
      </c>
      <c r="D1037" s="1081">
        <v>1.0048015245102606</v>
      </c>
      <c r="E1037" s="1081">
        <v>1.0154969794560718</v>
      </c>
      <c r="F1037" s="1081">
        <v>1.0181619227466439</v>
      </c>
      <c r="G1037" s="1081">
        <v>1.014284951951947</v>
      </c>
      <c r="H1037" s="1081">
        <v>0.96174731933097179</v>
      </c>
      <c r="I1037" s="1081">
        <v>1.0181838602485542</v>
      </c>
      <c r="K1037">
        <v>2.4442359207149646</v>
      </c>
      <c r="L1037">
        <v>0</v>
      </c>
      <c r="M1037">
        <v>1.5470792979592949E-3</v>
      </c>
      <c r="N1037">
        <v>0.14746398420152654</v>
      </c>
      <c r="O1037">
        <v>2.1243970891302127E-2</v>
      </c>
      <c r="P1037">
        <v>2.9307457727775935E-2</v>
      </c>
      <c r="Q1037">
        <v>5.6460158652354014E-3</v>
      </c>
      <c r="R1037">
        <v>1.5258459826660174E-3</v>
      </c>
      <c r="S1037">
        <v>0.26285321162679631</v>
      </c>
      <c r="T1037">
        <v>1.396891980462144</v>
      </c>
      <c r="U1037">
        <v>0.21475782313093122</v>
      </c>
      <c r="V1037">
        <v>0.24871841871422565</v>
      </c>
      <c r="W1037">
        <v>9.5991028814466958E-2</v>
      </c>
      <c r="X1037">
        <v>1.7230412826029655E-2</v>
      </c>
      <c r="Y1037">
        <v>4.1528497698238957E-3</v>
      </c>
    </row>
    <row r="1038" spans="1:25" x14ac:dyDescent="0.2">
      <c r="A1038" s="1077"/>
      <c r="B1038" s="1444">
        <v>788</v>
      </c>
      <c r="C1038" s="1081">
        <v>1.0067523288624021</v>
      </c>
      <c r="D1038" s="1081">
        <v>1.0221113605483878</v>
      </c>
      <c r="E1038" s="1081">
        <v>1.0194797507790794</v>
      </c>
      <c r="F1038" s="1081">
        <v>0.95327031133608053</v>
      </c>
      <c r="G1038" s="1081">
        <v>0.98900033703840573</v>
      </c>
      <c r="H1038" s="1081">
        <v>0.9970625398781463</v>
      </c>
      <c r="I1038" s="1081">
        <v>1.0446838344082048</v>
      </c>
      <c r="K1038">
        <v>2.3498065107199335</v>
      </c>
      <c r="L1038">
        <v>0</v>
      </c>
      <c r="M1038">
        <v>1.5540423277044598E-3</v>
      </c>
      <c r="N1038">
        <v>0.14999242150482628</v>
      </c>
      <c r="O1038">
        <v>2.0757589425276161E-2</v>
      </c>
      <c r="P1038">
        <v>2.8062343790621839E-2</v>
      </c>
      <c r="Q1038">
        <v>5.5386670746982005E-3</v>
      </c>
      <c r="R1038">
        <v>1.5334688996558284E-3</v>
      </c>
      <c r="S1038">
        <v>0.26535476513143369</v>
      </c>
      <c r="T1038">
        <v>1.3079447565471891</v>
      </c>
      <c r="U1038">
        <v>0.21061790983573259</v>
      </c>
      <c r="V1038">
        <v>0.24316600779225686</v>
      </c>
      <c r="W1038">
        <v>9.7409212906201526E-2</v>
      </c>
      <c r="X1038">
        <v>1.6809813302767828E-2</v>
      </c>
      <c r="Y1038">
        <v>4.1735968369762521E-3</v>
      </c>
    </row>
    <row r="1039" spans="1:25" x14ac:dyDescent="0.2">
      <c r="A1039" s="1077"/>
      <c r="B1039" s="1444">
        <v>789</v>
      </c>
      <c r="C1039" s="1081">
        <v>0.99176545231765922</v>
      </c>
      <c r="D1039" s="1081">
        <v>0.99866126140741462</v>
      </c>
      <c r="E1039" s="1081">
        <v>1.0110443300366185</v>
      </c>
      <c r="F1039" s="1081">
        <v>1.0211430123393337</v>
      </c>
      <c r="G1039" s="1081">
        <v>0.98314105628614157</v>
      </c>
      <c r="H1039" s="1081">
        <v>1.0014409289479509</v>
      </c>
      <c r="I1039" s="1081">
        <v>0.95685636763432735</v>
      </c>
      <c r="K1039">
        <v>2.4368424379751108</v>
      </c>
      <c r="L1039">
        <v>0</v>
      </c>
      <c r="M1039">
        <v>1.6207424309851218E-3</v>
      </c>
      <c r="N1039">
        <v>0.15250716571422032</v>
      </c>
      <c r="O1039">
        <v>2.1173473675073471E-2</v>
      </c>
      <c r="P1039">
        <v>2.899763860001529E-2</v>
      </c>
      <c r="Q1039">
        <v>5.602333154362666E-3</v>
      </c>
      <c r="R1039">
        <v>1.5993797928772666E-3</v>
      </c>
      <c r="S1039">
        <v>0.24989026339909073</v>
      </c>
      <c r="T1039">
        <v>1.4008833606721065</v>
      </c>
      <c r="U1039">
        <v>0.2137714808567793</v>
      </c>
      <c r="V1039">
        <v>0.24313178036734498</v>
      </c>
      <c r="W1039">
        <v>9.9534191376622894E-2</v>
      </c>
      <c r="X1039">
        <v>1.7019128236795491E-2</v>
      </c>
      <c r="Y1039">
        <v>4.3529845608048954E-3</v>
      </c>
    </row>
    <row r="1040" spans="1:25" x14ac:dyDescent="0.2">
      <c r="A1040" s="1077"/>
      <c r="B1040" s="1444">
        <v>790</v>
      </c>
      <c r="C1040" s="1081">
        <v>0.99897057598980299</v>
      </c>
      <c r="D1040" s="1081">
        <v>0.99572136558921776</v>
      </c>
      <c r="E1040" s="1081">
        <v>1.0197536409238206</v>
      </c>
      <c r="F1040" s="1081">
        <v>1.0018747195083963</v>
      </c>
      <c r="G1040" s="1081">
        <v>0.97413004332293573</v>
      </c>
      <c r="H1040" s="1081">
        <v>1.0416217441055913</v>
      </c>
      <c r="I1040" s="1081">
        <v>1.0163149695878975</v>
      </c>
      <c r="K1040">
        <v>2.4350178770942903</v>
      </c>
      <c r="L1040">
        <v>0</v>
      </c>
      <c r="M1040">
        <v>1.6446452481377895E-3</v>
      </c>
      <c r="N1040">
        <v>0.15895959374178545</v>
      </c>
      <c r="O1040">
        <v>2.1040202741615523E-2</v>
      </c>
      <c r="P1040">
        <v>2.9014740291434013E-2</v>
      </c>
      <c r="Q1040">
        <v>5.6156048560621688E-3</v>
      </c>
      <c r="R1040">
        <v>1.6238037748703301E-3</v>
      </c>
      <c r="S1040">
        <v>0.26744913475181536</v>
      </c>
      <c r="T1040">
        <v>1.3746389139620543</v>
      </c>
      <c r="U1040">
        <v>0.21225951529528253</v>
      </c>
      <c r="V1040">
        <v>0.24110996617211292</v>
      </c>
      <c r="W1040">
        <v>0.10321619602469898</v>
      </c>
      <c r="X1040">
        <v>1.7315392142269567E-2</v>
      </c>
      <c r="Y1040">
        <v>4.4194585884265135E-3</v>
      </c>
    </row>
    <row r="1041" spans="1:25" x14ac:dyDescent="0.2">
      <c r="A1041" s="1077"/>
      <c r="B1041" s="1444">
        <v>791</v>
      </c>
      <c r="C1041" s="1081">
        <v>0.99415692528994581</v>
      </c>
      <c r="D1041" s="1081">
        <v>1.0166136349195725</v>
      </c>
      <c r="E1041" s="1081">
        <v>1.0385356269780033</v>
      </c>
      <c r="F1041" s="1081">
        <v>0.98458762721105419</v>
      </c>
      <c r="G1041" s="1081">
        <v>0.96805015689692919</v>
      </c>
      <c r="H1041" s="1081">
        <v>0.96075079702436805</v>
      </c>
      <c r="I1041" s="1081">
        <v>1.0057167802737812</v>
      </c>
      <c r="K1041">
        <v>2.3836051733740455</v>
      </c>
      <c r="L1041">
        <v>0</v>
      </c>
      <c r="M1041">
        <v>1.4591223857765962E-3</v>
      </c>
      <c r="N1041">
        <v>0.14908293255542118</v>
      </c>
      <c r="O1041">
        <v>2.1058263323205244E-2</v>
      </c>
      <c r="P1041">
        <v>2.8935409446872045E-2</v>
      </c>
      <c r="Q1041">
        <v>5.7258202423036367E-3</v>
      </c>
      <c r="R1041">
        <v>1.4390754875573237E-3</v>
      </c>
      <c r="S1041">
        <v>0.25642967073058021</v>
      </c>
      <c r="T1041">
        <v>1.351322098039675</v>
      </c>
      <c r="U1041">
        <v>0.21335212590419669</v>
      </c>
      <c r="V1041">
        <v>0.2403124410744594</v>
      </c>
      <c r="W1041">
        <v>9.5752673647907252E-2</v>
      </c>
      <c r="X1041">
        <v>1.77370962216193E-2</v>
      </c>
      <c r="Y1041">
        <v>3.9166890860240578E-3</v>
      </c>
    </row>
    <row r="1042" spans="1:25" x14ac:dyDescent="0.2">
      <c r="A1042" s="1077"/>
      <c r="B1042" s="1444">
        <v>792</v>
      </c>
      <c r="C1042" s="1081">
        <v>1.0030578553049425</v>
      </c>
      <c r="D1042" s="1081">
        <v>1.0114967326932947</v>
      </c>
      <c r="E1042" s="1081">
        <v>1.0136484976748439</v>
      </c>
      <c r="F1042" s="1081">
        <v>1.0257376145163903</v>
      </c>
      <c r="G1042" s="1081">
        <v>0.96883262691010819</v>
      </c>
      <c r="H1042" s="1081">
        <v>1.0351745226701072</v>
      </c>
      <c r="I1042" s="1081">
        <v>0.97752562384491015</v>
      </c>
      <c r="K1042">
        <v>2.4466867227330478</v>
      </c>
      <c r="L1042">
        <v>0</v>
      </c>
      <c r="M1042">
        <v>1.6429131310343017E-3</v>
      </c>
      <c r="N1042">
        <v>0.15588117303278715</v>
      </c>
      <c r="O1042">
        <v>2.087808905350326E-2</v>
      </c>
      <c r="P1042">
        <v>2.9115847570706031E-2</v>
      </c>
      <c r="Q1042">
        <v>5.5385574937917787E-3</v>
      </c>
      <c r="R1042">
        <v>1.6219639406128401E-3</v>
      </c>
      <c r="S1042">
        <v>0.25361881772935857</v>
      </c>
      <c r="T1042">
        <v>1.4072445080026263</v>
      </c>
      <c r="U1042">
        <v>0.21137373770227064</v>
      </c>
      <c r="V1042">
        <v>0.23997184699650181</v>
      </c>
      <c r="W1042">
        <v>0.10158042602322223</v>
      </c>
      <c r="X1042">
        <v>1.7090217152620837E-2</v>
      </c>
      <c r="Y1042">
        <v>4.4144511660788276E-3</v>
      </c>
    </row>
    <row r="1043" spans="1:25" x14ac:dyDescent="0.2">
      <c r="A1043" s="1077"/>
      <c r="B1043" s="1444">
        <v>793</v>
      </c>
      <c r="C1043" s="1081">
        <v>1.014029102930744</v>
      </c>
      <c r="D1043" s="1081">
        <v>0.98129671708810373</v>
      </c>
      <c r="E1043" s="1081">
        <v>0.99885254630251097</v>
      </c>
      <c r="F1043" s="1081">
        <v>0.96360597001998294</v>
      </c>
      <c r="G1043" s="1081">
        <v>0.98749158356413524</v>
      </c>
      <c r="H1043" s="1081">
        <v>1.0091539319451481</v>
      </c>
      <c r="I1043" s="1081">
        <v>0.99617640913533367</v>
      </c>
      <c r="K1043">
        <v>2.3521216141601968</v>
      </c>
      <c r="L1043">
        <v>0</v>
      </c>
      <c r="M1043">
        <v>1.6446445477733412E-3</v>
      </c>
      <c r="N1043">
        <v>0.14917692027914486</v>
      </c>
      <c r="O1043">
        <v>2.0780646018288017E-2</v>
      </c>
      <c r="P1043">
        <v>2.7684427166425538E-2</v>
      </c>
      <c r="Q1043">
        <v>5.4316045965254987E-3</v>
      </c>
      <c r="R1043">
        <v>1.623132544695584E-3</v>
      </c>
      <c r="S1043">
        <v>0.25724553627845831</v>
      </c>
      <c r="T1043">
        <v>1.3216952317506723</v>
      </c>
      <c r="U1043">
        <v>0.20903686335780525</v>
      </c>
      <c r="V1043">
        <v>0.24253588368461626</v>
      </c>
      <c r="W1043">
        <v>9.8065982586783673E-2</v>
      </c>
      <c r="X1043">
        <v>1.607239872339495E-2</v>
      </c>
      <c r="Y1043">
        <v>4.417631721161823E-3</v>
      </c>
    </row>
    <row r="1044" spans="1:25" x14ac:dyDescent="0.2">
      <c r="A1044" s="1077"/>
      <c r="B1044" s="1444">
        <v>794</v>
      </c>
      <c r="C1044" s="1081">
        <v>1.0091068326789907</v>
      </c>
      <c r="D1044" s="1081">
        <v>1.0098570678558962</v>
      </c>
      <c r="E1044" s="1081">
        <v>0.97153038094770128</v>
      </c>
      <c r="F1044" s="1081">
        <v>1.0007636500884054</v>
      </c>
      <c r="G1044" s="1081">
        <v>1.0061559814121706</v>
      </c>
      <c r="H1044" s="1081">
        <v>1.004039284901469</v>
      </c>
      <c r="I1044" s="1081">
        <v>1.0080679529503973</v>
      </c>
      <c r="K1044">
        <v>2.4000004142539684</v>
      </c>
      <c r="L1044">
        <v>0</v>
      </c>
      <c r="M1044">
        <v>1.728994818460594E-3</v>
      </c>
      <c r="N1044">
        <v>0.14437951346157676</v>
      </c>
      <c r="O1044">
        <v>2.0732738342761004E-2</v>
      </c>
      <c r="P1044">
        <v>2.785143117082365E-2</v>
      </c>
      <c r="Q1044">
        <v>5.2710838210964983E-3</v>
      </c>
      <c r="R1044">
        <v>1.7062643071821466E-3</v>
      </c>
      <c r="S1044">
        <v>0.25720088650434469</v>
      </c>
      <c r="T1044">
        <v>1.3720716389375347</v>
      </c>
      <c r="U1044">
        <v>0.20996418278849965</v>
      </c>
      <c r="V1044">
        <v>0.24612392708003961</v>
      </c>
      <c r="W1044">
        <v>9.6484594152894967E-2</v>
      </c>
      <c r="X1044">
        <v>1.529925953140028E-2</v>
      </c>
      <c r="Y1044">
        <v>4.6438889742721071E-3</v>
      </c>
    </row>
    <row r="1045" spans="1:25" x14ac:dyDescent="0.2">
      <c r="A1045" s="1077"/>
      <c r="B1045" s="1444">
        <v>795</v>
      </c>
      <c r="C1045" s="1081">
        <v>0.97436849693902261</v>
      </c>
      <c r="D1045" s="1081">
        <v>1.0143199752020451</v>
      </c>
      <c r="E1045" s="1081">
        <v>1.0146058146080192</v>
      </c>
      <c r="F1045" s="1081">
        <v>0.96899824774595411</v>
      </c>
      <c r="G1045" s="1081">
        <v>0.98652551652765097</v>
      </c>
      <c r="H1045" s="1081">
        <v>1.0165109634583873</v>
      </c>
      <c r="I1045" s="1081">
        <v>1.0303546087665281</v>
      </c>
      <c r="K1045">
        <v>2.4023871818007985</v>
      </c>
      <c r="L1045">
        <v>0</v>
      </c>
      <c r="M1045">
        <v>1.6564763951896716E-3</v>
      </c>
      <c r="N1045">
        <v>0.15758544602211372</v>
      </c>
      <c r="O1045">
        <v>2.1480300745354491E-2</v>
      </c>
      <c r="P1045">
        <v>2.8485093744985538E-2</v>
      </c>
      <c r="Q1045">
        <v>5.7037560494386345E-3</v>
      </c>
      <c r="R1045">
        <v>1.6349664450876127E-3</v>
      </c>
      <c r="S1045">
        <v>0.27315022862721144</v>
      </c>
      <c r="T1045">
        <v>1.3294219499309472</v>
      </c>
      <c r="U1045">
        <v>0.21760080310470073</v>
      </c>
      <c r="V1045">
        <v>0.24482076609319392</v>
      </c>
      <c r="W1045">
        <v>0.10263325511869326</v>
      </c>
      <c r="X1045">
        <v>1.7077252617274951E-2</v>
      </c>
      <c r="Y1045">
        <v>4.4498396969847075E-3</v>
      </c>
    </row>
    <row r="1046" spans="1:25" x14ac:dyDescent="0.2">
      <c r="A1046" s="1077"/>
      <c r="B1046" s="1444">
        <v>796</v>
      </c>
      <c r="C1046" s="1081">
        <v>0.99470402524997747</v>
      </c>
      <c r="D1046" s="1081">
        <v>0.96234155590224602</v>
      </c>
      <c r="E1046" s="1081">
        <v>1.0207000310566849</v>
      </c>
      <c r="F1046" s="1081">
        <v>1.0133152128795375</v>
      </c>
      <c r="G1046" s="1081">
        <v>1.0088345692161547</v>
      </c>
      <c r="H1046" s="1081">
        <v>0.98237964454262183</v>
      </c>
      <c r="I1046" s="1081">
        <v>1.020672613779072</v>
      </c>
      <c r="K1046">
        <v>2.448168734547981</v>
      </c>
      <c r="L1046">
        <v>0</v>
      </c>
      <c r="M1046">
        <v>1.5664013751532447E-3</v>
      </c>
      <c r="N1046">
        <v>0.15171244276771081</v>
      </c>
      <c r="O1046">
        <v>2.1290196051690392E-2</v>
      </c>
      <c r="P1046">
        <v>2.9374906926980769E-2</v>
      </c>
      <c r="Q1046">
        <v>5.6876758251910792E-3</v>
      </c>
      <c r="R1046">
        <v>1.5453543888194758E-3</v>
      </c>
      <c r="S1046">
        <v>0.2691737292163156</v>
      </c>
      <c r="T1046">
        <v>1.3903568575070446</v>
      </c>
      <c r="U1046">
        <v>0.21317321519116597</v>
      </c>
      <c r="V1046">
        <v>0.24729786790001659</v>
      </c>
      <c r="W1046">
        <v>9.845593147883662E-2</v>
      </c>
      <c r="X1046">
        <v>1.7461013448929277E-2</v>
      </c>
      <c r="Y1046">
        <v>4.2059452204292504E-3</v>
      </c>
    </row>
    <row r="1047" spans="1:25" x14ac:dyDescent="0.2">
      <c r="A1047" s="1077"/>
      <c r="B1047" s="1444">
        <v>797</v>
      </c>
      <c r="C1047" s="1081">
        <v>0.98578510158774701</v>
      </c>
      <c r="D1047" s="1081">
        <v>1.0063036767837621</v>
      </c>
      <c r="E1047" s="1081">
        <v>0.96556247050668431</v>
      </c>
      <c r="F1047" s="1081">
        <v>1.030170367913116</v>
      </c>
      <c r="G1047" s="1081">
        <v>0.9964043855137521</v>
      </c>
      <c r="H1047" s="1081">
        <v>0.97771939241719441</v>
      </c>
      <c r="I1047" s="1081">
        <v>1.028437966269276</v>
      </c>
      <c r="K1047">
        <v>2.4541538384428918</v>
      </c>
      <c r="L1047">
        <v>0</v>
      </c>
      <c r="M1047">
        <v>1.7462176493375687E-3</v>
      </c>
      <c r="N1047">
        <v>0.14315478550843883</v>
      </c>
      <c r="O1047">
        <v>2.1235706866217365E-2</v>
      </c>
      <c r="P1047">
        <v>2.8448151192660941E-2</v>
      </c>
      <c r="Q1047">
        <v>5.3661001846162367E-3</v>
      </c>
      <c r="R1047">
        <v>1.7226427220134416E-3</v>
      </c>
      <c r="S1047">
        <v>0.26669863382408132</v>
      </c>
      <c r="T1047">
        <v>1.4122568782320246</v>
      </c>
      <c r="U1047">
        <v>0.21491093347403381</v>
      </c>
      <c r="V1047">
        <v>0.24594130766640201</v>
      </c>
      <c r="W1047">
        <v>9.6014664669312244E-2</v>
      </c>
      <c r="X1047">
        <v>1.5461786132127413E-2</v>
      </c>
      <c r="Y1047">
        <v>4.6884656202998941E-3</v>
      </c>
    </row>
    <row r="1048" spans="1:25" x14ac:dyDescent="0.2">
      <c r="A1048" s="1077"/>
      <c r="B1048" s="1444">
        <v>798</v>
      </c>
      <c r="C1048" s="1081">
        <v>1.0206524942304744</v>
      </c>
      <c r="D1048" s="1081">
        <v>0.98855242987040071</v>
      </c>
      <c r="E1048" s="1081">
        <v>1.0346466153933354</v>
      </c>
      <c r="F1048" s="1081">
        <v>0.9880888216811442</v>
      </c>
      <c r="G1048" s="1081">
        <v>0.99015252419578281</v>
      </c>
      <c r="H1048" s="1081">
        <v>0.99602052577450562</v>
      </c>
      <c r="I1048" s="1081">
        <v>1.0080186801458402</v>
      </c>
      <c r="K1048">
        <v>2.3879748781806454</v>
      </c>
      <c r="L1048">
        <v>0</v>
      </c>
      <c r="M1048">
        <v>1.4945950943016841E-3</v>
      </c>
      <c r="N1048">
        <v>0.1510027487874129</v>
      </c>
      <c r="O1048">
        <v>2.0635752828274439E-2</v>
      </c>
      <c r="P1048">
        <v>2.8878638585177269E-2</v>
      </c>
      <c r="Q1048">
        <v>5.5894827163595175E-3</v>
      </c>
      <c r="R1048">
        <v>1.4747879674720001E-3</v>
      </c>
      <c r="S1048">
        <v>0.2568449815344086</v>
      </c>
      <c r="T1048">
        <v>1.3560437031978121</v>
      </c>
      <c r="U1048">
        <v>0.20780052803530663</v>
      </c>
      <c r="V1048">
        <v>0.24246593083796009</v>
      </c>
      <c r="W1048">
        <v>9.7203788455643175E-2</v>
      </c>
      <c r="X1048">
        <v>1.7515243645381019E-2</v>
      </c>
      <c r="Y1048">
        <v>4.0138866837359658E-3</v>
      </c>
    </row>
    <row r="1049" spans="1:25" x14ac:dyDescent="0.2">
      <c r="A1049" s="1077"/>
      <c r="B1049" s="1444">
        <v>799</v>
      </c>
      <c r="C1049" s="1081">
        <v>0.96886391124526172</v>
      </c>
      <c r="D1049" s="1081">
        <v>0.98487749846250427</v>
      </c>
      <c r="E1049" s="1081">
        <v>0.99240962036909119</v>
      </c>
      <c r="F1049" s="1081">
        <v>1.0033894284496991</v>
      </c>
      <c r="G1049" s="1081">
        <v>0.99731503373975205</v>
      </c>
      <c r="H1049" s="1081">
        <v>1.003424753678674</v>
      </c>
      <c r="I1049" s="1081">
        <v>1.0427560537568332</v>
      </c>
      <c r="K1049">
        <v>2.4559620822097354</v>
      </c>
      <c r="L1049">
        <v>0</v>
      </c>
      <c r="M1049">
        <v>1.7331625535952672E-3</v>
      </c>
      <c r="N1049">
        <v>0.15416278973834313</v>
      </c>
      <c r="O1049">
        <v>2.1727523592342483E-2</v>
      </c>
      <c r="P1049">
        <v>2.8802384367404784E-2</v>
      </c>
      <c r="Q1049">
        <v>5.6423483847768737E-3</v>
      </c>
      <c r="R1049">
        <v>1.7103632960202917E-3</v>
      </c>
      <c r="S1049">
        <v>0.2807281465427493</v>
      </c>
      <c r="T1049">
        <v>1.3761230738186865</v>
      </c>
      <c r="U1049">
        <v>0.21875874652430519</v>
      </c>
      <c r="V1049">
        <v>0.24710469468426299</v>
      </c>
      <c r="W1049">
        <v>0.10173376383355968</v>
      </c>
      <c r="X1049">
        <v>1.6546364910221455E-2</v>
      </c>
      <c r="Y1049">
        <v>4.655045070658231E-3</v>
      </c>
    </row>
    <row r="1050" spans="1:25" x14ac:dyDescent="0.2">
      <c r="A1050" s="1077"/>
      <c r="B1050" s="1444">
        <v>800</v>
      </c>
      <c r="C1050" s="1081">
        <v>1.0343456254426064</v>
      </c>
      <c r="D1050" s="1081">
        <v>1.0417024370056556</v>
      </c>
      <c r="E1050" s="1081">
        <v>0.99874504935188857</v>
      </c>
      <c r="F1050" s="1081">
        <v>1.0229520126166121</v>
      </c>
      <c r="G1050" s="1081">
        <v>0.96437172618819011</v>
      </c>
      <c r="H1050" s="1081">
        <v>1.0350068467732851</v>
      </c>
      <c r="I1050" s="1081">
        <v>0.96945139069859454</v>
      </c>
      <c r="K1050">
        <v>2.4053876335883606</v>
      </c>
      <c r="L1050">
        <v>0</v>
      </c>
      <c r="M1050">
        <v>1.6324199034197422E-3</v>
      </c>
      <c r="N1050">
        <v>0.14806900535401513</v>
      </c>
      <c r="O1050">
        <v>2.0106421023244499E-2</v>
      </c>
      <c r="P1050">
        <v>2.8434152883294241E-2</v>
      </c>
      <c r="Q1050">
        <v>5.2548087765995769E-3</v>
      </c>
      <c r="R1050">
        <v>1.6116011425416207E-3</v>
      </c>
      <c r="S1050">
        <v>0.24026743491549649</v>
      </c>
      <c r="T1050">
        <v>1.4030927040983512</v>
      </c>
      <c r="U1050">
        <v>0.20493062515636112</v>
      </c>
      <c r="V1050">
        <v>0.23737936860056263</v>
      </c>
      <c r="W1050">
        <v>9.7343886069597499E-2</v>
      </c>
      <c r="X1050">
        <v>1.6143798425891059E-2</v>
      </c>
      <c r="Y1050">
        <v>4.386247045824433E-3</v>
      </c>
    </row>
    <row r="1051" spans="1:25" x14ac:dyDescent="0.2">
      <c r="A1051" s="1077"/>
      <c r="B1051" s="1444">
        <v>801</v>
      </c>
      <c r="C1051" s="1081">
        <v>1.0078131557855898</v>
      </c>
      <c r="D1051" s="1081">
        <v>1.0430147630460376</v>
      </c>
      <c r="E1051" s="1081">
        <v>0.96720912421894689</v>
      </c>
      <c r="F1051" s="1081">
        <v>1.0117911638602837</v>
      </c>
      <c r="G1051" s="1081">
        <v>1.0248612326332407</v>
      </c>
      <c r="H1051" s="1081">
        <v>0.98570222810209351</v>
      </c>
      <c r="I1051" s="1081">
        <v>0.98308201780257221</v>
      </c>
      <c r="K1051">
        <v>2.4000090162656327</v>
      </c>
      <c r="L1051">
        <v>0</v>
      </c>
      <c r="M1051">
        <v>1.7026802715845511E-3</v>
      </c>
      <c r="N1051">
        <v>0.14029902396253136</v>
      </c>
      <c r="O1051">
        <v>2.0609523823553143E-2</v>
      </c>
      <c r="P1051">
        <v>2.7852217025332991E-2</v>
      </c>
      <c r="Q1051">
        <v>5.2166585193230124E-3</v>
      </c>
      <c r="R1051">
        <v>1.679879287881112E-3</v>
      </c>
      <c r="S1051">
        <v>0.24560727564750912</v>
      </c>
      <c r="T1051">
        <v>1.387096673527906</v>
      </c>
      <c r="U1051">
        <v>0.21021911937266527</v>
      </c>
      <c r="V1051">
        <v>0.24941668966165997</v>
      </c>
      <c r="W1051">
        <v>9.4004759683966696E-2</v>
      </c>
      <c r="X1051">
        <v>1.5137798375333236E-2</v>
      </c>
      <c r="Y1051">
        <v>4.5720776495539669E-3</v>
      </c>
    </row>
    <row r="1052" spans="1:25" x14ac:dyDescent="0.2">
      <c r="A1052" s="1077"/>
      <c r="B1052" s="1444">
        <v>802</v>
      </c>
      <c r="C1052" s="1081">
        <v>0.98927871247732202</v>
      </c>
      <c r="D1052" s="1081">
        <v>0.98596994999408782</v>
      </c>
      <c r="E1052" s="1081">
        <v>0.99304533322850208</v>
      </c>
      <c r="F1052" s="1081">
        <v>0.99923125964033077</v>
      </c>
      <c r="G1052" s="1081">
        <v>1.0019639256271882</v>
      </c>
      <c r="H1052" s="1081">
        <v>1.0021293070864341</v>
      </c>
      <c r="I1052" s="1081">
        <v>1.0101838880426375</v>
      </c>
      <c r="K1052">
        <v>2.4237910112378689</v>
      </c>
      <c r="L1052">
        <v>0</v>
      </c>
      <c r="M1052">
        <v>1.692561291651788E-3</v>
      </c>
      <c r="N1052">
        <v>0.15083834100708751</v>
      </c>
      <c r="O1052">
        <v>2.1274391494747122E-2</v>
      </c>
      <c r="P1052">
        <v>2.8471612250757436E-2</v>
      </c>
      <c r="Q1052">
        <v>5.5282217037174184E-3</v>
      </c>
      <c r="R1052">
        <v>1.6702673500232849E-3</v>
      </c>
      <c r="S1052">
        <v>0.26609118663301989</v>
      </c>
      <c r="T1052">
        <v>1.3704339695924279</v>
      </c>
      <c r="U1052">
        <v>0.21424662495979596</v>
      </c>
      <c r="V1052">
        <v>0.24656769000078868</v>
      </c>
      <c r="W1052">
        <v>9.9502103628139854E-2</v>
      </c>
      <c r="X1052">
        <v>1.6313246785736046E-2</v>
      </c>
      <c r="Y1052">
        <v>4.545917123279424E-3</v>
      </c>
    </row>
    <row r="1053" spans="1:25" x14ac:dyDescent="0.2">
      <c r="A1053" s="1077"/>
      <c r="B1053" s="1444">
        <v>803</v>
      </c>
      <c r="C1053" s="1081">
        <v>1.0168337958121796</v>
      </c>
      <c r="D1053" s="1081">
        <v>0.9951939495958978</v>
      </c>
      <c r="E1053" s="1081">
        <v>1.0140910215929535</v>
      </c>
      <c r="F1053" s="1081">
        <v>1.0368715160899529</v>
      </c>
      <c r="G1053" s="1081">
        <v>0.99124719292499031</v>
      </c>
      <c r="H1053" s="1081">
        <v>1.0168222383607119</v>
      </c>
      <c r="I1053" s="1081">
        <v>0.98586313253425184</v>
      </c>
      <c r="K1053">
        <v>2.4540607489803823</v>
      </c>
      <c r="L1053">
        <v>0</v>
      </c>
      <c r="M1053">
        <v>1.5961549795995545E-3</v>
      </c>
      <c r="N1053">
        <v>0.15161176811700758</v>
      </c>
      <c r="O1053">
        <v>2.066927920333839E-2</v>
      </c>
      <c r="P1053">
        <v>2.9327136053066579E-2</v>
      </c>
      <c r="Q1053">
        <v>5.4855851529927533E-3</v>
      </c>
      <c r="R1053">
        <v>1.5754346700290014E-3</v>
      </c>
      <c r="S1053">
        <v>0.25285098079297369</v>
      </c>
      <c r="T1053">
        <v>1.4225294394982202</v>
      </c>
      <c r="U1053">
        <v>0.2085115628140948</v>
      </c>
      <c r="V1053">
        <v>0.24295368559283725</v>
      </c>
      <c r="W1053">
        <v>9.8772556530339076E-2</v>
      </c>
      <c r="X1053">
        <v>1.708166170516158E-2</v>
      </c>
      <c r="Y1053">
        <v>4.2878138299195425E-3</v>
      </c>
    </row>
    <row r="1054" spans="1:25" x14ac:dyDescent="0.2">
      <c r="A1054" s="1077"/>
      <c r="B1054" s="1444">
        <v>804</v>
      </c>
      <c r="C1054" s="1081">
        <v>1.0035016186190497</v>
      </c>
      <c r="D1054" s="1081">
        <v>0.99900548264986977</v>
      </c>
      <c r="E1054" s="1081">
        <v>0.97812044915975216</v>
      </c>
      <c r="F1054" s="1081">
        <v>0.98459108185895827</v>
      </c>
      <c r="G1054" s="1081">
        <v>1.0437669238094907</v>
      </c>
      <c r="H1054" s="1081">
        <v>1.0024770258907412</v>
      </c>
      <c r="I1054" s="1081">
        <v>1.0349359255466493</v>
      </c>
      <c r="K1054">
        <v>2.3988501789240781</v>
      </c>
      <c r="L1054">
        <v>0</v>
      </c>
      <c r="M1054">
        <v>1.7165465147874284E-3</v>
      </c>
      <c r="N1054">
        <v>0.14622487896369268</v>
      </c>
      <c r="O1054">
        <v>2.090249848094744E-2</v>
      </c>
      <c r="P1054">
        <v>2.7932600517693845E-2</v>
      </c>
      <c r="Q1054">
        <v>5.3500619861639844E-3</v>
      </c>
      <c r="R1054">
        <v>1.6939444889913825E-3</v>
      </c>
      <c r="S1054">
        <v>0.26688733789022695</v>
      </c>
      <c r="T1054">
        <v>1.3500382517521061</v>
      </c>
      <c r="U1054">
        <v>0.21115932668256898</v>
      </c>
      <c r="V1054">
        <v>0.25287151591322943</v>
      </c>
      <c r="W1054">
        <v>9.7328134981276473E-2</v>
      </c>
      <c r="X1054">
        <v>1.5567815291582196E-2</v>
      </c>
      <c r="Y1054">
        <v>4.6103584903838214E-3</v>
      </c>
    </row>
    <row r="1055" spans="1:25" x14ac:dyDescent="0.2">
      <c r="A1055" s="1077"/>
      <c r="B1055" s="1444">
        <v>805</v>
      </c>
      <c r="C1055" s="1081">
        <v>1.0084107747359234</v>
      </c>
      <c r="D1055" s="1081">
        <v>1.0361925590298549</v>
      </c>
      <c r="E1055" s="1081">
        <v>1.0125117158946391</v>
      </c>
      <c r="F1055" s="1081">
        <v>0.97142111816479648</v>
      </c>
      <c r="G1055" s="1081">
        <v>1.006191327900237</v>
      </c>
      <c r="H1055" s="1081">
        <v>1.0140029302319302</v>
      </c>
      <c r="I1055" s="1081">
        <v>1.0163172494949184</v>
      </c>
      <c r="K1055">
        <v>2.3708061082808367</v>
      </c>
      <c r="L1055">
        <v>0</v>
      </c>
      <c r="M1055">
        <v>1.596063506983453E-3</v>
      </c>
      <c r="N1055">
        <v>0.15087662538031546</v>
      </c>
      <c r="O1055">
        <v>2.0656602699148836E-2</v>
      </c>
      <c r="P1055">
        <v>2.8184155834659788E-2</v>
      </c>
      <c r="Q1055">
        <v>5.4735884119834748E-3</v>
      </c>
      <c r="R1055">
        <v>1.5752867779308571E-3</v>
      </c>
      <c r="S1055">
        <v>0.25736209710096603</v>
      </c>
      <c r="T1055">
        <v>1.3327019033826901</v>
      </c>
      <c r="U1055">
        <v>0.2102478471094622</v>
      </c>
      <c r="V1055">
        <v>0.24602299880456713</v>
      </c>
      <c r="W1055">
        <v>9.8384966691440673E-2</v>
      </c>
      <c r="X1055">
        <v>1.6628688278272876E-2</v>
      </c>
      <c r="Y1055">
        <v>4.2874113163810105E-3</v>
      </c>
    </row>
    <row r="1056" spans="1:25" x14ac:dyDescent="0.2">
      <c r="A1056" s="1077"/>
      <c r="B1056" s="1444">
        <v>806</v>
      </c>
      <c r="C1056" s="1081">
        <v>0.97531620380058348</v>
      </c>
      <c r="D1056" s="1081">
        <v>0.99973354562135619</v>
      </c>
      <c r="E1056" s="1081">
        <v>0.96297010126283722</v>
      </c>
      <c r="F1056" s="1081">
        <v>0.97163560537748306</v>
      </c>
      <c r="G1056" s="1081">
        <v>0.98995959155350954</v>
      </c>
      <c r="H1056" s="1081">
        <v>0.9859997468754883</v>
      </c>
      <c r="I1056" s="1081">
        <v>1.0045858065287909</v>
      </c>
      <c r="K1056">
        <v>2.3773726922951508</v>
      </c>
      <c r="L1056">
        <v>0</v>
      </c>
      <c r="M1056">
        <v>1.7920318548533161E-3</v>
      </c>
      <c r="N1056">
        <v>0.14577825286018209</v>
      </c>
      <c r="O1056">
        <v>2.1492847158864913E-2</v>
      </c>
      <c r="P1056">
        <v>2.7326885057619963E-2</v>
      </c>
      <c r="Q1056">
        <v>5.4166604084631568E-3</v>
      </c>
      <c r="R1056">
        <v>1.76804158460473E-3</v>
      </c>
      <c r="S1056">
        <v>0.26488078306551482</v>
      </c>
      <c r="T1056">
        <v>1.3319577119729766</v>
      </c>
      <c r="U1056">
        <v>0.21720872281727432</v>
      </c>
      <c r="V1056">
        <v>0.24552809404205719</v>
      </c>
      <c r="W1056">
        <v>9.7929333762108578E-2</v>
      </c>
      <c r="X1056">
        <v>1.5065365061794558E-2</v>
      </c>
      <c r="Y1056">
        <v>4.8120263585423517E-3</v>
      </c>
    </row>
    <row r="1057" spans="1:25" x14ac:dyDescent="0.2">
      <c r="A1057" s="1077"/>
      <c r="B1057" s="1444">
        <v>807</v>
      </c>
      <c r="C1057" s="1081">
        <v>1.0099674397131422</v>
      </c>
      <c r="D1057" s="1081">
        <v>0.97654586954652012</v>
      </c>
      <c r="E1057" s="1081">
        <v>0.95839115591321289</v>
      </c>
      <c r="F1057" s="1081">
        <v>0.98463938622394576</v>
      </c>
      <c r="G1057" s="1081">
        <v>0.97678113210959605</v>
      </c>
      <c r="H1057" s="1081">
        <v>0.97101973978223133</v>
      </c>
      <c r="I1057" s="1081">
        <v>1.0229641806286123</v>
      </c>
      <c r="K1057">
        <v>2.3676507546509615</v>
      </c>
      <c r="L1057">
        <v>0</v>
      </c>
      <c r="M1057">
        <v>1.7293240522991064E-3</v>
      </c>
      <c r="N1057">
        <v>0.13870977115423677</v>
      </c>
      <c r="O1057">
        <v>2.0859870687762083E-2</v>
      </c>
      <c r="P1057">
        <v>2.7272530491466936E-2</v>
      </c>
      <c r="Q1057">
        <v>5.2324627981047388E-3</v>
      </c>
      <c r="R1057">
        <v>1.7058161140319965E-3</v>
      </c>
      <c r="S1057">
        <v>0.2622356603099204</v>
      </c>
      <c r="T1057">
        <v>1.3496871200873537</v>
      </c>
      <c r="U1057">
        <v>0.20974105508627652</v>
      </c>
      <c r="V1057">
        <v>0.24109826950442823</v>
      </c>
      <c r="W1057">
        <v>9.3442930294887483E-2</v>
      </c>
      <c r="X1057">
        <v>1.4751923034527997E-2</v>
      </c>
      <c r="Y1057">
        <v>4.6426691402642311E-3</v>
      </c>
    </row>
    <row r="1058" spans="1:25" x14ac:dyDescent="0.2">
      <c r="A1058" s="1077"/>
      <c r="B1058" s="1444">
        <v>808</v>
      </c>
      <c r="C1058" s="1081">
        <v>0.98721491429219188</v>
      </c>
      <c r="D1058" s="1081">
        <v>0.97528586070268619</v>
      </c>
      <c r="E1058" s="1081">
        <v>0.99426176612314221</v>
      </c>
      <c r="F1058" s="1081">
        <v>0.99513558033841887</v>
      </c>
      <c r="G1058" s="1081">
        <v>0.99169504418569077</v>
      </c>
      <c r="H1058" s="1081">
        <v>0.99828924152925147</v>
      </c>
      <c r="I1058" s="1081">
        <v>0.97780576354559012</v>
      </c>
      <c r="K1058">
        <v>2.4104730525804126</v>
      </c>
      <c r="L1058">
        <v>0</v>
      </c>
      <c r="M1058">
        <v>1.6893911764689633E-3</v>
      </c>
      <c r="N1058">
        <v>0.15110265250200533</v>
      </c>
      <c r="O1058">
        <v>2.1370849321296657E-2</v>
      </c>
      <c r="P1058">
        <v>2.8312080991345911E-2</v>
      </c>
      <c r="Q1058">
        <v>5.5601048750026551E-3</v>
      </c>
      <c r="R1058">
        <v>1.6670533944199773E-3</v>
      </c>
      <c r="S1058">
        <v>0.25920434363257144</v>
      </c>
      <c r="T1058">
        <v>1.3648429410498999</v>
      </c>
      <c r="U1058">
        <v>0.2146987207226386</v>
      </c>
      <c r="V1058">
        <v>0.24494123050188099</v>
      </c>
      <c r="W1058">
        <v>9.9604059392327166E-2</v>
      </c>
      <c r="X1058">
        <v>1.6321237577884978E-2</v>
      </c>
      <c r="Y1058">
        <v>4.5371697956074018E-3</v>
      </c>
    </row>
    <row r="1059" spans="1:25" x14ac:dyDescent="0.2">
      <c r="A1059" s="1077"/>
      <c r="B1059" s="1444">
        <v>809</v>
      </c>
      <c r="C1059" s="1081">
        <v>1.0088414897130797</v>
      </c>
      <c r="D1059" s="1081">
        <v>0.99269514210126109</v>
      </c>
      <c r="E1059" s="1081">
        <v>1.0132648549953875</v>
      </c>
      <c r="F1059" s="1081">
        <v>1.049128696209868</v>
      </c>
      <c r="G1059" s="1081">
        <v>0.97894390141871346</v>
      </c>
      <c r="H1059" s="1081">
        <v>1.0157813166182992</v>
      </c>
      <c r="I1059" s="1081">
        <v>1.0046948136205469</v>
      </c>
      <c r="K1059">
        <v>2.4804199922361407</v>
      </c>
      <c r="L1059">
        <v>0</v>
      </c>
      <c r="M1059">
        <v>1.6108062583884014E-3</v>
      </c>
      <c r="N1059">
        <v>0.15262032973272965</v>
      </c>
      <c r="O1059">
        <v>2.0844006776294003E-2</v>
      </c>
      <c r="P1059">
        <v>2.9639214804541365E-2</v>
      </c>
      <c r="Q1059">
        <v>5.5273999709613388E-3</v>
      </c>
      <c r="R1059">
        <v>1.5898743268253413E-3</v>
      </c>
      <c r="S1059">
        <v>0.25995382731741512</v>
      </c>
      <c r="T1059">
        <v>1.4393268044205541</v>
      </c>
      <c r="U1059">
        <v>0.21016064076591137</v>
      </c>
      <c r="V1059">
        <v>0.24134253519151139</v>
      </c>
      <c r="W1059">
        <v>9.9477928542114277E-2</v>
      </c>
      <c r="X1059">
        <v>1.722112282998289E-2</v>
      </c>
      <c r="Y1059">
        <v>4.3271138156875961E-3</v>
      </c>
    </row>
    <row r="1060" spans="1:25" x14ac:dyDescent="0.2">
      <c r="A1060" s="1077"/>
      <c r="B1060" s="1444">
        <v>810</v>
      </c>
      <c r="C1060" s="1081">
        <v>1.0010788656774683</v>
      </c>
      <c r="D1060" s="1081">
        <v>1.0051529824576406</v>
      </c>
      <c r="E1060" s="1081">
        <v>1.0019884425438694</v>
      </c>
      <c r="F1060" s="1081">
        <v>1.001457362714161</v>
      </c>
      <c r="G1060" s="1081">
        <v>1.0020293711984567</v>
      </c>
      <c r="H1060" s="1081">
        <v>0.98831902136272287</v>
      </c>
      <c r="I1060" s="1081">
        <v>1.009355338306906</v>
      </c>
      <c r="K1060">
        <v>2.4106020699725295</v>
      </c>
      <c r="L1060">
        <v>0</v>
      </c>
      <c r="M1060">
        <v>1.6124034778220813E-3</v>
      </c>
      <c r="N1060">
        <v>0.14760342320065239</v>
      </c>
      <c r="O1060">
        <v>2.0940605924306029E-2</v>
      </c>
      <c r="P1060">
        <v>2.8566773542738507E-2</v>
      </c>
      <c r="Q1060">
        <v>5.4906907566621959E-3</v>
      </c>
      <c r="R1060">
        <v>1.5908685812304475E-3</v>
      </c>
      <c r="S1060">
        <v>0.25910413560582324</v>
      </c>
      <c r="T1060">
        <v>1.3736806523758918</v>
      </c>
      <c r="U1060">
        <v>0.21175173128641656</v>
      </c>
      <c r="V1060">
        <v>0.24580329401514903</v>
      </c>
      <c r="W1060">
        <v>9.6850976769997099E-2</v>
      </c>
      <c r="X1060">
        <v>1.6501501543063981E-2</v>
      </c>
      <c r="Y1060">
        <v>4.3298198484224186E-3</v>
      </c>
    </row>
    <row r="1061" spans="1:25" x14ac:dyDescent="0.2">
      <c r="A1061" s="1077"/>
      <c r="B1061" s="1444">
        <v>811</v>
      </c>
      <c r="C1061" s="1081">
        <v>0.99936821606856197</v>
      </c>
      <c r="D1061" s="1081">
        <v>1.0098240689304658</v>
      </c>
      <c r="E1061" s="1081">
        <v>1.0011561616003675</v>
      </c>
      <c r="F1061" s="1081">
        <v>0.98988044086735927</v>
      </c>
      <c r="G1061" s="1081">
        <v>0.99620222243569378</v>
      </c>
      <c r="H1061" s="1081">
        <v>0.9894362888524576</v>
      </c>
      <c r="I1061" s="1081">
        <v>1.024773818024475</v>
      </c>
      <c r="K1061">
        <v>2.3981246170871384</v>
      </c>
      <c r="L1061">
        <v>0</v>
      </c>
      <c r="M1061">
        <v>1.6181327077721332E-3</v>
      </c>
      <c r="N1061">
        <v>0.14775819288067923</v>
      </c>
      <c r="O1061">
        <v>2.0954513819960163E-2</v>
      </c>
      <c r="P1061">
        <v>2.8377881489400281E-2</v>
      </c>
      <c r="Q1061">
        <v>5.4897468494739836E-3</v>
      </c>
      <c r="R1061">
        <v>1.5965456964026127E-3</v>
      </c>
      <c r="S1061">
        <v>0.26299141549186195</v>
      </c>
      <c r="T1061">
        <v>1.357782977244816</v>
      </c>
      <c r="U1061">
        <v>0.21211134587100966</v>
      </c>
      <c r="V1061">
        <v>0.24491789224825827</v>
      </c>
      <c r="W1061">
        <v>9.7000441036352622E-2</v>
      </c>
      <c r="X1061">
        <v>1.6416526082232957E-2</v>
      </c>
      <c r="Y1061">
        <v>4.3452710844605379E-3</v>
      </c>
    </row>
    <row r="1062" spans="1:25" x14ac:dyDescent="0.2">
      <c r="A1062" s="1077"/>
      <c r="B1062" s="1444">
        <v>812</v>
      </c>
      <c r="C1062" s="1081">
        <v>0.98806227753311271</v>
      </c>
      <c r="D1062" s="1081">
        <v>0.98222571833796957</v>
      </c>
      <c r="E1062" s="1081">
        <v>0.96708630962795883</v>
      </c>
      <c r="F1062" s="1081">
        <v>0.98867103294479752</v>
      </c>
      <c r="G1062" s="1081">
        <v>1.0084225041594306</v>
      </c>
      <c r="H1062" s="1081">
        <v>1.0060381275279329</v>
      </c>
      <c r="I1062" s="1081">
        <v>0.98520828324373433</v>
      </c>
      <c r="K1062">
        <v>2.3997284852030667</v>
      </c>
      <c r="L1062">
        <v>0</v>
      </c>
      <c r="M1062">
        <v>1.7965734894823066E-3</v>
      </c>
      <c r="N1062">
        <v>0.14802127331778756</v>
      </c>
      <c r="O1062">
        <v>2.1300970763676895E-2</v>
      </c>
      <c r="P1062">
        <v>2.7660260766149868E-2</v>
      </c>
      <c r="Q1062">
        <v>5.3909989277101866E-3</v>
      </c>
      <c r="R1062">
        <v>1.7730014714283822E-3</v>
      </c>
      <c r="S1062">
        <v>0.26044872588400592</v>
      </c>
      <c r="T1062">
        <v>1.3553979428987493</v>
      </c>
      <c r="U1062">
        <v>0.21442087342312469</v>
      </c>
      <c r="V1062">
        <v>0.24784417511718176</v>
      </c>
      <c r="W1062">
        <v>9.9186340308334509E-2</v>
      </c>
      <c r="X1062">
        <v>1.5254970278949035E-2</v>
      </c>
      <c r="Y1062">
        <v>4.8255255354500799E-3</v>
      </c>
    </row>
    <row r="1063" spans="1:25" x14ac:dyDescent="0.2">
      <c r="A1063" s="1077"/>
      <c r="B1063" s="1444">
        <v>813</v>
      </c>
      <c r="C1063" s="1081">
        <v>1.0080492325006438</v>
      </c>
      <c r="D1063" s="1081">
        <v>0.99308691927821535</v>
      </c>
      <c r="E1063" s="1081">
        <v>1.0141775472647194</v>
      </c>
      <c r="F1063" s="1081">
        <v>1.0232014448653777</v>
      </c>
      <c r="G1063" s="1081">
        <v>1.0215760592227188</v>
      </c>
      <c r="H1063" s="1081">
        <v>1.0339864981882203</v>
      </c>
      <c r="I1063" s="1081">
        <v>1.0067653210667566</v>
      </c>
      <c r="K1063">
        <v>2.4592347053755841</v>
      </c>
      <c r="L1063">
        <v>0</v>
      </c>
      <c r="M1063">
        <v>1.6377118947972628E-3</v>
      </c>
      <c r="N1063">
        <v>0.15563367717087659</v>
      </c>
      <c r="O1063">
        <v>2.0859181044059562E-2</v>
      </c>
      <c r="P1063">
        <v>2.9303146504281351E-2</v>
      </c>
      <c r="Q1063">
        <v>5.5364624813780006E-3</v>
      </c>
      <c r="R1063">
        <v>1.6168050327311772E-3</v>
      </c>
      <c r="S1063">
        <v>0.26220006832142134</v>
      </c>
      <c r="T1063">
        <v>1.4037767903295613</v>
      </c>
      <c r="U1063">
        <v>0.21032891396509884</v>
      </c>
      <c r="V1063">
        <v>0.24866547435082609</v>
      </c>
      <c r="W1063">
        <v>0.10138760735782498</v>
      </c>
      <c r="X1063">
        <v>1.7163880392861815E-2</v>
      </c>
      <c r="Y1063">
        <v>4.4004103194584653E-3</v>
      </c>
    </row>
    <row r="1064" spans="1:25" x14ac:dyDescent="0.2">
      <c r="A1064" s="1077"/>
      <c r="B1064" s="1444">
        <v>814</v>
      </c>
      <c r="C1064" s="1081">
        <v>0.96464669401279846</v>
      </c>
      <c r="D1064" s="1081">
        <v>0.99978514933669316</v>
      </c>
      <c r="E1064" s="1081">
        <v>0.97570170691524538</v>
      </c>
      <c r="F1064" s="1081">
        <v>1.0055359943486804</v>
      </c>
      <c r="G1064" s="1081">
        <v>1.0062370042319244</v>
      </c>
      <c r="H1064" s="1081">
        <v>0.99417824909082486</v>
      </c>
      <c r="I1064" s="1081">
        <v>1.0080417561485138</v>
      </c>
      <c r="K1064">
        <v>2.4439320345617199</v>
      </c>
      <c r="L1064">
        <v>0</v>
      </c>
      <c r="M1064">
        <v>1.7794741691156276E-3</v>
      </c>
      <c r="N1064">
        <v>0.15046309565127991</v>
      </c>
      <c r="O1064">
        <v>2.1739038826926162E-2</v>
      </c>
      <c r="P1064">
        <v>2.8362746795573338E-2</v>
      </c>
      <c r="Q1064">
        <v>5.5504915064856575E-3</v>
      </c>
      <c r="R1064">
        <v>1.755847981451474E-3</v>
      </c>
      <c r="S1064">
        <v>0.26955912096145307</v>
      </c>
      <c r="T1064">
        <v>1.3787048614119271</v>
      </c>
      <c r="U1064">
        <v>0.21965605687601272</v>
      </c>
      <c r="V1064">
        <v>0.24897088818853666</v>
      </c>
      <c r="W1064">
        <v>0.10029584998094961</v>
      </c>
      <c r="X1064">
        <v>1.5874671159856968E-2</v>
      </c>
      <c r="Y1064">
        <v>4.7788393903793868E-3</v>
      </c>
    </row>
    <row r="1065" spans="1:25" x14ac:dyDescent="0.2">
      <c r="A1065" s="1077"/>
      <c r="B1065" s="1444">
        <v>815</v>
      </c>
      <c r="C1065" s="1081">
        <v>1.0250391525482265</v>
      </c>
      <c r="D1065" s="1081">
        <v>0.9987022712422311</v>
      </c>
      <c r="E1065" s="1081">
        <v>1.0356627146417523</v>
      </c>
      <c r="F1065" s="1081">
        <v>1.0097316077267615</v>
      </c>
      <c r="G1065" s="1081">
        <v>1.0069946166586532</v>
      </c>
      <c r="H1065" s="1081">
        <v>1.0091555039253028</v>
      </c>
      <c r="I1065" s="1081">
        <v>0.98919160286276619</v>
      </c>
      <c r="K1065">
        <v>2.415577002025953</v>
      </c>
      <c r="L1065">
        <v>0</v>
      </c>
      <c r="M1065">
        <v>1.5012553436377419E-3</v>
      </c>
      <c r="N1065">
        <v>0.15216738106140312</v>
      </c>
      <c r="O1065">
        <v>2.0501979063008841E-2</v>
      </c>
      <c r="P1065">
        <v>2.9255266706072779E-2</v>
      </c>
      <c r="Q1065">
        <v>5.5588141133969867E-3</v>
      </c>
      <c r="R1065">
        <v>1.481618906506068E-3</v>
      </c>
      <c r="S1065">
        <v>0.25077333851568251</v>
      </c>
      <c r="T1065">
        <v>1.3857683980636808</v>
      </c>
      <c r="U1065">
        <v>0.20691465127272771</v>
      </c>
      <c r="V1065">
        <v>0.24507399048440412</v>
      </c>
      <c r="W1065">
        <v>9.7895962815984464E-2</v>
      </c>
      <c r="X1065">
        <v>1.7654378118753148E-2</v>
      </c>
      <c r="Y1065">
        <v>4.0324782479682509E-3</v>
      </c>
    </row>
    <row r="1066" spans="1:25" x14ac:dyDescent="0.2">
      <c r="A1066" s="1077"/>
      <c r="B1066" s="1444">
        <v>816</v>
      </c>
      <c r="C1066" s="1081">
        <v>0.98431308176125154</v>
      </c>
      <c r="D1066" s="1081">
        <v>0.97195255021391758</v>
      </c>
      <c r="E1066" s="1081">
        <v>0.99512396360117827</v>
      </c>
      <c r="F1066" s="1081">
        <v>1.0415715313819169</v>
      </c>
      <c r="G1066" s="1081">
        <v>1.0024968911943311</v>
      </c>
      <c r="H1066" s="1081">
        <v>1.0179374627776829</v>
      </c>
      <c r="I1066" s="1081">
        <v>0.99522421993318011</v>
      </c>
      <c r="K1066">
        <v>2.4921613890899534</v>
      </c>
      <c r="L1066">
        <v>0</v>
      </c>
      <c r="M1066">
        <v>1.7259349069985513E-3</v>
      </c>
      <c r="N1066">
        <v>0.15481403058700727</v>
      </c>
      <c r="O1066">
        <v>2.1450586809032373E-2</v>
      </c>
      <c r="P1066">
        <v>2.9335565535742972E-2</v>
      </c>
      <c r="Q1066">
        <v>5.5857034308931424E-3</v>
      </c>
      <c r="R1066">
        <v>1.7035544199759962E-3</v>
      </c>
      <c r="S1066">
        <v>0.26676431795958733</v>
      </c>
      <c r="T1066">
        <v>1.4285499263487702</v>
      </c>
      <c r="U1066">
        <v>0.21533466112530136</v>
      </c>
      <c r="V1066">
        <v>0.24696937499928998</v>
      </c>
      <c r="W1066">
        <v>0.10199802957145646</v>
      </c>
      <c r="X1066">
        <v>1.6745059655283643E-2</v>
      </c>
      <c r="Y1066">
        <v>4.6365135546110455E-3</v>
      </c>
    </row>
    <row r="1067" spans="1:25" x14ac:dyDescent="0.2">
      <c r="A1067" s="1077"/>
      <c r="B1067" s="1444">
        <v>817</v>
      </c>
      <c r="C1067" s="1081">
        <v>1.0240496929626099</v>
      </c>
      <c r="D1067" s="1081">
        <v>1.007373635943478</v>
      </c>
      <c r="E1067" s="1081">
        <v>1.0186761194929959</v>
      </c>
      <c r="F1067" s="1081">
        <v>1.0147474224763082</v>
      </c>
      <c r="G1067" s="1081">
        <v>1.0134806229148894</v>
      </c>
      <c r="H1067" s="1081">
        <v>1.0019377738121225</v>
      </c>
      <c r="I1067" s="1081">
        <v>0.99635811586629874</v>
      </c>
      <c r="K1067">
        <v>2.4178027714177595</v>
      </c>
      <c r="L1067">
        <v>0</v>
      </c>
      <c r="M1067">
        <v>1.5427535743036068E-3</v>
      </c>
      <c r="N1067">
        <v>0.14855197070739651</v>
      </c>
      <c r="O1067">
        <v>2.047175829117975E-2</v>
      </c>
      <c r="P1067">
        <v>2.9008228588119436E-2</v>
      </c>
      <c r="Q1067">
        <v>5.4580353417203907E-3</v>
      </c>
      <c r="R1067">
        <v>1.5224289732576469E-3</v>
      </c>
      <c r="S1067">
        <v>0.25101217066153125</v>
      </c>
      <c r="T1067">
        <v>1.3922773825951191</v>
      </c>
      <c r="U1067">
        <v>0.20705764346403346</v>
      </c>
      <c r="V1067">
        <v>0.24629999607015884</v>
      </c>
      <c r="W1067">
        <v>9.6519146801245292E-2</v>
      </c>
      <c r="X1067">
        <v>1.7023213701670051E-2</v>
      </c>
      <c r="Y1067">
        <v>4.1435497966311611E-3</v>
      </c>
    </row>
    <row r="1068" spans="1:25" x14ac:dyDescent="0.2">
      <c r="A1068" s="1077"/>
      <c r="B1068" s="1444">
        <v>818</v>
      </c>
      <c r="C1068" s="1081">
        <v>0.97794357284323774</v>
      </c>
      <c r="D1068" s="1081">
        <v>1.0014832099382265</v>
      </c>
      <c r="E1068" s="1081">
        <v>1.0069805712496547</v>
      </c>
      <c r="F1068" s="1081">
        <v>0.9811111446159243</v>
      </c>
      <c r="G1068" s="1081">
        <v>1.0065120143180246</v>
      </c>
      <c r="H1068" s="1081">
        <v>1.0234282039145162</v>
      </c>
      <c r="I1068" s="1081">
        <v>0.9603559003121368</v>
      </c>
      <c r="K1068">
        <v>2.4036218248549845</v>
      </c>
      <c r="L1068">
        <v>0</v>
      </c>
      <c r="M1068">
        <v>1.6929244979993572E-3</v>
      </c>
      <c r="N1068">
        <v>0.15740188332401572</v>
      </c>
      <c r="O1068">
        <v>2.1456644826659602E-2</v>
      </c>
      <c r="P1068">
        <v>2.8345488395966002E-2</v>
      </c>
      <c r="Q1068">
        <v>5.654229569035535E-3</v>
      </c>
      <c r="R1068">
        <v>1.6710898383431453E-3</v>
      </c>
      <c r="S1068">
        <v>0.25579372609014073</v>
      </c>
      <c r="T1068">
        <v>1.345878145930212</v>
      </c>
      <c r="U1068">
        <v>0.21677862100318412</v>
      </c>
      <c r="V1068">
        <v>0.24802542238686726</v>
      </c>
      <c r="W1068">
        <v>0.10297539777668953</v>
      </c>
      <c r="X1068">
        <v>1.6785944546517842E-2</v>
      </c>
      <c r="Y1068">
        <v>4.5481556653528829E-3</v>
      </c>
    </row>
    <row r="1069" spans="1:25" x14ac:dyDescent="0.2">
      <c r="A1069" s="1077"/>
      <c r="B1069" s="1444">
        <v>819</v>
      </c>
      <c r="C1069" s="1081">
        <v>1.0298281925639741</v>
      </c>
      <c r="D1069" s="1081">
        <v>1.0026680743120535</v>
      </c>
      <c r="E1069" s="1081">
        <v>0.99908810908721568</v>
      </c>
      <c r="F1069" s="1081">
        <v>1.0073940277989286</v>
      </c>
      <c r="G1069" s="1081">
        <v>0.96181124573403387</v>
      </c>
      <c r="H1069" s="1081">
        <v>0.98778960605932431</v>
      </c>
      <c r="I1069" s="1081">
        <v>1.0283512272231019</v>
      </c>
      <c r="K1069">
        <v>2.3932608285039954</v>
      </c>
      <c r="L1069">
        <v>0</v>
      </c>
      <c r="M1069">
        <v>1.5768633072466083E-3</v>
      </c>
      <c r="N1069">
        <v>0.14308965324937734</v>
      </c>
      <c r="O1069">
        <v>2.0365234591686186E-2</v>
      </c>
      <c r="P1069">
        <v>2.8386755245595887E-2</v>
      </c>
      <c r="Q1069">
        <v>5.3242864395069934E-3</v>
      </c>
      <c r="R1069">
        <v>1.5557917897121973E-3</v>
      </c>
      <c r="S1069">
        <v>0.25686114665104859</v>
      </c>
      <c r="T1069">
        <v>1.3817606668403921</v>
      </c>
      <c r="U1069">
        <v>0.20583071005375694</v>
      </c>
      <c r="V1069">
        <v>0.23720552168074735</v>
      </c>
      <c r="W1069">
        <v>9.4051153267377216E-2</v>
      </c>
      <c r="X1069">
        <v>1.617241961706915E-2</v>
      </c>
      <c r="Y1069">
        <v>4.234352384970959E-3</v>
      </c>
    </row>
    <row r="1070" spans="1:25" x14ac:dyDescent="0.2">
      <c r="A1070" s="1077"/>
      <c r="B1070" s="1444">
        <v>820</v>
      </c>
      <c r="C1070" s="1081">
        <v>0.99395935557979842</v>
      </c>
      <c r="D1070" s="1081">
        <v>1.0022185328351725</v>
      </c>
      <c r="E1070" s="1081">
        <v>1.0188747478870981</v>
      </c>
      <c r="F1070" s="1081">
        <v>1.0072333839257996</v>
      </c>
      <c r="G1070" s="1081">
        <v>1.0441867691076134</v>
      </c>
      <c r="H1070" s="1081">
        <v>0.97010041706569261</v>
      </c>
      <c r="I1070" s="1081">
        <v>0.99851941177774539</v>
      </c>
      <c r="K1070">
        <v>2.4277158771640344</v>
      </c>
      <c r="L1070">
        <v>0</v>
      </c>
      <c r="M1070">
        <v>1.5400529397041286E-3</v>
      </c>
      <c r="N1070">
        <v>0.14831580970841815</v>
      </c>
      <c r="O1070">
        <v>2.1115456680829755E-2</v>
      </c>
      <c r="P1070">
        <v>2.9139130436881221E-2</v>
      </c>
      <c r="Q1070">
        <v>5.6307661720900572E-3</v>
      </c>
      <c r="R1070">
        <v>1.5190980597511122E-3</v>
      </c>
      <c r="S1070">
        <v>0.25711847544285815</v>
      </c>
      <c r="T1070">
        <v>1.381972139564043</v>
      </c>
      <c r="U1070">
        <v>0.21332662742464739</v>
      </c>
      <c r="V1070">
        <v>0.25338530963459266</v>
      </c>
      <c r="W1070">
        <v>9.6354496542891632E-2</v>
      </c>
      <c r="X1070">
        <v>1.7244136288632809E-2</v>
      </c>
      <c r="Y1070">
        <v>4.1344841481017157E-3</v>
      </c>
    </row>
    <row r="1071" spans="1:25" x14ac:dyDescent="0.2">
      <c r="A1071" s="1077"/>
      <c r="B1071" s="1444">
        <v>821</v>
      </c>
      <c r="C1071" s="1081">
        <v>1.0057807679421582</v>
      </c>
      <c r="D1071" s="1081">
        <v>0.99955431401099659</v>
      </c>
      <c r="E1071" s="1081">
        <v>1.0101575732081316</v>
      </c>
      <c r="F1071" s="1081">
        <v>0.98918350044754455</v>
      </c>
      <c r="G1071" s="1081">
        <v>1.0068724311307025</v>
      </c>
      <c r="H1071" s="1081">
        <v>1.0485915789074882</v>
      </c>
      <c r="I1071" s="1081">
        <v>1.0082742753346565</v>
      </c>
      <c r="K1071">
        <v>2.4140860300228573</v>
      </c>
      <c r="L1071">
        <v>0</v>
      </c>
      <c r="M1071">
        <v>1.6761598197694539E-3</v>
      </c>
      <c r="N1071">
        <v>0.15739459928206884</v>
      </c>
      <c r="O1071">
        <v>2.0873734925814676E-2</v>
      </c>
      <c r="P1071">
        <v>2.8566050535922823E-2</v>
      </c>
      <c r="Q1071">
        <v>5.5181326398662653E-3</v>
      </c>
      <c r="R1071">
        <v>1.6550601684490933E-3</v>
      </c>
      <c r="S1071">
        <v>0.26354817964396787</v>
      </c>
      <c r="T1071">
        <v>1.3570198063688135</v>
      </c>
      <c r="U1071">
        <v>0.21078960748998835</v>
      </c>
      <c r="V1071">
        <v>0.24630952230815048</v>
      </c>
      <c r="W1071">
        <v>0.102777690294653</v>
      </c>
      <c r="X1071">
        <v>1.6805277996849357E-2</v>
      </c>
      <c r="Y1071">
        <v>4.5045281880805327E-3</v>
      </c>
    </row>
    <row r="1072" spans="1:25" x14ac:dyDescent="0.2">
      <c r="A1072" s="1077"/>
      <c r="B1072" s="1444">
        <v>822</v>
      </c>
      <c r="C1072" s="1081">
        <v>1.0052049225731559</v>
      </c>
      <c r="D1072" s="1081">
        <v>0.98617395329943114</v>
      </c>
      <c r="E1072" s="1081">
        <v>0.99873253769212833</v>
      </c>
      <c r="F1072" s="1081">
        <v>0.99897731314416738</v>
      </c>
      <c r="G1072" s="1081">
        <v>1.0374987516545333</v>
      </c>
      <c r="H1072" s="1081">
        <v>1.0015945213097142</v>
      </c>
      <c r="I1072" s="1081">
        <v>1.0164578069890202</v>
      </c>
      <c r="K1072">
        <v>2.4192086108054323</v>
      </c>
      <c r="L1072">
        <v>0</v>
      </c>
      <c r="M1072">
        <v>1.6452684768101888E-3</v>
      </c>
      <c r="N1072">
        <v>0.14916448852446548</v>
      </c>
      <c r="O1072">
        <v>2.0940136549074936E-2</v>
      </c>
      <c r="P1072">
        <v>2.8577042117448121E-2</v>
      </c>
      <c r="Q1072">
        <v>5.4726312737466472E-3</v>
      </c>
      <c r="R1072">
        <v>1.6235858919468442E-3</v>
      </c>
      <c r="S1072">
        <v>0.26347556784447501</v>
      </c>
      <c r="T1072">
        <v>1.3702084612785255</v>
      </c>
      <c r="U1072">
        <v>0.21087148314771445</v>
      </c>
      <c r="V1072">
        <v>0.25161652596672934</v>
      </c>
      <c r="W1072">
        <v>9.8064811241005204E-2</v>
      </c>
      <c r="X1072">
        <v>1.642027986417164E-2</v>
      </c>
      <c r="Y1072">
        <v>4.4188655829338732E-3</v>
      </c>
    </row>
    <row r="1073" spans="1:25" x14ac:dyDescent="0.2">
      <c r="A1073" s="1077"/>
      <c r="B1073" s="1444">
        <v>823</v>
      </c>
      <c r="C1073" s="1081">
        <v>0.99973526370924526</v>
      </c>
      <c r="D1073" s="1081">
        <v>0.99890281621932542</v>
      </c>
      <c r="E1073" s="1081">
        <v>0.98687808030987167</v>
      </c>
      <c r="F1073" s="1081">
        <v>0.98622344444195242</v>
      </c>
      <c r="G1073" s="1081">
        <v>1.0457935275841899</v>
      </c>
      <c r="H1073" s="1081">
        <v>1.0063610359331032</v>
      </c>
      <c r="I1073" s="1081">
        <v>0.99368406672149856</v>
      </c>
      <c r="K1073">
        <v>2.3973601495917598</v>
      </c>
      <c r="L1073">
        <v>0</v>
      </c>
      <c r="M1073">
        <v>1.6986743234466187E-3</v>
      </c>
      <c r="N1073">
        <v>0.14859487585170769</v>
      </c>
      <c r="O1073">
        <v>2.0987518843275252E-2</v>
      </c>
      <c r="P1073">
        <v>2.8044596733865529E-2</v>
      </c>
      <c r="Q1073">
        <v>5.4197855913608586E-3</v>
      </c>
      <c r="R1073">
        <v>1.676393946859631E-3</v>
      </c>
      <c r="S1073">
        <v>0.25762743410411632</v>
      </c>
      <c r="T1073">
        <v>1.3524626231787915</v>
      </c>
      <c r="U1073">
        <v>0.2119846978182077</v>
      </c>
      <c r="V1073">
        <v>0.25341807773103536</v>
      </c>
      <c r="W1073">
        <v>9.8385008223118464E-2</v>
      </c>
      <c r="X1073">
        <v>1.5895220192629698E-2</v>
      </c>
      <c r="Y1073">
        <v>4.5625917002358549E-3</v>
      </c>
    </row>
    <row r="1074" spans="1:25" x14ac:dyDescent="0.2">
      <c r="A1074" s="1077"/>
      <c r="B1074" s="1444">
        <v>824</v>
      </c>
      <c r="C1074" s="1081">
        <v>1.0061080750080336</v>
      </c>
      <c r="D1074" s="1081">
        <v>0.98859248444889458</v>
      </c>
      <c r="E1074" s="1081">
        <v>1.0083550591456323</v>
      </c>
      <c r="F1074" s="1081">
        <v>0.98503230473597525</v>
      </c>
      <c r="G1074" s="1081">
        <v>0.99832065568000306</v>
      </c>
      <c r="H1074" s="1081">
        <v>1.0035465853906465</v>
      </c>
      <c r="I1074" s="1081">
        <v>1.0234680326733603</v>
      </c>
      <c r="K1074">
        <v>2.3967342873274409</v>
      </c>
      <c r="L1074">
        <v>0</v>
      </c>
      <c r="M1074">
        <v>1.6135596384848545E-3</v>
      </c>
      <c r="N1074">
        <v>0.15060776659563743</v>
      </c>
      <c r="O1074">
        <v>2.0916435305688617E-2</v>
      </c>
      <c r="P1074">
        <v>2.8447681933885468E-2</v>
      </c>
      <c r="Q1074">
        <v>5.5194624423087956E-3</v>
      </c>
      <c r="R1074">
        <v>1.592336299893135E-3</v>
      </c>
      <c r="S1074">
        <v>0.26497863464696414</v>
      </c>
      <c r="T1074">
        <v>1.351286480604589</v>
      </c>
      <c r="U1074">
        <v>0.21071490063206397</v>
      </c>
      <c r="V1074">
        <v>0.24483574934293559</v>
      </c>
      <c r="W1074">
        <v>9.8450579700029975E-2</v>
      </c>
      <c r="X1074">
        <v>1.6664004967140641E-2</v>
      </c>
      <c r="Y1074">
        <v>4.3338144947889269E-3</v>
      </c>
    </row>
    <row r="1075" spans="1:25" x14ac:dyDescent="0.2">
      <c r="A1075" s="1077"/>
      <c r="B1075" s="1444">
        <v>825</v>
      </c>
      <c r="C1075" s="1081">
        <v>0.98050882241368997</v>
      </c>
      <c r="D1075" s="1081">
        <v>1.0121615637117631</v>
      </c>
      <c r="E1075" s="1081">
        <v>0.99786481391764692</v>
      </c>
      <c r="F1075" s="1081">
        <v>0.98826212801534119</v>
      </c>
      <c r="G1075" s="1081">
        <v>1.0190785781504552</v>
      </c>
      <c r="H1075" s="1081">
        <v>0.99621558373278762</v>
      </c>
      <c r="I1075" s="1081">
        <v>1.0077915460695326</v>
      </c>
      <c r="K1075">
        <v>2.412315693042133</v>
      </c>
      <c r="L1075">
        <v>0</v>
      </c>
      <c r="M1075">
        <v>1.6710812658732148E-3</v>
      </c>
      <c r="N1075">
        <v>0.15109713857032828</v>
      </c>
      <c r="O1075">
        <v>2.1344476416757328E-2</v>
      </c>
      <c r="P1075">
        <v>2.8414207664861305E-2</v>
      </c>
      <c r="Q1075">
        <v>5.5734361244901649E-3</v>
      </c>
      <c r="R1075">
        <v>1.6489395915893633E-3</v>
      </c>
      <c r="S1075">
        <v>0.26386673136880084</v>
      </c>
      <c r="T1075">
        <v>1.3554928527376204</v>
      </c>
      <c r="U1075">
        <v>0.21617968421546407</v>
      </c>
      <c r="V1075">
        <v>0.25003730203132374</v>
      </c>
      <c r="W1075">
        <v>9.9386700306222958E-2</v>
      </c>
      <c r="X1075">
        <v>1.6457435285030957E-2</v>
      </c>
      <c r="Y1075">
        <v>4.4878699955159676E-3</v>
      </c>
    </row>
    <row r="1076" spans="1:25" x14ac:dyDescent="0.2">
      <c r="A1076" s="1077"/>
      <c r="B1076" s="1444">
        <v>826</v>
      </c>
      <c r="C1076" s="1081">
        <v>1.0348157674138652</v>
      </c>
      <c r="D1076" s="1081">
        <v>1.0064119009693766</v>
      </c>
      <c r="E1076" s="1081">
        <v>1.0378402024739011</v>
      </c>
      <c r="F1076" s="1081">
        <v>0.96515444038412024</v>
      </c>
      <c r="G1076" s="1081">
        <v>1.0092235444244755</v>
      </c>
      <c r="H1076" s="1081">
        <v>1.0180305152838962</v>
      </c>
      <c r="I1076" s="1081">
        <v>1.0227480562235569</v>
      </c>
      <c r="K1076">
        <v>2.3566089028996697</v>
      </c>
      <c r="L1076">
        <v>0</v>
      </c>
      <c r="M1076">
        <v>1.4908275418928699E-3</v>
      </c>
      <c r="N1076">
        <v>0.15212267970578347</v>
      </c>
      <c r="O1076">
        <v>2.0275356499917067E-2</v>
      </c>
      <c r="P1076">
        <v>2.8495307146763554E-2</v>
      </c>
      <c r="Q1076">
        <v>5.509172735730478E-3</v>
      </c>
      <c r="R1076">
        <v>1.4714974984659328E-3</v>
      </c>
      <c r="S1076">
        <v>0.25660952350948468</v>
      </c>
      <c r="T1076">
        <v>1.3246359076397032</v>
      </c>
      <c r="U1076">
        <v>0.20496701877634038</v>
      </c>
      <c r="V1076">
        <v>0.24487116946392753</v>
      </c>
      <c r="W1076">
        <v>9.7744232844952539E-2</v>
      </c>
      <c r="X1076">
        <v>1.73929335086879E-2</v>
      </c>
      <c r="Y1076">
        <v>4.0049311118042679E-3</v>
      </c>
    </row>
    <row r="1077" spans="1:25" x14ac:dyDescent="0.2">
      <c r="A1077" s="1077"/>
      <c r="B1077" s="1444">
        <v>827</v>
      </c>
      <c r="C1077" s="1081">
        <v>0.99866299748349185</v>
      </c>
      <c r="D1077" s="1081">
        <v>0.97131125109766903</v>
      </c>
      <c r="E1077" s="1081">
        <v>1.0088241821062434</v>
      </c>
      <c r="F1077" s="1081">
        <v>0.9922632780038243</v>
      </c>
      <c r="G1077" s="1081">
        <v>1.0128766156344147</v>
      </c>
      <c r="H1077" s="1081">
        <v>0.98559211321001117</v>
      </c>
      <c r="I1077" s="1081">
        <v>1.0292873458703014</v>
      </c>
      <c r="K1077">
        <v>2.4145332558201402</v>
      </c>
      <c r="L1077">
        <v>0</v>
      </c>
      <c r="M1077">
        <v>1.6011505184396176E-3</v>
      </c>
      <c r="N1077">
        <v>0.1496250100650631</v>
      </c>
      <c r="O1077">
        <v>2.1154596811780779E-2</v>
      </c>
      <c r="P1077">
        <v>2.8715136262423734E-2</v>
      </c>
      <c r="Q1077">
        <v>5.5849293791988986E-3</v>
      </c>
      <c r="R1077">
        <v>1.5797067475171339E-3</v>
      </c>
      <c r="S1077">
        <v>0.26928370457993561</v>
      </c>
      <c r="T1077">
        <v>1.3612161554896087</v>
      </c>
      <c r="U1077">
        <v>0.21228739754175335</v>
      </c>
      <c r="V1077">
        <v>0.24778159886241796</v>
      </c>
      <c r="W1077">
        <v>9.7781079893723505E-2</v>
      </c>
      <c r="X1077">
        <v>1.6825649688602881E-2</v>
      </c>
      <c r="Y1077">
        <v>4.2994410165522745E-3</v>
      </c>
    </row>
    <row r="1078" spans="1:25" x14ac:dyDescent="0.2">
      <c r="A1078" s="1077"/>
      <c r="B1078" s="1444">
        <v>828</v>
      </c>
      <c r="C1078" s="1081">
        <v>0.99542804240498994</v>
      </c>
      <c r="D1078" s="1081">
        <v>1.0157355457906854</v>
      </c>
      <c r="E1078" s="1081">
        <v>1.0283593567013423</v>
      </c>
      <c r="F1078" s="1081">
        <v>0.99881559421133603</v>
      </c>
      <c r="G1078" s="1081">
        <v>1.0070546016796507</v>
      </c>
      <c r="H1078" s="1081">
        <v>0.99613608377902974</v>
      </c>
      <c r="I1078" s="1081">
        <v>1.0222449721000826</v>
      </c>
      <c r="K1078">
        <v>2.4234699332201992</v>
      </c>
      <c r="L1078">
        <v>0</v>
      </c>
      <c r="M1078">
        <v>1.5436229730934159E-3</v>
      </c>
      <c r="N1078">
        <v>0.15302865467706117</v>
      </c>
      <c r="O1078">
        <v>2.102857594184903E-2</v>
      </c>
      <c r="P1078">
        <v>2.9177374966902689E-2</v>
      </c>
      <c r="Q1078">
        <v>5.6606165303618172E-3</v>
      </c>
      <c r="R1078">
        <v>1.5231684772493042E-3</v>
      </c>
      <c r="S1078">
        <v>0.26342329046684265</v>
      </c>
      <c r="T1078">
        <v>1.3706283719231338</v>
      </c>
      <c r="U1078">
        <v>0.21304456478609515</v>
      </c>
      <c r="V1078">
        <v>0.24692147242294893</v>
      </c>
      <c r="W1078">
        <v>9.8867655212730582E-2</v>
      </c>
      <c r="X1078">
        <v>1.7564248305399311E-2</v>
      </c>
      <c r="Y1078">
        <v>4.1455624827190264E-3</v>
      </c>
    </row>
    <row r="1079" spans="1:25" x14ac:dyDescent="0.2">
      <c r="A1079" s="1077"/>
      <c r="B1079" s="1444">
        <v>829</v>
      </c>
      <c r="C1079" s="1081">
        <v>0.96653666302423924</v>
      </c>
      <c r="D1079" s="1081">
        <v>0.97718173067231384</v>
      </c>
      <c r="E1079" s="1081">
        <v>1.006146182077883</v>
      </c>
      <c r="F1079" s="1081">
        <v>1.0228707200324025</v>
      </c>
      <c r="G1079" s="1081">
        <v>1.0243745264249244</v>
      </c>
      <c r="H1079" s="1081">
        <v>0.98272921798750168</v>
      </c>
      <c r="I1079" s="1081">
        <v>0.99918932120109227</v>
      </c>
      <c r="K1079">
        <v>2.4759356458903157</v>
      </c>
      <c r="L1079">
        <v>0</v>
      </c>
      <c r="M1079">
        <v>1.6565669966359237E-3</v>
      </c>
      <c r="N1079">
        <v>0.15355076938627796</v>
      </c>
      <c r="O1079">
        <v>2.1826939298512957E-2</v>
      </c>
      <c r="P1079">
        <v>2.9381275237058267E-2</v>
      </c>
      <c r="Q1079">
        <v>5.7470045095154004E-3</v>
      </c>
      <c r="R1079">
        <v>1.6343164156825891E-3</v>
      </c>
      <c r="S1079">
        <v>0.26900094521552226</v>
      </c>
      <c r="T1079">
        <v>1.4031450172924413</v>
      </c>
      <c r="U1079">
        <v>0.21933405343432999</v>
      </c>
      <c r="V1079">
        <v>0.2518313189005299</v>
      </c>
      <c r="W1079">
        <v>0.10050549608864841</v>
      </c>
      <c r="X1079">
        <v>1.7187006577204074E-2</v>
      </c>
      <c r="Y1079">
        <v>4.4480705312263703E-3</v>
      </c>
    </row>
    <row r="1080" spans="1:25" x14ac:dyDescent="0.2">
      <c r="A1080" s="1077"/>
      <c r="B1080" s="1444">
        <v>830</v>
      </c>
      <c r="C1080" s="1081">
        <v>0.95183449367132134</v>
      </c>
      <c r="D1080" s="1081">
        <v>1.0220055838375939</v>
      </c>
      <c r="E1080" s="1081">
        <v>0.98127463306099805</v>
      </c>
      <c r="F1080" s="1081">
        <v>1.0110548117990807</v>
      </c>
      <c r="G1080" s="1081">
        <v>0.99950187810073177</v>
      </c>
      <c r="H1080" s="1081">
        <v>1.00466058366836</v>
      </c>
      <c r="I1080" s="1081">
        <v>0.98800093640268105</v>
      </c>
      <c r="K1080">
        <v>2.457229218434934</v>
      </c>
      <c r="L1080">
        <v>0</v>
      </c>
      <c r="M1080">
        <v>1.7928747658206372E-3</v>
      </c>
      <c r="N1080">
        <v>0.15419596869647653</v>
      </c>
      <c r="O1080">
        <v>2.1929223790160511E-2</v>
      </c>
      <c r="P1080">
        <v>2.857195485745891E-2</v>
      </c>
      <c r="Q1080">
        <v>5.6308818485844769E-3</v>
      </c>
      <c r="R1080">
        <v>1.769319022712511E-3</v>
      </c>
      <c r="S1080">
        <v>0.26579689103948362</v>
      </c>
      <c r="T1080">
        <v>1.3863931150799544</v>
      </c>
      <c r="U1080">
        <v>0.22263268884002965</v>
      </c>
      <c r="V1080">
        <v>0.24867010616597546</v>
      </c>
      <c r="W1080">
        <v>0.10243840499656023</v>
      </c>
      <c r="X1080">
        <v>1.617803573939023E-2</v>
      </c>
      <c r="Y1080">
        <v>4.8155031239643705E-3</v>
      </c>
    </row>
    <row r="1081" spans="1:25" x14ac:dyDescent="0.2">
      <c r="A1081" s="1077"/>
      <c r="B1081" s="1444">
        <v>831</v>
      </c>
      <c r="C1081" s="1081">
        <v>1.0390060635808123</v>
      </c>
      <c r="D1081" s="1081">
        <v>1.0019816700832158</v>
      </c>
      <c r="E1081" s="1081">
        <v>0.99044792755821265</v>
      </c>
      <c r="F1081" s="1081">
        <v>0.98267344588257777</v>
      </c>
      <c r="G1081" s="1081">
        <v>1.0071409720637758</v>
      </c>
      <c r="H1081" s="1081">
        <v>1.0212343132458537</v>
      </c>
      <c r="I1081" s="1081">
        <v>1.0192764131913172</v>
      </c>
      <c r="K1081">
        <v>2.366195600733624</v>
      </c>
      <c r="L1081">
        <v>0</v>
      </c>
      <c r="M1081">
        <v>1.6452972261613438E-3</v>
      </c>
      <c r="N1081">
        <v>0.14551575707759354</v>
      </c>
      <c r="O1081">
        <v>2.0182871251832702E-2</v>
      </c>
      <c r="P1081">
        <v>2.7791640204272959E-2</v>
      </c>
      <c r="Q1081">
        <v>5.2308489107395365E-3</v>
      </c>
      <c r="R1081">
        <v>1.6240312567261531E-3</v>
      </c>
      <c r="S1081">
        <v>0.25515221270080124</v>
      </c>
      <c r="T1081">
        <v>1.3476700105679886</v>
      </c>
      <c r="U1081">
        <v>0.2039841400208442</v>
      </c>
      <c r="V1081">
        <v>0.24444330484703952</v>
      </c>
      <c r="W1081">
        <v>9.6140277130695437E-2</v>
      </c>
      <c r="X1081">
        <v>1.5685726272201113E-2</v>
      </c>
      <c r="Y1081">
        <v>4.4200777190486901E-3</v>
      </c>
    </row>
    <row r="1082" spans="1:25" x14ac:dyDescent="0.2">
      <c r="A1082" s="1077"/>
      <c r="B1082" s="1444">
        <v>832</v>
      </c>
      <c r="C1082" s="1081">
        <v>1.0148646183176075</v>
      </c>
      <c r="D1082" s="1081">
        <v>1.0162162496997627</v>
      </c>
      <c r="E1082" s="1081">
        <v>1.0017386407182745</v>
      </c>
      <c r="F1082" s="1081">
        <v>0.98883591359892442</v>
      </c>
      <c r="G1082" s="1081">
        <v>0.96755190526700285</v>
      </c>
      <c r="H1082" s="1081">
        <v>0.97876207318222674</v>
      </c>
      <c r="I1082" s="1081">
        <v>1.0048689029645124</v>
      </c>
      <c r="K1082">
        <v>2.3692397696114318</v>
      </c>
      <c r="L1082">
        <v>0</v>
      </c>
      <c r="M1082">
        <v>1.572146863729637E-3</v>
      </c>
      <c r="N1082">
        <v>0.14379066456247322</v>
      </c>
      <c r="O1082">
        <v>2.0606304826723206E-2</v>
      </c>
      <c r="P1082">
        <v>2.8099942554000133E-2</v>
      </c>
      <c r="Q1082">
        <v>5.4016808786352052E-3</v>
      </c>
      <c r="R1082">
        <v>1.5509446015821765E-3</v>
      </c>
      <c r="S1082">
        <v>0.25225400544534632</v>
      </c>
      <c r="T1082">
        <v>1.3563626982052306</v>
      </c>
      <c r="U1082">
        <v>0.20887448927230959</v>
      </c>
      <c r="V1082">
        <v>0.23907006494300237</v>
      </c>
      <c r="W1082">
        <v>9.4363197934944298E-2</v>
      </c>
      <c r="X1082">
        <v>1.6216763314156717E-2</v>
      </c>
      <c r="Y1082">
        <v>4.2211599367561791E-3</v>
      </c>
    </row>
    <row r="1083" spans="1:25" x14ac:dyDescent="0.2">
      <c r="A1083" s="1077"/>
      <c r="B1083" s="1444">
        <v>833</v>
      </c>
      <c r="C1083" s="1081">
        <v>0.99580846976873927</v>
      </c>
      <c r="D1083" s="1081">
        <v>0.98502878641989422</v>
      </c>
      <c r="E1083" s="1081">
        <v>1.0126314805984193</v>
      </c>
      <c r="F1083" s="1081">
        <v>0.98942081796904691</v>
      </c>
      <c r="G1083" s="1081">
        <v>0.98300223476557536</v>
      </c>
      <c r="H1083" s="1081">
        <v>1.0389784989699136</v>
      </c>
      <c r="I1083" s="1081">
        <v>1.0255589713267452</v>
      </c>
      <c r="K1083">
        <v>2.4236688317916624</v>
      </c>
      <c r="L1083">
        <v>0</v>
      </c>
      <c r="M1083">
        <v>1.6742072561884099E-3</v>
      </c>
      <c r="N1083">
        <v>0.1583710085930819</v>
      </c>
      <c r="O1083">
        <v>2.1152433867270563E-2</v>
      </c>
      <c r="P1083">
        <v>2.8720106501139323E-2</v>
      </c>
      <c r="Q1083">
        <v>5.6056439229489313E-3</v>
      </c>
      <c r="R1083">
        <v>1.6529371882006915E-3</v>
      </c>
      <c r="S1083">
        <v>0.27190523369050801</v>
      </c>
      <c r="T1083">
        <v>1.3573984326320951</v>
      </c>
      <c r="U1083">
        <v>0.21290901915779256</v>
      </c>
      <c r="V1083">
        <v>0.2428471287987137</v>
      </c>
      <c r="W1083">
        <v>0.10326469220143333</v>
      </c>
      <c r="X1083">
        <v>1.701765235898247E-2</v>
      </c>
      <c r="Y1083">
        <v>4.4987501356846347E-3</v>
      </c>
    </row>
    <row r="1084" spans="1:25" x14ac:dyDescent="0.2">
      <c r="A1084" s="1077"/>
      <c r="B1084" s="1444">
        <v>834</v>
      </c>
      <c r="C1084" s="1081">
        <v>0.96739363701289993</v>
      </c>
      <c r="D1084" s="1081">
        <v>1.0049718463650827</v>
      </c>
      <c r="E1084" s="1081">
        <v>1.021251337602056</v>
      </c>
      <c r="F1084" s="1081">
        <v>0.97456584118321454</v>
      </c>
      <c r="G1084" s="1081">
        <v>0.97396071135259243</v>
      </c>
      <c r="H1084" s="1081">
        <v>0.99089129248275953</v>
      </c>
      <c r="I1084" s="1081">
        <v>1.0010150523813923</v>
      </c>
      <c r="K1084">
        <v>2.4007421026058378</v>
      </c>
      <c r="L1084">
        <v>0</v>
      </c>
      <c r="M1084">
        <v>1.6073138696055076E-3</v>
      </c>
      <c r="N1084">
        <v>0.15595234084587775</v>
      </c>
      <c r="O1084">
        <v>2.168385410664244E-2</v>
      </c>
      <c r="P1084">
        <v>2.8635918286127399E-2</v>
      </c>
      <c r="Q1084">
        <v>5.7960156680190488E-3</v>
      </c>
      <c r="R1084">
        <v>1.5859026750070682E-3</v>
      </c>
      <c r="S1084">
        <v>0.26632340432897544</v>
      </c>
      <c r="T1084">
        <v>1.3372010081063939</v>
      </c>
      <c r="U1084">
        <v>0.21919324010074823</v>
      </c>
      <c r="V1084">
        <v>0.2431154077671657</v>
      </c>
      <c r="W1084">
        <v>0.10117485965724073</v>
      </c>
      <c r="X1084">
        <v>1.7371160644551922E-2</v>
      </c>
      <c r="Y1084">
        <v>4.3163042886929272E-3</v>
      </c>
    </row>
    <row r="1085" spans="1:25" x14ac:dyDescent="0.2">
      <c r="A1085" s="1077"/>
      <c r="B1085" s="1444">
        <v>835</v>
      </c>
      <c r="C1085" s="1081">
        <v>0.98503128485013325</v>
      </c>
      <c r="D1085" s="1081">
        <v>0.99014269237206753</v>
      </c>
      <c r="E1085" s="1081">
        <v>1.0002411621517979</v>
      </c>
      <c r="F1085" s="1081">
        <v>1.0183338286027876</v>
      </c>
      <c r="G1085" s="1081">
        <v>1.005287383050923</v>
      </c>
      <c r="H1085" s="1081">
        <v>0.96357499398700386</v>
      </c>
      <c r="I1085" s="1081">
        <v>0.9983470602656308</v>
      </c>
      <c r="K1085">
        <v>2.4391209554689262</v>
      </c>
      <c r="L1085">
        <v>0</v>
      </c>
      <c r="M1085">
        <v>1.6087636776416529E-3</v>
      </c>
      <c r="N1085">
        <v>0.14644398897628497</v>
      </c>
      <c r="O1085">
        <v>2.1351140302240567E-2</v>
      </c>
      <c r="P1085">
        <v>2.8929598293270454E-2</v>
      </c>
      <c r="Q1085">
        <v>5.5885162835243576E-3</v>
      </c>
      <c r="R1085">
        <v>1.586725638518624E-3</v>
      </c>
      <c r="S1085">
        <v>0.26027641385235578</v>
      </c>
      <c r="T1085">
        <v>1.3967912982100721</v>
      </c>
      <c r="U1085">
        <v>0.21519540807173385</v>
      </c>
      <c r="V1085">
        <v>0.24738133020253231</v>
      </c>
      <c r="W1085">
        <v>9.6189958698711567E-2</v>
      </c>
      <c r="X1085">
        <v>1.6676796493239207E-2</v>
      </c>
      <c r="Y1085">
        <v>4.3185441240815338E-3</v>
      </c>
    </row>
    <row r="1086" spans="1:25" x14ac:dyDescent="0.2">
      <c r="A1086" s="1077"/>
      <c r="B1086" s="1444">
        <v>836</v>
      </c>
      <c r="C1086" s="1081">
        <v>1.001610007348007</v>
      </c>
      <c r="D1086" s="1081">
        <v>0.98500143712846266</v>
      </c>
      <c r="E1086" s="1081">
        <v>0.97051566213149743</v>
      </c>
      <c r="F1086" s="1081">
        <v>0.97375195709761098</v>
      </c>
      <c r="G1086" s="1081">
        <v>1.0017428146614715</v>
      </c>
      <c r="H1086" s="1081">
        <v>0.96693116091088305</v>
      </c>
      <c r="I1086" s="1081">
        <v>0.97444295948939075</v>
      </c>
      <c r="K1086">
        <v>2.3508619672783957</v>
      </c>
      <c r="L1086">
        <v>0</v>
      </c>
      <c r="M1086">
        <v>1.6903165202219513E-3</v>
      </c>
      <c r="N1086">
        <v>0.14064476683693444</v>
      </c>
      <c r="O1086">
        <v>2.1002081741711011E-2</v>
      </c>
      <c r="P1086">
        <v>2.7263509236352276E-2</v>
      </c>
      <c r="Q1086">
        <v>5.3340298464878075E-3</v>
      </c>
      <c r="R1086">
        <v>1.6672416802315554E-3</v>
      </c>
      <c r="S1086">
        <v>0.25054173188598289</v>
      </c>
      <c r="T1086">
        <v>1.3350167003081781</v>
      </c>
      <c r="U1086">
        <v>0.21153227074991482</v>
      </c>
      <c r="V1086">
        <v>0.24583601041261408</v>
      </c>
      <c r="W1086">
        <v>9.4046789965515645E-2</v>
      </c>
      <c r="X1086">
        <v>1.512946888717781E-2</v>
      </c>
      <c r="Y1086">
        <v>4.5376822475181157E-3</v>
      </c>
    </row>
    <row r="1087" spans="1:25" x14ac:dyDescent="0.2">
      <c r="A1087" s="1077"/>
      <c r="B1087" s="1444">
        <v>837</v>
      </c>
      <c r="C1087" s="1081">
        <v>0.99629194583752789</v>
      </c>
      <c r="D1087" s="1081">
        <v>1.0150426921318838</v>
      </c>
      <c r="E1087" s="1081">
        <v>0.97263142225804045</v>
      </c>
      <c r="F1087" s="1081">
        <v>0.96286968850698185</v>
      </c>
      <c r="G1087" s="1081">
        <v>1.0131600749786227</v>
      </c>
      <c r="H1087" s="1081">
        <v>0.98894228037099352</v>
      </c>
      <c r="I1087" s="1081">
        <v>0.95981006433063598</v>
      </c>
      <c r="K1087">
        <v>2.340404312100298</v>
      </c>
      <c r="L1087">
        <v>0</v>
      </c>
      <c r="M1087">
        <v>1.7190463288519902E-3</v>
      </c>
      <c r="N1087">
        <v>0.1439987674019117</v>
      </c>
      <c r="O1087">
        <v>2.0976493580504411E-2</v>
      </c>
      <c r="P1087">
        <v>2.7096124678911582E-2</v>
      </c>
      <c r="Q1087">
        <v>5.3390540203051701E-3</v>
      </c>
      <c r="R1087">
        <v>1.6961016039583848E-3</v>
      </c>
      <c r="S1087">
        <v>0.24618171026815319</v>
      </c>
      <c r="T1087">
        <v>1.3201408795062022</v>
      </c>
      <c r="U1087">
        <v>0.21266862480933418</v>
      </c>
      <c r="V1087">
        <v>0.24811180043444511</v>
      </c>
      <c r="W1087">
        <v>9.6165793974867117E-2</v>
      </c>
      <c r="X1087">
        <v>1.5131778704322731E-2</v>
      </c>
      <c r="Y1087">
        <v>4.6162294462312467E-3</v>
      </c>
    </row>
    <row r="1088" spans="1:25" x14ac:dyDescent="0.2">
      <c r="A1088" s="1077"/>
      <c r="B1088" s="1444">
        <v>838</v>
      </c>
      <c r="C1088" s="1081">
        <v>1.016089768686083</v>
      </c>
      <c r="D1088" s="1081">
        <v>0.98410482551945844</v>
      </c>
      <c r="E1088" s="1081">
        <v>1.0312084601816263</v>
      </c>
      <c r="F1088" s="1081">
        <v>0.97702218828791199</v>
      </c>
      <c r="G1088" s="1081">
        <v>0.9924228202332559</v>
      </c>
      <c r="H1088" s="1081">
        <v>1.0312538421900781</v>
      </c>
      <c r="I1088" s="1081">
        <v>0.99797585091622543</v>
      </c>
      <c r="K1088">
        <v>2.3860906659813081</v>
      </c>
      <c r="L1088">
        <v>0</v>
      </c>
      <c r="M1088">
        <v>1.567149019565089E-3</v>
      </c>
      <c r="N1088">
        <v>0.15677272983478649</v>
      </c>
      <c r="O1088">
        <v>2.0746725946210753E-2</v>
      </c>
      <c r="P1088">
        <v>2.8645259738875425E-2</v>
      </c>
      <c r="Q1088">
        <v>5.6005018966563255E-3</v>
      </c>
      <c r="R1088">
        <v>1.5470899430914413E-3</v>
      </c>
      <c r="S1088">
        <v>0.25893693317238375</v>
      </c>
      <c r="T1088">
        <v>1.3407828445268994</v>
      </c>
      <c r="U1088">
        <v>0.20872202756651601</v>
      </c>
      <c r="V1088">
        <v>0.24313975441365235</v>
      </c>
      <c r="W1088">
        <v>0.1011191991203291</v>
      </c>
      <c r="X1088">
        <v>1.7434080014438639E-2</v>
      </c>
      <c r="Y1088">
        <v>4.2106688270322282E-3</v>
      </c>
    </row>
    <row r="1089" spans="1:25" x14ac:dyDescent="0.2">
      <c r="A1089" s="1077"/>
      <c r="B1089" s="1444">
        <v>839</v>
      </c>
      <c r="C1089" s="1081">
        <v>0.9758335379015366</v>
      </c>
      <c r="D1089" s="1081">
        <v>0.96530475646528113</v>
      </c>
      <c r="E1089" s="1081">
        <v>0.99557219397332442</v>
      </c>
      <c r="F1089" s="1081">
        <v>0.98981089044377168</v>
      </c>
      <c r="G1089" s="1081">
        <v>0.9975108804713515</v>
      </c>
      <c r="H1089" s="1081">
        <v>1.0254657721084395</v>
      </c>
      <c r="I1089" s="1081">
        <v>0.95328889725090116</v>
      </c>
      <c r="K1089">
        <v>2.4189561107980255</v>
      </c>
      <c r="L1089">
        <v>0</v>
      </c>
      <c r="M1089">
        <v>1.754826710089362E-3</v>
      </c>
      <c r="N1089">
        <v>0.15763416429973598</v>
      </c>
      <c r="O1089">
        <v>2.1669983613233513E-2</v>
      </c>
      <c r="P1089">
        <v>2.8299409330680082E-2</v>
      </c>
      <c r="Q1089">
        <v>5.6453835817734796E-3</v>
      </c>
      <c r="R1089">
        <v>1.7322386317415387E-3</v>
      </c>
      <c r="S1089">
        <v>0.25926992354461931</v>
      </c>
      <c r="T1089">
        <v>1.3575680759353541</v>
      </c>
      <c r="U1089">
        <v>0.21720738907066642</v>
      </c>
      <c r="V1089">
        <v>0.24666696495899501</v>
      </c>
      <c r="W1089">
        <v>0.10382828714896077</v>
      </c>
      <c r="X1089">
        <v>1.6474534869064316E-2</v>
      </c>
      <c r="Y1089">
        <v>4.7145825232889826E-3</v>
      </c>
    </row>
    <row r="1090" spans="1:25" x14ac:dyDescent="0.2">
      <c r="A1090" s="1077"/>
      <c r="B1090" s="1444">
        <v>840</v>
      </c>
      <c r="C1090" s="1081">
        <v>1.0267961427996428</v>
      </c>
      <c r="D1090" s="1081">
        <v>0.98673974895502525</v>
      </c>
      <c r="E1090" s="1081">
        <v>1.0259430938261842</v>
      </c>
      <c r="F1090" s="1081">
        <v>0.96451103959299656</v>
      </c>
      <c r="G1090" s="1081">
        <v>1.0334784078354633</v>
      </c>
      <c r="H1090" s="1081">
        <v>1.0024595560537084</v>
      </c>
      <c r="I1090" s="1081">
        <v>1.0071807881188437</v>
      </c>
      <c r="K1090">
        <v>2.3577016000174229</v>
      </c>
      <c r="L1090">
        <v>0</v>
      </c>
      <c r="M1090">
        <v>1.5232386751437624E-3</v>
      </c>
      <c r="N1090">
        <v>0.14992436224723851</v>
      </c>
      <c r="O1090">
        <v>2.0514898727644428E-2</v>
      </c>
      <c r="P1090">
        <v>2.8310122644576271E-2</v>
      </c>
      <c r="Q1090">
        <v>5.5091439347449891E-3</v>
      </c>
      <c r="R1090">
        <v>1.5031816131805154E-3</v>
      </c>
      <c r="S1090">
        <v>0.25580025323680605</v>
      </c>
      <c r="T1090">
        <v>1.3235031487440585</v>
      </c>
      <c r="U1090">
        <v>0.20652808473771325</v>
      </c>
      <c r="V1090">
        <v>0.24952347089111887</v>
      </c>
      <c r="W1090">
        <v>9.6998313072281864E-2</v>
      </c>
      <c r="X1090">
        <v>1.7018694015812508E-2</v>
      </c>
      <c r="Y1090">
        <v>4.0911648273917536E-3</v>
      </c>
    </row>
    <row r="1091" spans="1:25" x14ac:dyDescent="0.2">
      <c r="A1091" s="1077"/>
      <c r="B1091" s="1444">
        <v>841</v>
      </c>
      <c r="C1091" s="1081">
        <v>0.98462993796669418</v>
      </c>
      <c r="D1091" s="1081">
        <v>0.99069943891376155</v>
      </c>
      <c r="E1091" s="1081">
        <v>0.99848443539757759</v>
      </c>
      <c r="F1091" s="1081">
        <v>0.98369960241986831</v>
      </c>
      <c r="G1091" s="1081">
        <v>1.0217193773528506</v>
      </c>
      <c r="H1091" s="1081">
        <v>0.98464275123374001</v>
      </c>
      <c r="I1091" s="1081">
        <v>0.98067663740982169</v>
      </c>
      <c r="K1091">
        <v>2.3959940485077778</v>
      </c>
      <c r="L1091">
        <v>0</v>
      </c>
      <c r="M1091">
        <v>1.6504071869323969E-3</v>
      </c>
      <c r="N1091">
        <v>0.14948387306227179</v>
      </c>
      <c r="O1091">
        <v>2.1356015476068496E-2</v>
      </c>
      <c r="P1091">
        <v>2.8245284925180615E-2</v>
      </c>
      <c r="Q1091">
        <v>5.5799269644290035E-3</v>
      </c>
      <c r="R1091">
        <v>1.6282824234599097E-3</v>
      </c>
      <c r="S1091">
        <v>0.25747547606004395</v>
      </c>
      <c r="T1091">
        <v>1.3492481052155769</v>
      </c>
      <c r="U1091">
        <v>0.21527702625174541</v>
      </c>
      <c r="V1091">
        <v>0.25021969413965017</v>
      </c>
      <c r="W1091">
        <v>9.8289291810199672E-2</v>
      </c>
      <c r="X1091">
        <v>1.6409831372580418E-2</v>
      </c>
      <c r="Y1091">
        <v>4.43164799350124E-3</v>
      </c>
    </row>
    <row r="1092" spans="1:25" x14ac:dyDescent="0.2">
      <c r="A1092" s="1077"/>
      <c r="B1092" s="1444">
        <v>842</v>
      </c>
      <c r="C1092" s="1081">
        <v>0.99755784807721837</v>
      </c>
      <c r="D1092" s="1081">
        <v>1.0196065992794217</v>
      </c>
      <c r="E1092" s="1081">
        <v>0.99674390598548657</v>
      </c>
      <c r="F1092" s="1081">
        <v>1.0356663926558907</v>
      </c>
      <c r="G1092" s="1081">
        <v>0.97778266712308659</v>
      </c>
      <c r="H1092" s="1081">
        <v>1.0363719333881536</v>
      </c>
      <c r="I1092" s="1081">
        <v>0.96051176835819996</v>
      </c>
      <c r="K1092">
        <v>2.4564788661908681</v>
      </c>
      <c r="L1092">
        <v>0</v>
      </c>
      <c r="M1092">
        <v>1.7099461786541645E-3</v>
      </c>
      <c r="N1092">
        <v>0.154168617792667</v>
      </c>
      <c r="O1092">
        <v>2.0945142361141238E-2</v>
      </c>
      <c r="P1092">
        <v>2.8919230639845694E-2</v>
      </c>
      <c r="Q1092">
        <v>5.4629947417736257E-3</v>
      </c>
      <c r="R1092">
        <v>1.688167425310622E-3</v>
      </c>
      <c r="S1092">
        <v>0.24955291524069995</v>
      </c>
      <c r="T1092">
        <v>1.4204870889195131</v>
      </c>
      <c r="U1092">
        <v>0.21248116899356945</v>
      </c>
      <c r="V1092">
        <v>0.24190111893699739</v>
      </c>
      <c r="W1092">
        <v>0.10147474231840307</v>
      </c>
      <c r="X1092">
        <v>1.651298977214628E-2</v>
      </c>
      <c r="Y1092">
        <v>4.5946352274533241E-3</v>
      </c>
    </row>
    <row r="1093" spans="1:25" x14ac:dyDescent="0.2">
      <c r="A1093" s="1077"/>
      <c r="B1093" s="1444">
        <v>843</v>
      </c>
      <c r="C1093" s="1081">
        <v>1.0073478471427257</v>
      </c>
      <c r="D1093" s="1081">
        <v>1.0081904081309616</v>
      </c>
      <c r="E1093" s="1081">
        <v>1.0412174987743639</v>
      </c>
      <c r="F1093" s="1081">
        <v>1.0205971330161974</v>
      </c>
      <c r="G1093" s="1081">
        <v>0.98656752020553806</v>
      </c>
      <c r="H1093" s="1081">
        <v>0.9870280482820275</v>
      </c>
      <c r="I1093" s="1081">
        <v>0.99924191373466198</v>
      </c>
      <c r="K1093">
        <v>2.4361320235124428</v>
      </c>
      <c r="L1093">
        <v>0</v>
      </c>
      <c r="M1093">
        <v>1.473839927804277E-3</v>
      </c>
      <c r="N1093">
        <v>0.15186446294301414</v>
      </c>
      <c r="O1093">
        <v>2.0822361372476755E-2</v>
      </c>
      <c r="P1093">
        <v>2.9656908751003307E-2</v>
      </c>
      <c r="Q1093">
        <v>5.6766285131176607E-3</v>
      </c>
      <c r="R1093">
        <v>1.4541299088432706E-3</v>
      </c>
      <c r="S1093">
        <v>0.25473450403704262</v>
      </c>
      <c r="T1093">
        <v>1.4008039042506859</v>
      </c>
      <c r="U1093">
        <v>0.21056749737795113</v>
      </c>
      <c r="V1093">
        <v>0.24263989591586116</v>
      </c>
      <c r="W1093">
        <v>9.7388631215827998E-2</v>
      </c>
      <c r="X1093">
        <v>1.8039276896350438E-2</v>
      </c>
      <c r="Y1093">
        <v>3.957662258075762E-3</v>
      </c>
    </row>
    <row r="1094" spans="1:25" x14ac:dyDescent="0.2">
      <c r="A1094" s="1077"/>
      <c r="B1094" s="1444">
        <v>844</v>
      </c>
      <c r="C1094" s="1081">
        <v>1.026145341941487</v>
      </c>
      <c r="D1094" s="1081">
        <v>1.0189885923578137</v>
      </c>
      <c r="E1094" s="1081">
        <v>1.0226327066995402</v>
      </c>
      <c r="F1094" s="1081">
        <v>0.98386783850573667</v>
      </c>
      <c r="G1094" s="1081">
        <v>1.0037601924977193</v>
      </c>
      <c r="H1094" s="1081">
        <v>1.0281341243028159</v>
      </c>
      <c r="I1094" s="1081">
        <v>1.0003726900110081</v>
      </c>
      <c r="K1094">
        <v>2.3800166085462964</v>
      </c>
      <c r="L1094">
        <v>0</v>
      </c>
      <c r="M1094">
        <v>1.5629562096919139E-3</v>
      </c>
      <c r="N1094">
        <v>0.15235612972587681</v>
      </c>
      <c r="O1094">
        <v>2.0381045294878435E-2</v>
      </c>
      <c r="P1094">
        <v>2.8492464773370283E-2</v>
      </c>
      <c r="Q1094">
        <v>5.4552580544854901E-3</v>
      </c>
      <c r="R1094">
        <v>1.5428900966341608E-3</v>
      </c>
      <c r="S1094">
        <v>0.25227073213271795</v>
      </c>
      <c r="T1094">
        <v>1.349993792434963</v>
      </c>
      <c r="U1094">
        <v>0.20664800073382844</v>
      </c>
      <c r="V1094">
        <v>0.24450237658505675</v>
      </c>
      <c r="W1094">
        <v>9.8762072371974582E-2</v>
      </c>
      <c r="X1094">
        <v>1.6975564322746172E-2</v>
      </c>
      <c r="Y1094">
        <v>4.1992382294545232E-3</v>
      </c>
    </row>
    <row r="1095" spans="1:25" x14ac:dyDescent="0.2">
      <c r="A1095" s="1077"/>
      <c r="B1095" s="1444">
        <v>845</v>
      </c>
      <c r="C1095" s="1081">
        <v>1.0014181385076519</v>
      </c>
      <c r="D1095" s="1081">
        <v>1.0368476823611232</v>
      </c>
      <c r="E1095" s="1081">
        <v>1.0298130165019019</v>
      </c>
      <c r="F1095" s="1081">
        <v>1.0269767861887718</v>
      </c>
      <c r="G1095" s="1081">
        <v>1.0170607074110023</v>
      </c>
      <c r="H1095" s="1081">
        <v>0.9568825416523602</v>
      </c>
      <c r="I1095" s="1081">
        <v>1.0174090245206602</v>
      </c>
      <c r="K1095">
        <v>2.4410404160653894</v>
      </c>
      <c r="L1095">
        <v>0</v>
      </c>
      <c r="M1095">
        <v>1.4628328882951075E-3</v>
      </c>
      <c r="N1095">
        <v>0.14557614252838869</v>
      </c>
      <c r="O1095">
        <v>2.0809362108501161E-2</v>
      </c>
      <c r="P1095">
        <v>2.9625341336060491E-2</v>
      </c>
      <c r="Q1095">
        <v>5.6096676511363042E-3</v>
      </c>
      <c r="R1095">
        <v>1.4426537645626267E-3</v>
      </c>
      <c r="S1095">
        <v>0.2545967297031938</v>
      </c>
      <c r="T1095">
        <v>1.4093051422817657</v>
      </c>
      <c r="U1095">
        <v>0.2117751982686869</v>
      </c>
      <c r="V1095">
        <v>0.24824861008294377</v>
      </c>
      <c r="W1095">
        <v>9.3973403150177312E-2</v>
      </c>
      <c r="X1095">
        <v>1.7614570101808728E-2</v>
      </c>
      <c r="Y1095">
        <v>3.9264279764537943E-3</v>
      </c>
    </row>
    <row r="1096" spans="1:25" x14ac:dyDescent="0.2">
      <c r="A1096" s="1077"/>
      <c r="B1096" s="1444">
        <v>846</v>
      </c>
      <c r="C1096" s="1081">
        <v>0.9844878345739112</v>
      </c>
      <c r="D1096" s="1081">
        <v>0.99719829164486073</v>
      </c>
      <c r="E1096" s="1081">
        <v>1.0223591910515206</v>
      </c>
      <c r="F1096" s="1081">
        <v>1.0006540254768448</v>
      </c>
      <c r="G1096" s="1081">
        <v>1.0054179510870447</v>
      </c>
      <c r="H1096" s="1081">
        <v>1.0284534392879052</v>
      </c>
      <c r="I1096" s="1081">
        <v>1.0058338626918024</v>
      </c>
      <c r="K1096">
        <v>2.4442100350452733</v>
      </c>
      <c r="L1096">
        <v>0</v>
      </c>
      <c r="M1096">
        <v>1.6382974597084071E-3</v>
      </c>
      <c r="N1096">
        <v>0.15956930222866911</v>
      </c>
      <c r="O1096">
        <v>2.1344526581797061E-2</v>
      </c>
      <c r="P1096">
        <v>2.9175186417441989E-2</v>
      </c>
      <c r="Q1096">
        <v>5.7115955038030079E-3</v>
      </c>
      <c r="R1096">
        <v>1.6172706036648834E-3</v>
      </c>
      <c r="S1096">
        <v>0.26726306030616287</v>
      </c>
      <c r="T1096">
        <v>1.3730206641081029</v>
      </c>
      <c r="U1096">
        <v>0.21539112804203339</v>
      </c>
      <c r="V1096">
        <v>0.24736005138050543</v>
      </c>
      <c r="W1096">
        <v>0.10345440054289071</v>
      </c>
      <c r="X1096">
        <v>1.7539469339846143E-2</v>
      </c>
      <c r="Y1096">
        <v>4.4016774500645964E-3</v>
      </c>
    </row>
    <row r="1097" spans="1:25" x14ac:dyDescent="0.2">
      <c r="A1097" s="1077"/>
      <c r="B1097" s="1444">
        <v>847</v>
      </c>
      <c r="C1097" s="1081">
        <v>1.0167951690863826</v>
      </c>
      <c r="D1097" s="1081">
        <v>0.96013637323810697</v>
      </c>
      <c r="E1097" s="1081">
        <v>0.98320816333740824</v>
      </c>
      <c r="F1097" s="1081">
        <v>0.97482679779734671</v>
      </c>
      <c r="G1097" s="1081">
        <v>0.99571306372373003</v>
      </c>
      <c r="H1097" s="1081">
        <v>1.0091617545725942</v>
      </c>
      <c r="I1097" s="1081">
        <v>1.0087090702584394</v>
      </c>
      <c r="K1097">
        <v>2.3704804213462185</v>
      </c>
      <c r="L1097">
        <v>0</v>
      </c>
      <c r="M1097">
        <v>1.7023499052847115E-3</v>
      </c>
      <c r="N1097">
        <v>0.14727803377064444</v>
      </c>
      <c r="O1097">
        <v>2.0813455875417271E-2</v>
      </c>
      <c r="P1097">
        <v>2.7643894130043502E-2</v>
      </c>
      <c r="Q1097">
        <v>5.354880451326826E-3</v>
      </c>
      <c r="R1097">
        <v>1.6800832868958649E-3</v>
      </c>
      <c r="S1097">
        <v>0.26251265386346401</v>
      </c>
      <c r="T1097">
        <v>1.3367566341955688</v>
      </c>
      <c r="U1097">
        <v>0.20841568641218097</v>
      </c>
      <c r="V1097">
        <v>0.24382905282144424</v>
      </c>
      <c r="W1097">
        <v>9.772858750636175E-2</v>
      </c>
      <c r="X1097">
        <v>1.5597176070530433E-2</v>
      </c>
      <c r="Y1097">
        <v>4.5726328676238678E-3</v>
      </c>
    </row>
    <row r="1098" spans="1:25" x14ac:dyDescent="0.2">
      <c r="A1098" s="1077"/>
      <c r="B1098" s="1444">
        <v>848</v>
      </c>
      <c r="C1098" s="1081">
        <v>0.96565021428376574</v>
      </c>
      <c r="D1098" s="1081">
        <v>0.96883595399280797</v>
      </c>
      <c r="E1098" s="1081">
        <v>0.9743747700960621</v>
      </c>
      <c r="F1098" s="1081">
        <v>1.0003423952537205</v>
      </c>
      <c r="G1098" s="1081">
        <v>0.98743980154580224</v>
      </c>
      <c r="H1098" s="1081">
        <v>1.0233514606492693</v>
      </c>
      <c r="I1098" s="1081">
        <v>1.0195652316560559</v>
      </c>
      <c r="K1098">
        <v>2.4520629616724974</v>
      </c>
      <c r="L1098">
        <v>0</v>
      </c>
      <c r="M1098">
        <v>1.8475482035337453E-3</v>
      </c>
      <c r="N1098">
        <v>0.15565259783297669</v>
      </c>
      <c r="O1098">
        <v>2.1866286136870524E-2</v>
      </c>
      <c r="P1098">
        <v>2.8322211315714788E-2</v>
      </c>
      <c r="Q1098">
        <v>5.5754352880583793E-3</v>
      </c>
      <c r="R1098">
        <v>1.8237174824973555E-3</v>
      </c>
      <c r="S1098">
        <v>0.27932753133105537</v>
      </c>
      <c r="T1098">
        <v>1.371555282441479</v>
      </c>
      <c r="U1098">
        <v>0.21942310836886558</v>
      </c>
      <c r="V1098">
        <v>0.24569622109434525</v>
      </c>
      <c r="W1098">
        <v>0.10383856743032185</v>
      </c>
      <c r="X1098">
        <v>1.586599335479361E-2</v>
      </c>
      <c r="Y1098">
        <v>4.96355779905127E-3</v>
      </c>
    </row>
    <row r="1099" spans="1:25" x14ac:dyDescent="0.2">
      <c r="A1099" s="1077"/>
      <c r="B1099" s="1444">
        <v>849</v>
      </c>
      <c r="C1099" s="1081">
        <v>0.99883289969460509</v>
      </c>
      <c r="D1099" s="1081">
        <v>1.0199124061988427</v>
      </c>
      <c r="E1099" s="1081">
        <v>1.0309880399595961</v>
      </c>
      <c r="F1099" s="1081">
        <v>0.99885961681115321</v>
      </c>
      <c r="G1099" s="1081">
        <v>0.99442169858944929</v>
      </c>
      <c r="H1099" s="1081">
        <v>1.02369281161771</v>
      </c>
      <c r="I1099" s="1081">
        <v>0.97683569464864917</v>
      </c>
      <c r="K1099">
        <v>2.4160442673702591</v>
      </c>
      <c r="L1099">
        <v>0</v>
      </c>
      <c r="M1099">
        <v>1.5708632629576587E-3</v>
      </c>
      <c r="N1099">
        <v>0.15702487727692463</v>
      </c>
      <c r="O1099">
        <v>2.0939728106370237E-2</v>
      </c>
      <c r="P1099">
        <v>2.904121010165904E-2</v>
      </c>
      <c r="Q1099">
        <v>5.6513711301233198E-3</v>
      </c>
      <c r="R1099">
        <v>1.5506081370146047E-3</v>
      </c>
      <c r="S1099">
        <v>0.25265628177633004</v>
      </c>
      <c r="T1099">
        <v>1.3707458989306784</v>
      </c>
      <c r="U1099">
        <v>0.21232736706966909</v>
      </c>
      <c r="V1099">
        <v>0.24454301291719197</v>
      </c>
      <c r="W1099">
        <v>0.10129478402116647</v>
      </c>
      <c r="X1099">
        <v>1.7619746974969621E-2</v>
      </c>
      <c r="Y1099">
        <v>4.2202441911187638E-3</v>
      </c>
    </row>
    <row r="1100" spans="1:25" x14ac:dyDescent="0.2">
      <c r="A1100" s="1077"/>
      <c r="B1100" s="1444">
        <v>850</v>
      </c>
      <c r="C1100" s="1081">
        <v>0.98480089246061775</v>
      </c>
      <c r="D1100" s="1081">
        <v>0.97599878117623606</v>
      </c>
      <c r="E1100" s="1081">
        <v>1.0006107093863987</v>
      </c>
      <c r="F1100" s="1081">
        <v>0.99739364785432527</v>
      </c>
      <c r="G1100" s="1081">
        <v>0.99049242385255898</v>
      </c>
      <c r="H1100" s="1081">
        <v>0.98363350501485103</v>
      </c>
      <c r="I1100" s="1081">
        <v>1.0004476278261645</v>
      </c>
      <c r="K1100">
        <v>2.4180054424639037</v>
      </c>
      <c r="L1100">
        <v>0</v>
      </c>
      <c r="M1100">
        <v>1.6465820455432735E-3</v>
      </c>
      <c r="N1100">
        <v>0.15009648677172141</v>
      </c>
      <c r="O1100">
        <v>2.142409144088803E-2</v>
      </c>
      <c r="P1100">
        <v>2.8570156822790342E-2</v>
      </c>
      <c r="Q1100">
        <v>5.6096936552721003E-3</v>
      </c>
      <c r="R1100">
        <v>1.6244859122827679E-3</v>
      </c>
      <c r="S1100">
        <v>0.26453864092561979</v>
      </c>
      <c r="T1100">
        <v>1.3680768013123297</v>
      </c>
      <c r="U1100">
        <v>0.21524703542894486</v>
      </c>
      <c r="V1100">
        <v>0.24486831355201996</v>
      </c>
      <c r="W1100">
        <v>9.8567413283641839E-2</v>
      </c>
      <c r="X1100">
        <v>1.6607590262340294E-2</v>
      </c>
      <c r="Y1100">
        <v>4.4213151415966314E-3</v>
      </c>
    </row>
    <row r="1101" spans="1:25" x14ac:dyDescent="0.2">
      <c r="A1101" s="1077"/>
      <c r="B1101" s="1444">
        <v>851</v>
      </c>
      <c r="C1101" s="1081">
        <v>0.99390531815080729</v>
      </c>
      <c r="D1101" s="1081">
        <v>0.99580728221056525</v>
      </c>
      <c r="E1101" s="1081">
        <v>0.98479581422882245</v>
      </c>
      <c r="F1101" s="1081">
        <v>0.9780860433420232</v>
      </c>
      <c r="G1101" s="1081">
        <v>0.98771472236198854</v>
      </c>
      <c r="H1101" s="1081">
        <v>1.0129578971087787</v>
      </c>
      <c r="I1101" s="1081">
        <v>1.0021297407414833</v>
      </c>
      <c r="K1101">
        <v>2.3853030426458819</v>
      </c>
      <c r="L1101">
        <v>0</v>
      </c>
      <c r="M1101">
        <v>1.7284463987636497E-3</v>
      </c>
      <c r="N1101">
        <v>0.15026306236522377</v>
      </c>
      <c r="O1101">
        <v>2.1123656422796191E-2</v>
      </c>
      <c r="P1101">
        <v>2.7800319948197257E-2</v>
      </c>
      <c r="Q1101">
        <v>5.4434461942189979E-3</v>
      </c>
      <c r="R1101">
        <v>1.7059231652283382E-3</v>
      </c>
      <c r="S1101">
        <v>0.26229630640807772</v>
      </c>
      <c r="T1101">
        <v>1.3412594349277105</v>
      </c>
      <c r="U1101">
        <v>0.21322099028450803</v>
      </c>
      <c r="V1101">
        <v>0.24386966573316282</v>
      </c>
      <c r="W1101">
        <v>9.9614109484936625E-2</v>
      </c>
      <c r="X1101">
        <v>1.5791613612251853E-2</v>
      </c>
      <c r="Y1101">
        <v>4.6429604983312563E-3</v>
      </c>
    </row>
    <row r="1102" spans="1:25" x14ac:dyDescent="0.2">
      <c r="A1102" s="1077"/>
      <c r="B1102" s="1444">
        <v>852</v>
      </c>
      <c r="C1102" s="1081">
        <v>1.0057621011608002</v>
      </c>
      <c r="D1102" s="1081">
        <v>0.99545304612362895</v>
      </c>
      <c r="E1102" s="1081">
        <v>1.017508887516132</v>
      </c>
      <c r="F1102" s="1081">
        <v>1.0042261409629054</v>
      </c>
      <c r="G1102" s="1081">
        <v>0.99072122335257062</v>
      </c>
      <c r="H1102" s="1081">
        <v>0.99929436318457376</v>
      </c>
      <c r="I1102" s="1081">
        <v>0.99134374025718575</v>
      </c>
      <c r="K1102">
        <v>2.4136558497218541</v>
      </c>
      <c r="L1102">
        <v>0</v>
      </c>
      <c r="M1102">
        <v>1.5745875053982418E-3</v>
      </c>
      <c r="N1102">
        <v>0.15107890577433966</v>
      </c>
      <c r="O1102">
        <v>2.0897878487484228E-2</v>
      </c>
      <c r="P1102">
        <v>2.886031664890561E-2</v>
      </c>
      <c r="Q1102">
        <v>5.5651761396439195E-3</v>
      </c>
      <c r="R1102">
        <v>1.5537886430017284E-3</v>
      </c>
      <c r="S1102">
        <v>0.25557801595994661</v>
      </c>
      <c r="T1102">
        <v>1.3778162866311439</v>
      </c>
      <c r="U1102">
        <v>0.21081855743766975</v>
      </c>
      <c r="V1102">
        <v>0.2435276148098954</v>
      </c>
      <c r="W1102">
        <v>9.8228137410829044E-2</v>
      </c>
      <c r="X1102">
        <v>1.7076858804429645E-2</v>
      </c>
      <c r="Y1102">
        <v>4.2289004799621974E-3</v>
      </c>
    </row>
    <row r="1103" spans="1:25" x14ac:dyDescent="0.2">
      <c r="A1103" s="1077"/>
      <c r="B1103" s="1444">
        <v>853</v>
      </c>
      <c r="C1103" s="1081">
        <v>1.0188362620730143</v>
      </c>
      <c r="D1103" s="1081">
        <v>1.0090016441683771</v>
      </c>
      <c r="E1103" s="1081">
        <v>1.0025327621692663</v>
      </c>
      <c r="F1103" s="1081">
        <v>0.97683720149680164</v>
      </c>
      <c r="G1103" s="1081">
        <v>1.0156192520206144</v>
      </c>
      <c r="H1103" s="1081">
        <v>1.0197434425600458</v>
      </c>
      <c r="I1103" s="1081">
        <v>1.0107860712101433</v>
      </c>
      <c r="K1103">
        <v>2.3745782537050837</v>
      </c>
      <c r="L1103">
        <v>0</v>
      </c>
      <c r="M1103">
        <v>1.6314573666308424E-3</v>
      </c>
      <c r="N1103">
        <v>0.14965582986192316</v>
      </c>
      <c r="O1103">
        <v>2.0558692245812454E-2</v>
      </c>
      <c r="P1103">
        <v>2.8055959612306367E-2</v>
      </c>
      <c r="Q1103">
        <v>5.3934983232269956E-3</v>
      </c>
      <c r="R1103">
        <v>1.6103394521717364E-3</v>
      </c>
      <c r="S1103">
        <v>0.25711277466985649</v>
      </c>
      <c r="T1103">
        <v>1.3399211351141251</v>
      </c>
      <c r="U1103">
        <v>0.20806291660554774</v>
      </c>
      <c r="V1103">
        <v>0.24703559688612095</v>
      </c>
      <c r="W1103">
        <v>9.8165970628265695E-2</v>
      </c>
      <c r="X1103">
        <v>1.6254184531802354E-2</v>
      </c>
      <c r="Y1103">
        <v>4.3828131405537259E-3</v>
      </c>
    </row>
    <row r="1104" spans="1:25" x14ac:dyDescent="0.2">
      <c r="A1104" s="1077"/>
      <c r="B1104" s="1444">
        <v>854</v>
      </c>
      <c r="C1104" s="1081">
        <v>0.96905592140676766</v>
      </c>
      <c r="D1104" s="1081">
        <v>1.0350158955114845</v>
      </c>
      <c r="E1104" s="1081">
        <v>0.98874133544214782</v>
      </c>
      <c r="F1104" s="1081">
        <v>1.015814905047087</v>
      </c>
      <c r="G1104" s="1081">
        <v>1.001135537767238</v>
      </c>
      <c r="H1104" s="1081">
        <v>1.0074570481115721</v>
      </c>
      <c r="I1104" s="1081">
        <v>1.007649887098137</v>
      </c>
      <c r="K1104">
        <v>2.4546494385590725</v>
      </c>
      <c r="L1104">
        <v>0</v>
      </c>
      <c r="M1104">
        <v>1.7340054433772002E-3</v>
      </c>
      <c r="N1104">
        <v>0.15254480070869764</v>
      </c>
      <c r="O1104">
        <v>2.1484714661959774E-2</v>
      </c>
      <c r="P1104">
        <v>2.8746514112473167E-2</v>
      </c>
      <c r="Q1104">
        <v>5.5586522476134574E-3</v>
      </c>
      <c r="R1104">
        <v>1.7112863950498696E-3</v>
      </c>
      <c r="S1104">
        <v>0.26490528477698033</v>
      </c>
      <c r="T1104">
        <v>1.3930838601451634</v>
      </c>
      <c r="U1104">
        <v>0.21870248123009417</v>
      </c>
      <c r="V1104">
        <v>0.24775768245548088</v>
      </c>
      <c r="W1104">
        <v>0.100887393272499</v>
      </c>
      <c r="X1104">
        <v>1.6343216554520489E-2</v>
      </c>
      <c r="Y1104">
        <v>4.6575574419172282E-3</v>
      </c>
    </row>
    <row r="1105" spans="1:25" x14ac:dyDescent="0.2">
      <c r="A1105" s="1077"/>
      <c r="B1105" s="1444">
        <v>855</v>
      </c>
      <c r="C1105" s="1081">
        <v>0.98296123109470146</v>
      </c>
      <c r="D1105" s="1081">
        <v>1.002238130171959</v>
      </c>
      <c r="E1105" s="1081">
        <v>0.99976381845810391</v>
      </c>
      <c r="F1105" s="1081">
        <v>1.010868743992094</v>
      </c>
      <c r="G1105" s="1081">
        <v>0.98798510114143601</v>
      </c>
      <c r="H1105" s="1081">
        <v>1.0199274554548023</v>
      </c>
      <c r="I1105" s="1081">
        <v>1.010347182348551</v>
      </c>
      <c r="K1105">
        <v>2.4478115390774366</v>
      </c>
      <c r="L1105">
        <v>0</v>
      </c>
      <c r="M1105">
        <v>1.7035684137294454E-3</v>
      </c>
      <c r="N1105">
        <v>0.15496931025737018</v>
      </c>
      <c r="O1105">
        <v>2.1338705188561131E-2</v>
      </c>
      <c r="P1105">
        <v>2.8842571416887824E-2</v>
      </c>
      <c r="Q1105">
        <v>5.5825822257309634E-3</v>
      </c>
      <c r="R1105">
        <v>1.6815210577265764E-3</v>
      </c>
      <c r="S1105">
        <v>0.26726777977130678</v>
      </c>
      <c r="T1105">
        <v>1.3865414247320849</v>
      </c>
      <c r="U1105">
        <v>0.21564693594029058</v>
      </c>
      <c r="V1105">
        <v>0.24456168962630884</v>
      </c>
      <c r="W1105">
        <v>0.10181859511152094</v>
      </c>
      <c r="X1105">
        <v>1.668744615751222E-2</v>
      </c>
      <c r="Y1105">
        <v>4.5765460058640366E-3</v>
      </c>
    </row>
    <row r="1106" spans="1:25" x14ac:dyDescent="0.2">
      <c r="A1106" s="1077"/>
      <c r="B1106" s="1444">
        <v>856</v>
      </c>
      <c r="C1106" s="1081">
        <v>1.0043075124316061</v>
      </c>
      <c r="D1106" s="1081">
        <v>0.96297510671508335</v>
      </c>
      <c r="E1106" s="1081">
        <v>1.0148351343339479</v>
      </c>
      <c r="F1106" s="1081">
        <v>1.0018144473572959</v>
      </c>
      <c r="G1106" s="1081">
        <v>0.98491184997851144</v>
      </c>
      <c r="H1106" s="1081">
        <v>0.98166195647295584</v>
      </c>
      <c r="I1106" s="1081">
        <v>1.029864360960512</v>
      </c>
      <c r="K1106">
        <v>2.4203863790974691</v>
      </c>
      <c r="L1106">
        <v>0</v>
      </c>
      <c r="M1106">
        <v>1.5690897926781734E-3</v>
      </c>
      <c r="N1106">
        <v>0.14930568114531889</v>
      </c>
      <c r="O1106">
        <v>2.1079641349972061E-2</v>
      </c>
      <c r="P1106">
        <v>2.8931423092981971E-2</v>
      </c>
      <c r="Q1106">
        <v>5.5986471807561002E-3</v>
      </c>
      <c r="R1106">
        <v>1.5479912696094154E-3</v>
      </c>
      <c r="S1106">
        <v>0.26879776417288442</v>
      </c>
      <c r="T1106">
        <v>1.374449280949968</v>
      </c>
      <c r="U1106">
        <v>0.21111477358475181</v>
      </c>
      <c r="V1106">
        <v>0.24263514183424398</v>
      </c>
      <c r="W1106">
        <v>9.7227657355574801E-2</v>
      </c>
      <c r="X1106">
        <v>1.7054345013392501E-2</v>
      </c>
      <c r="Y1106">
        <v>4.2131219406919473E-3</v>
      </c>
    </row>
    <row r="1107" spans="1:25" x14ac:dyDescent="0.2">
      <c r="A1107" s="1077"/>
      <c r="B1107" s="1444">
        <v>857</v>
      </c>
      <c r="C1107" s="1081">
        <v>1.0077861707133666</v>
      </c>
      <c r="D1107" s="1081">
        <v>0.99019170117022071</v>
      </c>
      <c r="E1107" s="1081">
        <v>1.0097037722633786</v>
      </c>
      <c r="F1107" s="1081">
        <v>1.0178540369221392</v>
      </c>
      <c r="G1107" s="1081">
        <v>0.98580900342662015</v>
      </c>
      <c r="H1107" s="1081">
        <v>0.98585675615960011</v>
      </c>
      <c r="I1107" s="1081">
        <v>1.0008392520699354</v>
      </c>
      <c r="K1107">
        <v>2.4270415202726343</v>
      </c>
      <c r="L1107">
        <v>0</v>
      </c>
      <c r="M1107">
        <v>1.5774892639214535E-3</v>
      </c>
      <c r="N1107">
        <v>0.14780643767325433</v>
      </c>
      <c r="O1107">
        <v>2.0875073899416327E-2</v>
      </c>
      <c r="P1107">
        <v>2.8949942605274896E-2</v>
      </c>
      <c r="Q1107">
        <v>5.5159836899889838E-3</v>
      </c>
      <c r="R1107">
        <v>1.5563680529994206E-3</v>
      </c>
      <c r="S1107">
        <v>0.25699167434927078</v>
      </c>
      <c r="T1107">
        <v>1.3963417159911093</v>
      </c>
      <c r="U1107">
        <v>0.21036861377502461</v>
      </c>
      <c r="V1107">
        <v>0.24259163589261665</v>
      </c>
      <c r="W1107">
        <v>9.6542512952934922E-2</v>
      </c>
      <c r="X1107">
        <v>1.6843129870991284E-2</v>
      </c>
      <c r="Y1107">
        <v>4.2359207836736388E-3</v>
      </c>
    </row>
    <row r="1108" spans="1:25" x14ac:dyDescent="0.2">
      <c r="A1108" s="1077"/>
      <c r="B1108" s="1444">
        <v>858</v>
      </c>
      <c r="C1108" s="1081">
        <v>0.99394155740308687</v>
      </c>
      <c r="D1108" s="1081">
        <v>1.0008583776644833</v>
      </c>
      <c r="E1108" s="1081">
        <v>1.0212340525753854</v>
      </c>
      <c r="F1108" s="1081">
        <v>1.0309380068101826</v>
      </c>
      <c r="G1108" s="1081">
        <v>0.97463663185305793</v>
      </c>
      <c r="H1108" s="1081">
        <v>1.0029603386862393</v>
      </c>
      <c r="I1108" s="1081">
        <v>1.0106865525182995</v>
      </c>
      <c r="K1108">
        <v>2.4643539497186233</v>
      </c>
      <c r="L1108">
        <v>0</v>
      </c>
      <c r="M1108">
        <v>1.5849235473634129E-3</v>
      </c>
      <c r="N1108">
        <v>0.15379684628728391</v>
      </c>
      <c r="O1108">
        <v>2.1123724496266771E-2</v>
      </c>
      <c r="P1108">
        <v>2.956231803455249E-2</v>
      </c>
      <c r="Q1108">
        <v>5.6461980941775285E-3</v>
      </c>
      <c r="R1108">
        <v>1.5640646773986875E-3</v>
      </c>
      <c r="S1108">
        <v>0.26329734100002034</v>
      </c>
      <c r="T1108">
        <v>1.4145488242761228</v>
      </c>
      <c r="U1108">
        <v>0.2133385860513772</v>
      </c>
      <c r="V1108">
        <v>0.24150754189488594</v>
      </c>
      <c r="W1108">
        <v>9.9777479826969079E-2</v>
      </c>
      <c r="X1108">
        <v>1.7519080168834751E-2</v>
      </c>
      <c r="Y1108">
        <v>4.2568684580968907E-3</v>
      </c>
    </row>
    <row r="1109" spans="1:25" x14ac:dyDescent="0.2">
      <c r="A1109" s="1077"/>
      <c r="B1109" s="1444">
        <v>859</v>
      </c>
      <c r="C1109" s="1081">
        <v>0.96080281108708787</v>
      </c>
      <c r="D1109" s="1081">
        <v>0.97723997999095458</v>
      </c>
      <c r="E1109" s="1081">
        <v>1.0036723586613014</v>
      </c>
      <c r="F1109" s="1081">
        <v>0.99235739901912701</v>
      </c>
      <c r="G1109" s="1081">
        <v>1.0071014102352049</v>
      </c>
      <c r="H1109" s="1081">
        <v>1.0100386425159451</v>
      </c>
      <c r="I1109" s="1081">
        <v>1.0234668316778772</v>
      </c>
      <c r="K1109">
        <v>2.4513057942123297</v>
      </c>
      <c r="L1109">
        <v>0</v>
      </c>
      <c r="M1109">
        <v>1.7215583960891027E-3</v>
      </c>
      <c r="N1109">
        <v>0.15844548333898187</v>
      </c>
      <c r="O1109">
        <v>2.1955190757836394E-2</v>
      </c>
      <c r="P1109">
        <v>2.8882340946158207E-2</v>
      </c>
      <c r="Q1109">
        <v>5.766455011157314E-3</v>
      </c>
      <c r="R1109">
        <v>1.6990600813703619E-3</v>
      </c>
      <c r="S1109">
        <v>0.2796386612500113</v>
      </c>
      <c r="T1109">
        <v>1.3612345618820529</v>
      </c>
      <c r="U1109">
        <v>0.22063418120525757</v>
      </c>
      <c r="V1109">
        <v>0.24927615983860291</v>
      </c>
      <c r="W1109">
        <v>0.10386130019023866</v>
      </c>
      <c r="X1109">
        <v>1.7009676660264511E-2</v>
      </c>
      <c r="Y1109">
        <v>4.6242814464848309E-3</v>
      </c>
    </row>
    <row r="1110" spans="1:25" x14ac:dyDescent="0.2">
      <c r="A1110" s="1077"/>
      <c r="B1110" s="1444">
        <v>860</v>
      </c>
      <c r="C1110" s="1081">
        <v>0.98855613817531529</v>
      </c>
      <c r="D1110" s="1081">
        <v>0.9884232837118021</v>
      </c>
      <c r="E1110" s="1081">
        <v>1.0318020246864434</v>
      </c>
      <c r="F1110" s="1081">
        <v>0.99746380351536634</v>
      </c>
      <c r="G1110" s="1081">
        <v>0.9992826786472111</v>
      </c>
      <c r="H1110" s="1081">
        <v>0.95820726796646516</v>
      </c>
      <c r="I1110" s="1081">
        <v>1.0003897885208903</v>
      </c>
      <c r="K1110">
        <v>2.4131616074632021</v>
      </c>
      <c r="L1110">
        <v>0</v>
      </c>
      <c r="M1110">
        <v>1.4934107861653517E-3</v>
      </c>
      <c r="N1110">
        <v>0.14951578775738478</v>
      </c>
      <c r="O1110">
        <v>2.1304440886618634E-2</v>
      </c>
      <c r="P1110">
        <v>2.9184586809613968E-2</v>
      </c>
      <c r="Q1110">
        <v>5.7544282126415977E-3</v>
      </c>
      <c r="R1110">
        <v>1.4728383349345781E-3</v>
      </c>
      <c r="S1110">
        <v>0.25990401154952614</v>
      </c>
      <c r="T1110">
        <v>1.3688480766438149</v>
      </c>
      <c r="U1110">
        <v>0.21453749269206429</v>
      </c>
      <c r="V1110">
        <v>0.24601931729292922</v>
      </c>
      <c r="W1110">
        <v>9.6405252074680578E-2</v>
      </c>
      <c r="X1110">
        <v>1.7700205568491754E-2</v>
      </c>
      <c r="Y1110">
        <v>4.008580426665298E-3</v>
      </c>
    </row>
    <row r="1111" spans="1:25" x14ac:dyDescent="0.2">
      <c r="A1111" s="1077"/>
      <c r="B1111" s="1444">
        <v>861</v>
      </c>
      <c r="C1111" s="1081">
        <v>0.97351463670316163</v>
      </c>
      <c r="D1111" s="1081">
        <v>0.96928861042064063</v>
      </c>
      <c r="E1111" s="1081">
        <v>1.002782422723961</v>
      </c>
      <c r="F1111" s="1081">
        <v>1.0194516597746694</v>
      </c>
      <c r="G1111" s="1081">
        <v>0.96481722444712492</v>
      </c>
      <c r="H1111" s="1081">
        <v>1.0355299369760387</v>
      </c>
      <c r="I1111" s="1081">
        <v>1.0193541538035338</v>
      </c>
      <c r="K1111">
        <v>2.4797666484833236</v>
      </c>
      <c r="L1111">
        <v>0</v>
      </c>
      <c r="M1111">
        <v>1.7483199023774279E-3</v>
      </c>
      <c r="N1111">
        <v>0.16052886765483315</v>
      </c>
      <c r="O1111">
        <v>2.1706877334118753E-2</v>
      </c>
      <c r="P1111">
        <v>2.9203052976391489E-2</v>
      </c>
      <c r="Q1111">
        <v>5.6961477051541533E-3</v>
      </c>
      <c r="R1111">
        <v>1.7260342957108278E-3</v>
      </c>
      <c r="S1111">
        <v>0.27828948970555473</v>
      </c>
      <c r="T1111">
        <v>1.3983806136707384</v>
      </c>
      <c r="U1111">
        <v>0.21775008817600755</v>
      </c>
      <c r="V1111">
        <v>0.24121098497662191</v>
      </c>
      <c r="W1111">
        <v>0.10528249303883612</v>
      </c>
      <c r="X1111">
        <v>1.7042622485859096E-2</v>
      </c>
      <c r="Y1111">
        <v>4.6976963658722113E-3</v>
      </c>
    </row>
    <row r="1112" spans="1:25" x14ac:dyDescent="0.2">
      <c r="A1112" s="1077"/>
      <c r="B1112" s="1444">
        <v>862</v>
      </c>
      <c r="C1112" s="1081">
        <v>0.98143664274604203</v>
      </c>
      <c r="D1112" s="1081">
        <v>0.98830408986480245</v>
      </c>
      <c r="E1112" s="1081">
        <v>0.96271198856874751</v>
      </c>
      <c r="F1112" s="1081">
        <v>0.98999842501662194</v>
      </c>
      <c r="G1112" s="1081">
        <v>0.99790796788590708</v>
      </c>
      <c r="H1112" s="1081">
        <v>0.99666093205888584</v>
      </c>
      <c r="I1112" s="1081">
        <v>0.96392779507394888</v>
      </c>
      <c r="K1112">
        <v>2.3940684583197558</v>
      </c>
      <c r="L1112">
        <v>0</v>
      </c>
      <c r="M1112">
        <v>1.8056321786823347E-3</v>
      </c>
      <c r="N1112">
        <v>0.14679110391291642</v>
      </c>
      <c r="O1112">
        <v>2.1412737920644638E-2</v>
      </c>
      <c r="P1112">
        <v>2.751804007170033E-2</v>
      </c>
      <c r="Q1112">
        <v>5.3950419934480449E-3</v>
      </c>
      <c r="R1112">
        <v>1.7817184074967081E-3</v>
      </c>
      <c r="S1112">
        <v>0.25493004542023834</v>
      </c>
      <c r="T1112">
        <v>1.3571247304813152</v>
      </c>
      <c r="U1112">
        <v>0.21585327145737951</v>
      </c>
      <c r="V1112">
        <v>0.24648911844980922</v>
      </c>
      <c r="W1112">
        <v>9.8625316669379251E-2</v>
      </c>
      <c r="X1112">
        <v>1.5103715552221514E-2</v>
      </c>
      <c r="Y1112">
        <v>4.8492501618908604E-3</v>
      </c>
    </row>
    <row r="1113" spans="1:25" x14ac:dyDescent="0.2">
      <c r="A1113" s="1077"/>
      <c r="B1113" s="1444">
        <v>863</v>
      </c>
      <c r="C1113" s="1081">
        <v>0.9816217044086033</v>
      </c>
      <c r="D1113" s="1081">
        <v>1.0221379288721943</v>
      </c>
      <c r="E1113" s="1081">
        <v>1.0026980079627246</v>
      </c>
      <c r="F1113" s="1081">
        <v>1.0381335209341813</v>
      </c>
      <c r="G1113" s="1081">
        <v>0.95933175766964884</v>
      </c>
      <c r="H1113" s="1081">
        <v>1.0358500356312597</v>
      </c>
      <c r="I1113" s="1081">
        <v>0.97088464012079445</v>
      </c>
      <c r="K1113">
        <v>2.473907112682372</v>
      </c>
      <c r="L1113">
        <v>0</v>
      </c>
      <c r="M1113">
        <v>1.714577548045923E-3</v>
      </c>
      <c r="N1113">
        <v>0.15739117149738352</v>
      </c>
      <c r="O1113">
        <v>2.1277574437301834E-2</v>
      </c>
      <c r="P1113">
        <v>2.9202592877629614E-2</v>
      </c>
      <c r="Q1113">
        <v>5.583020389152869E-3</v>
      </c>
      <c r="R1113">
        <v>1.6927288045780373E-3</v>
      </c>
      <c r="S1113">
        <v>0.2560332085147537</v>
      </c>
      <c r="T1113">
        <v>1.4240046037077312</v>
      </c>
      <c r="U1113">
        <v>0.21595142849617413</v>
      </c>
      <c r="V1113">
        <v>0.23974523844306242</v>
      </c>
      <c r="W1113">
        <v>0.10322981002141006</v>
      </c>
      <c r="X1113">
        <v>1.6903263243081973E-2</v>
      </c>
      <c r="Y1113">
        <v>4.6070497981609577E-3</v>
      </c>
    </row>
    <row r="1114" spans="1:25" x14ac:dyDescent="0.2">
      <c r="A1114" s="1077"/>
      <c r="B1114" s="1444">
        <v>864</v>
      </c>
      <c r="C1114" s="1081">
        <v>1.038636959925989</v>
      </c>
      <c r="D1114" s="1081">
        <v>0.98881705676635856</v>
      </c>
      <c r="E1114" s="1081">
        <v>0.99733049875183333</v>
      </c>
      <c r="F1114" s="1081">
        <v>1.0310312662128107</v>
      </c>
      <c r="G1114" s="1081">
        <v>0.9523231064795602</v>
      </c>
      <c r="H1114" s="1081">
        <v>1.0196506565131336</v>
      </c>
      <c r="I1114" s="1081">
        <v>0.99487533286856999</v>
      </c>
      <c r="K1114">
        <v>2.4220098264986256</v>
      </c>
      <c r="L1114">
        <v>0</v>
      </c>
      <c r="M1114">
        <v>1.6247778689558495E-3</v>
      </c>
      <c r="N1114">
        <v>0.14671870241539442</v>
      </c>
      <c r="O1114">
        <v>2.025327961141225E-2</v>
      </c>
      <c r="P1114">
        <v>2.8653911270627386E-2</v>
      </c>
      <c r="Q1114">
        <v>5.2856611513498707E-3</v>
      </c>
      <c r="R1114">
        <v>1.6037445014493068E-3</v>
      </c>
      <c r="S1114">
        <v>0.25070880754765573</v>
      </c>
      <c r="T1114">
        <v>1.4141427697443874</v>
      </c>
      <c r="U1114">
        <v>0.20407925969655183</v>
      </c>
      <c r="V1114">
        <v>0.23507732134368967</v>
      </c>
      <c r="W1114">
        <v>9.6537420309813105E-2</v>
      </c>
      <c r="X1114">
        <v>1.6208862916538776E-2</v>
      </c>
      <c r="Y1114">
        <v>4.3648638587121952E-3</v>
      </c>
    </row>
    <row r="1115" spans="1:25" x14ac:dyDescent="0.2">
      <c r="A1115" s="1077"/>
      <c r="B1115" s="1444">
        <v>865</v>
      </c>
      <c r="C1115" s="1081">
        <v>1.0165016044030395</v>
      </c>
      <c r="D1115" s="1081">
        <v>1.0043788962722133</v>
      </c>
      <c r="E1115" s="1081">
        <v>1.0127338159211481</v>
      </c>
      <c r="F1115" s="1081">
        <v>1.0214825847383542</v>
      </c>
      <c r="G1115" s="1081">
        <v>1.0101522226987976</v>
      </c>
      <c r="H1115" s="1081">
        <v>0.99767381448033321</v>
      </c>
      <c r="I1115" s="1081">
        <v>0.99891492610424737</v>
      </c>
      <c r="K1115">
        <v>2.4308848947459283</v>
      </c>
      <c r="L1115">
        <v>0</v>
      </c>
      <c r="M1115">
        <v>1.5678622605763441E-3</v>
      </c>
      <c r="N1115">
        <v>0.1482781251698593</v>
      </c>
      <c r="O1115">
        <v>2.0633399956957704E-2</v>
      </c>
      <c r="P1115">
        <v>2.9061166596056801E-2</v>
      </c>
      <c r="Q1115">
        <v>5.4686524062679109E-3</v>
      </c>
      <c r="R1115">
        <v>1.5471185926580245E-3</v>
      </c>
      <c r="S1115">
        <v>0.25349854751854295</v>
      </c>
      <c r="T1115">
        <v>1.4013866262975154</v>
      </c>
      <c r="U1115">
        <v>0.20857513076133313</v>
      </c>
      <c r="V1115">
        <v>0.2462057895138913</v>
      </c>
      <c r="W1115">
        <v>9.6677877336254117E-2</v>
      </c>
      <c r="X1115">
        <v>1.6909576055460517E-2</v>
      </c>
      <c r="Y1115">
        <v>4.2107468017081404E-3</v>
      </c>
    </row>
    <row r="1116" spans="1:25" x14ac:dyDescent="0.2">
      <c r="A1116" s="1077"/>
      <c r="B1116" s="1444">
        <v>866</v>
      </c>
      <c r="C1116" s="1081">
        <v>0.99356923375187756</v>
      </c>
      <c r="D1116" s="1081">
        <v>0.99563800011002423</v>
      </c>
      <c r="E1116" s="1081">
        <v>0.98140965413786541</v>
      </c>
      <c r="F1116" s="1081">
        <v>0.95704085670330064</v>
      </c>
      <c r="G1116" s="1081">
        <v>0.98192477046872706</v>
      </c>
      <c r="H1116" s="1081">
        <v>1.0143624889419525</v>
      </c>
      <c r="I1116" s="1081">
        <v>1.0049752704760757</v>
      </c>
      <c r="K1116">
        <v>2.3555758256788071</v>
      </c>
      <c r="L1116">
        <v>0</v>
      </c>
      <c r="M1116">
        <v>1.7436655786826818E-3</v>
      </c>
      <c r="N1116">
        <v>0.15004411331159373</v>
      </c>
      <c r="O1116">
        <v>2.1129334131943071E-2</v>
      </c>
      <c r="P1116">
        <v>2.7340608050856054E-2</v>
      </c>
      <c r="Q1116">
        <v>5.4262340474176213E-3</v>
      </c>
      <c r="R1116">
        <v>1.7209754879743305E-3</v>
      </c>
      <c r="S1116">
        <v>0.26324522506507814</v>
      </c>
      <c r="T1116">
        <v>1.3123301070949398</v>
      </c>
      <c r="U1116">
        <v>0.21328149625626594</v>
      </c>
      <c r="V1116">
        <v>0.24291374253110407</v>
      </c>
      <c r="W1116">
        <v>9.9672047448427947E-2</v>
      </c>
      <c r="X1116">
        <v>1.5531679873036958E-2</v>
      </c>
      <c r="Y1116">
        <v>4.683927958848989E-3</v>
      </c>
    </row>
    <row r="1117" spans="1:25" x14ac:dyDescent="0.2">
      <c r="A1117" s="1077"/>
      <c r="B1117" s="1444">
        <v>867</v>
      </c>
      <c r="C1117" s="1081">
        <v>1.0048737165471047</v>
      </c>
      <c r="D1117" s="1081">
        <v>0.97597518882689638</v>
      </c>
      <c r="E1117" s="1081">
        <v>1.0051640463959437</v>
      </c>
      <c r="F1117" s="1081">
        <v>1.0173906701524924</v>
      </c>
      <c r="G1117" s="1081">
        <v>0.9876034885585826</v>
      </c>
      <c r="H1117" s="1081">
        <v>1.0292409088091212</v>
      </c>
      <c r="I1117" s="1081">
        <v>1.0333479195875419</v>
      </c>
      <c r="K1117">
        <v>2.4543657186974586</v>
      </c>
      <c r="L1117">
        <v>0</v>
      </c>
      <c r="M1117">
        <v>1.6726404886354305E-3</v>
      </c>
      <c r="N1117">
        <v>0.15467659093871658</v>
      </c>
      <c r="O1117">
        <v>2.0999271610681144E-2</v>
      </c>
      <c r="P1117">
        <v>2.9061075771193004E-2</v>
      </c>
      <c r="Q1117">
        <v>5.5236419811749322E-3</v>
      </c>
      <c r="R1117">
        <v>1.6511892791494039E-3</v>
      </c>
      <c r="S1117">
        <v>0.27183352792267951</v>
      </c>
      <c r="T1117">
        <v>1.3956060046578964</v>
      </c>
      <c r="U1117">
        <v>0.21096287073736</v>
      </c>
      <c r="V1117">
        <v>0.24309336299389711</v>
      </c>
      <c r="W1117">
        <v>0.10130124605260844</v>
      </c>
      <c r="X1117">
        <v>1.6835584337290418E-2</v>
      </c>
      <c r="Y1117">
        <v>4.4939929034450926E-3</v>
      </c>
    </row>
    <row r="1118" spans="1:25" x14ac:dyDescent="0.2">
      <c r="A1118" s="1077"/>
      <c r="B1118" s="1444">
        <v>868</v>
      </c>
      <c r="C1118" s="1081">
        <v>1.0363603514345945</v>
      </c>
      <c r="D1118" s="1081">
        <v>1.0282954106532181</v>
      </c>
      <c r="E1118" s="1081">
        <v>0.99130721182962256</v>
      </c>
      <c r="F1118" s="1081">
        <v>0.97514417859495428</v>
      </c>
      <c r="G1118" s="1081">
        <v>0.96406600062272074</v>
      </c>
      <c r="H1118" s="1081">
        <v>0.99960790496511209</v>
      </c>
      <c r="I1118" s="1081">
        <v>0.97229812333902599</v>
      </c>
      <c r="K1118">
        <v>2.3266705400158636</v>
      </c>
      <c r="L1118">
        <v>0</v>
      </c>
      <c r="M1118">
        <v>1.6025299777504237E-3</v>
      </c>
      <c r="N1118">
        <v>0.14206169355311715</v>
      </c>
      <c r="O1118">
        <v>2.0119873420366106E-2</v>
      </c>
      <c r="P1118">
        <v>2.7362719541993284E-2</v>
      </c>
      <c r="Q1118">
        <v>5.219050348272046E-3</v>
      </c>
      <c r="R1118">
        <v>1.5813686604647754E-3</v>
      </c>
      <c r="S1118">
        <v>0.23918200679800944</v>
      </c>
      <c r="T1118">
        <v>1.3373622201702506</v>
      </c>
      <c r="U1118">
        <v>0.20450771881615668</v>
      </c>
      <c r="V1118">
        <v>0.23723565848590147</v>
      </c>
      <c r="W1118">
        <v>9.3809955591968641E-2</v>
      </c>
      <c r="X1118">
        <v>1.5526840411362033E-2</v>
      </c>
      <c r="Y1118">
        <v>4.303964195746298E-3</v>
      </c>
    </row>
    <row r="1119" spans="1:25" x14ac:dyDescent="0.2">
      <c r="A1119" s="1077"/>
      <c r="B1119" s="1444">
        <v>869</v>
      </c>
      <c r="C1119" s="1081">
        <v>0.96988944041572722</v>
      </c>
      <c r="D1119" s="1081">
        <v>0.98852443031199577</v>
      </c>
      <c r="E1119" s="1081">
        <v>0.98847481013435845</v>
      </c>
      <c r="F1119" s="1081">
        <v>1.0064802431316906</v>
      </c>
      <c r="G1119" s="1081">
        <v>1.0054503588703505</v>
      </c>
      <c r="H1119" s="1081">
        <v>1.0224860781357963</v>
      </c>
      <c r="I1119" s="1081">
        <v>1.0182748418694458</v>
      </c>
      <c r="K1119">
        <v>2.4589954284695685</v>
      </c>
      <c r="L1119">
        <v>0</v>
      </c>
      <c r="M1119">
        <v>1.7772098771718708E-3</v>
      </c>
      <c r="N1119">
        <v>0.15625013836473764</v>
      </c>
      <c r="O1119">
        <v>2.1684212683627111E-2</v>
      </c>
      <c r="P1119">
        <v>2.8710903014150791E-2</v>
      </c>
      <c r="Q1119">
        <v>5.6087552138681714E-3</v>
      </c>
      <c r="R1119">
        <v>1.7542670183267395E-3</v>
      </c>
      <c r="S1119">
        <v>0.27501174641516368</v>
      </c>
      <c r="T1119">
        <v>1.3802765596430702</v>
      </c>
      <c r="U1119">
        <v>0.21851359158579001</v>
      </c>
      <c r="V1119">
        <v>0.24844040468459946</v>
      </c>
      <c r="W1119">
        <v>0.10335448316666833</v>
      </c>
      <c r="X1119">
        <v>1.6393040026819516E-2</v>
      </c>
      <c r="Y1119">
        <v>4.7745365299182146E-3</v>
      </c>
    </row>
    <row r="1120" spans="1:25" x14ac:dyDescent="0.2">
      <c r="A1120" s="1077"/>
      <c r="B1120" s="1444">
        <v>870</v>
      </c>
      <c r="C1120" s="1081">
        <v>1.0031964620308913</v>
      </c>
      <c r="D1120" s="1081">
        <v>0.98222687407793074</v>
      </c>
      <c r="E1120" s="1081">
        <v>0.96809167933980989</v>
      </c>
      <c r="F1120" s="1081">
        <v>0.95742915637586357</v>
      </c>
      <c r="G1120" s="1081">
        <v>1.0084607549197742</v>
      </c>
      <c r="H1120" s="1081">
        <v>0.9913748261707912</v>
      </c>
      <c r="I1120" s="1081">
        <v>1.004252641977694</v>
      </c>
      <c r="K1120">
        <v>2.3439465811342242</v>
      </c>
      <c r="L1120">
        <v>0</v>
      </c>
      <c r="M1120">
        <v>1.7400655206185314E-3</v>
      </c>
      <c r="N1120">
        <v>0.14377442226501802</v>
      </c>
      <c r="O1120">
        <v>2.098028389377184E-2</v>
      </c>
      <c r="P1120">
        <v>2.7052805993415537E-2</v>
      </c>
      <c r="Q1120">
        <v>5.3153036085009757E-3</v>
      </c>
      <c r="R1120">
        <v>1.7168972331490554E-3</v>
      </c>
      <c r="S1120">
        <v>0.26023400300171051</v>
      </c>
      <c r="T1120">
        <v>1.3125882210730198</v>
      </c>
      <c r="U1120">
        <v>0.21118953561928941</v>
      </c>
      <c r="V1120">
        <v>0.24689480619814605</v>
      </c>
      <c r="W1120">
        <v>9.6281557444565097E-2</v>
      </c>
      <c r="X1120">
        <v>1.4985982030647186E-2</v>
      </c>
      <c r="Y1120">
        <v>4.6728282936109311E-3</v>
      </c>
    </row>
    <row r="1121" spans="1:25" x14ac:dyDescent="0.2">
      <c r="A1121" s="1077"/>
      <c r="B1121" s="1444">
        <v>871</v>
      </c>
      <c r="C1121" s="1081">
        <v>1.0073017420154426</v>
      </c>
      <c r="D1121" s="1081">
        <v>1.0138011038328922</v>
      </c>
      <c r="E1121" s="1081">
        <v>1.0177315164385754</v>
      </c>
      <c r="F1121" s="1081">
        <v>1.0106388665700015</v>
      </c>
      <c r="G1121" s="1081">
        <v>0.96911909607976643</v>
      </c>
      <c r="H1121" s="1081">
        <v>1.0088720145135497</v>
      </c>
      <c r="I1121" s="1081">
        <v>1.0134012153881566</v>
      </c>
      <c r="K1121">
        <v>2.4231731906977321</v>
      </c>
      <c r="L1121">
        <v>0</v>
      </c>
      <c r="M1121">
        <v>1.5801524349693501E-3</v>
      </c>
      <c r="N1121">
        <v>0.15173400932389161</v>
      </c>
      <c r="O1121">
        <v>2.0782410073058488E-2</v>
      </c>
      <c r="P1121">
        <v>2.898165323729383E-2</v>
      </c>
      <c r="Q1121">
        <v>5.5356531581248194E-3</v>
      </c>
      <c r="R1121">
        <v>1.5594782152276697E-3</v>
      </c>
      <c r="S1121">
        <v>0.25931202567602074</v>
      </c>
      <c r="T1121">
        <v>1.3866195444687572</v>
      </c>
      <c r="U1121">
        <v>0.21049708294921848</v>
      </c>
      <c r="V1121">
        <v>0.23974479488255476</v>
      </c>
      <c r="W1121">
        <v>9.8641198239201824E-2</v>
      </c>
      <c r="X1121">
        <v>1.7101107289358659E-2</v>
      </c>
      <c r="Y1121">
        <v>4.2443856199942303E-3</v>
      </c>
    </row>
    <row r="1122" spans="1:25" x14ac:dyDescent="0.2">
      <c r="A1122" s="1077"/>
      <c r="B1122" s="1444">
        <v>872</v>
      </c>
      <c r="C1122" s="1081">
        <v>0.98353080890935307</v>
      </c>
      <c r="D1122" s="1081">
        <v>1.0110775329798063</v>
      </c>
      <c r="E1122" s="1081">
        <v>0.99327693809088791</v>
      </c>
      <c r="F1122" s="1081">
        <v>1.0115495320634775</v>
      </c>
      <c r="G1122" s="1081">
        <v>0.98404653109772267</v>
      </c>
      <c r="H1122" s="1081">
        <v>0.9668735124315212</v>
      </c>
      <c r="I1122" s="1081">
        <v>1.0245714234498571</v>
      </c>
      <c r="K1122">
        <v>2.4293863835202898</v>
      </c>
      <c r="L1122">
        <v>0</v>
      </c>
      <c r="M1122">
        <v>1.6327135855691826E-3</v>
      </c>
      <c r="N1122">
        <v>0.14553584346669765</v>
      </c>
      <c r="O1122">
        <v>2.1280824424667302E-2</v>
      </c>
      <c r="P1122">
        <v>2.8670944307252734E-2</v>
      </c>
      <c r="Q1122">
        <v>5.5311857431006939E-3</v>
      </c>
      <c r="R1122">
        <v>1.6104237655372728E-3</v>
      </c>
      <c r="S1122">
        <v>0.26494703657236585</v>
      </c>
      <c r="T1122">
        <v>1.3873333959816192</v>
      </c>
      <c r="U1122">
        <v>0.21549951887299751</v>
      </c>
      <c r="V1122">
        <v>0.24387505360207337</v>
      </c>
      <c r="W1122">
        <v>9.5990969189669095E-2</v>
      </c>
      <c r="X1122">
        <v>1.6360858566135346E-2</v>
      </c>
      <c r="Y1122">
        <v>4.3830426137408231E-3</v>
      </c>
    </row>
    <row r="1123" spans="1:25" x14ac:dyDescent="0.2">
      <c r="A1123" s="1077"/>
      <c r="B1123" s="1444">
        <v>873</v>
      </c>
      <c r="C1123" s="1081">
        <v>0.98561728339484844</v>
      </c>
      <c r="D1123" s="1081">
        <v>1.0125524046625745</v>
      </c>
      <c r="E1123" s="1081">
        <v>1.0060045162708948</v>
      </c>
      <c r="F1123" s="1081">
        <v>1.0139208704584515</v>
      </c>
      <c r="G1123" s="1081">
        <v>1.0200903804947503</v>
      </c>
      <c r="H1123" s="1081">
        <v>0.98964651816906457</v>
      </c>
      <c r="I1123" s="1081">
        <v>0.98990581675757472</v>
      </c>
      <c r="K1123">
        <v>2.4390237781694144</v>
      </c>
      <c r="L1123">
        <v>0</v>
      </c>
      <c r="M1123">
        <v>1.6236623592839861E-3</v>
      </c>
      <c r="N1123">
        <v>0.15045071105218699</v>
      </c>
      <c r="O1123">
        <v>2.123751203172115E-2</v>
      </c>
      <c r="P1123">
        <v>2.8964059890175989E-2</v>
      </c>
      <c r="Q1123">
        <v>5.5910155388341678E-3</v>
      </c>
      <c r="R1123">
        <v>1.6020061799036848E-3</v>
      </c>
      <c r="S1123">
        <v>0.25729727967376154</v>
      </c>
      <c r="T1123">
        <v>1.3908647572920381</v>
      </c>
      <c r="U1123">
        <v>0.21508746139226476</v>
      </c>
      <c r="V1123">
        <v>0.24985052438568792</v>
      </c>
      <c r="W1123">
        <v>9.848462857415459E-2</v>
      </c>
      <c r="X1123">
        <v>1.685735179746508E-2</v>
      </c>
      <c r="Y1123">
        <v>4.3601327205025553E-3</v>
      </c>
    </row>
    <row r="1124" spans="1:25" x14ac:dyDescent="0.2">
      <c r="A1124" s="1077"/>
      <c r="B1124" s="1444">
        <v>874</v>
      </c>
      <c r="C1124" s="1081">
        <v>1.0265062111031027</v>
      </c>
      <c r="D1124" s="1081">
        <v>1.0247688993600654</v>
      </c>
      <c r="E1124" s="1081">
        <v>0.99533872301245474</v>
      </c>
      <c r="F1124" s="1081">
        <v>0.98581339160986992</v>
      </c>
      <c r="G1124" s="1081">
        <v>1.012470093417343</v>
      </c>
      <c r="H1124" s="1081">
        <v>1.0354075652966948</v>
      </c>
      <c r="I1124" s="1081">
        <v>1.002925893917114</v>
      </c>
      <c r="K1124">
        <v>2.3788083688885528</v>
      </c>
      <c r="L1124">
        <v>0</v>
      </c>
      <c r="M1124">
        <v>1.663172162783432E-3</v>
      </c>
      <c r="N1124">
        <v>0.1493142488842869</v>
      </c>
      <c r="O1124">
        <v>2.0330965750166081E-2</v>
      </c>
      <c r="P1124">
        <v>2.7973778633396312E-2</v>
      </c>
      <c r="Q1124">
        <v>5.2953016449903134E-3</v>
      </c>
      <c r="R1124">
        <v>1.6419694176996651E-3</v>
      </c>
      <c r="S1124">
        <v>0.25250150775673935</v>
      </c>
      <c r="T1124">
        <v>1.352080361527835</v>
      </c>
      <c r="U1124">
        <v>0.20648433994430695</v>
      </c>
      <c r="V1124">
        <v>0.24606667329239656</v>
      </c>
      <c r="W1124">
        <v>9.8361937605445704E-2</v>
      </c>
      <c r="X1124">
        <v>1.5951557114170366E-2</v>
      </c>
      <c r="Y1124">
        <v>4.4688994799054142E-3</v>
      </c>
    </row>
    <row r="1125" spans="1:25" x14ac:dyDescent="0.2">
      <c r="A1125" s="1077"/>
      <c r="B1125" s="1444">
        <v>875</v>
      </c>
      <c r="C1125" s="1081">
        <v>1.0075979039806637</v>
      </c>
      <c r="D1125" s="1081">
        <v>1.0167984746985137</v>
      </c>
      <c r="E1125" s="1081">
        <v>0.98123951839258838</v>
      </c>
      <c r="F1125" s="1081">
        <v>0.97490464340472593</v>
      </c>
      <c r="G1125" s="1081">
        <v>1.0086392952188201</v>
      </c>
      <c r="H1125" s="1081">
        <v>1.0119650557471778</v>
      </c>
      <c r="I1125" s="1081">
        <v>0.95757995404465868</v>
      </c>
      <c r="K1125">
        <v>2.3562846993789544</v>
      </c>
      <c r="L1125">
        <v>0</v>
      </c>
      <c r="M1125">
        <v>1.7080079009704357E-3</v>
      </c>
      <c r="N1125">
        <v>0.1468955148499779</v>
      </c>
      <c r="O1125">
        <v>2.0738866045008807E-2</v>
      </c>
      <c r="P1125">
        <v>2.7424889023636406E-2</v>
      </c>
      <c r="Q1125">
        <v>5.3250375212762647E-3</v>
      </c>
      <c r="R1125">
        <v>1.6857291634089558E-3</v>
      </c>
      <c r="S1125">
        <v>0.24456329035997515</v>
      </c>
      <c r="T1125">
        <v>1.3368220238859012</v>
      </c>
      <c r="U1125">
        <v>0.21031142695948746</v>
      </c>
      <c r="V1125">
        <v>0.246604773523662</v>
      </c>
      <c r="W1125">
        <v>9.759049548047101E-2</v>
      </c>
      <c r="X1125">
        <v>1.5442661384790087E-2</v>
      </c>
      <c r="Y1125">
        <v>4.5879990823298068E-3</v>
      </c>
    </row>
    <row r="1126" spans="1:25" x14ac:dyDescent="0.2">
      <c r="A1126" s="1077"/>
      <c r="B1126" s="1444">
        <v>876</v>
      </c>
      <c r="C1126" s="1081">
        <v>1.0116350696089169</v>
      </c>
      <c r="D1126" s="1081">
        <v>1.0095325161943653</v>
      </c>
      <c r="E1126" s="1081">
        <v>0.96745497406257719</v>
      </c>
      <c r="F1126" s="1081">
        <v>1.0241553996571204</v>
      </c>
      <c r="G1126" s="1081">
        <v>0.97341282075487101</v>
      </c>
      <c r="H1126" s="1081">
        <v>1.0401718495445804</v>
      </c>
      <c r="I1126" s="1081">
        <v>0.97044616454935706</v>
      </c>
      <c r="K1126">
        <v>2.4260809350461781</v>
      </c>
      <c r="L1126">
        <v>0</v>
      </c>
      <c r="M1126">
        <v>1.8019623421092427E-3</v>
      </c>
      <c r="N1126">
        <v>0.14869596440528957</v>
      </c>
      <c r="O1126">
        <v>2.0679731627943659E-2</v>
      </c>
      <c r="P1126">
        <v>2.801007326318361E-2</v>
      </c>
      <c r="Q1126">
        <v>5.2357468558839326E-3</v>
      </c>
      <c r="R1126">
        <v>1.7790954663070868E-3</v>
      </c>
      <c r="S1126">
        <v>0.24993041541157679</v>
      </c>
      <c r="T1126">
        <v>1.4040526059932361</v>
      </c>
      <c r="U1126">
        <v>0.20942574684820298</v>
      </c>
      <c r="V1126">
        <v>0.24038795924628584</v>
      </c>
      <c r="W1126">
        <v>9.9616035407394679E-2</v>
      </c>
      <c r="X1126">
        <v>1.5227411482358535E-2</v>
      </c>
      <c r="Y1126">
        <v>4.8421113806250407E-3</v>
      </c>
    </row>
    <row r="1127" spans="1:25" x14ac:dyDescent="0.2">
      <c r="A1127" s="1077"/>
      <c r="B1127" s="1444">
        <v>877</v>
      </c>
      <c r="C1127" s="1081">
        <v>0.96325055028460416</v>
      </c>
      <c r="D1127" s="1081">
        <v>1.0135827667306647</v>
      </c>
      <c r="E1127" s="1081">
        <v>1.0113606243905944</v>
      </c>
      <c r="F1127" s="1081">
        <v>0.98380712338927734</v>
      </c>
      <c r="G1127" s="1081">
        <v>1.0125179152724311</v>
      </c>
      <c r="H1127" s="1081">
        <v>1.0028202529746426</v>
      </c>
      <c r="I1127" s="1081">
        <v>1.0199306870459637</v>
      </c>
      <c r="K1127">
        <v>2.4290660792248868</v>
      </c>
      <c r="L1127">
        <v>0</v>
      </c>
      <c r="M1127">
        <v>1.6644816802091978E-3</v>
      </c>
      <c r="N1127">
        <v>0.15677539864038975</v>
      </c>
      <c r="O1127">
        <v>2.1729470836104305E-2</v>
      </c>
      <c r="P1127">
        <v>2.8790451410649488E-2</v>
      </c>
      <c r="Q1127">
        <v>5.7512625335469723E-3</v>
      </c>
      <c r="R1127">
        <v>1.6425727010849146E-3</v>
      </c>
      <c r="S1127">
        <v>0.27234855975023697</v>
      </c>
      <c r="T1127">
        <v>1.3496698311036057</v>
      </c>
      <c r="U1127">
        <v>0.22010083708818598</v>
      </c>
      <c r="V1127">
        <v>0.25000852239410648</v>
      </c>
      <c r="W1127">
        <v>0.10230080054414654</v>
      </c>
      <c r="X1127">
        <v>1.7142312484631085E-2</v>
      </c>
      <c r="Y1127">
        <v>4.4705414184077492E-3</v>
      </c>
    </row>
    <row r="1128" spans="1:25" x14ac:dyDescent="0.2">
      <c r="A1128" s="1077"/>
      <c r="B1128" s="1444">
        <v>878</v>
      </c>
      <c r="C1128" s="1081">
        <v>0.98350387790783711</v>
      </c>
      <c r="D1128" s="1081">
        <v>1.038869501101229</v>
      </c>
      <c r="E1128" s="1081">
        <v>0.9966974926945612</v>
      </c>
      <c r="F1128" s="1081">
        <v>0.96974334813493956</v>
      </c>
      <c r="G1128" s="1081">
        <v>0.99141382510759601</v>
      </c>
      <c r="H1128" s="1081">
        <v>1.0070663247763707</v>
      </c>
      <c r="I1128" s="1081">
        <v>0.98310874027640605</v>
      </c>
      <c r="K1128">
        <v>2.3709259584484497</v>
      </c>
      <c r="L1128">
        <v>0</v>
      </c>
      <c r="M1128">
        <v>1.6785737855545776E-3</v>
      </c>
      <c r="N1128">
        <v>0.15126205281036012</v>
      </c>
      <c r="O1128">
        <v>2.115711532866215E-2</v>
      </c>
      <c r="P1128">
        <v>2.7836118318174317E-2</v>
      </c>
      <c r="Q1128">
        <v>5.5180244582122111E-3</v>
      </c>
      <c r="R1128">
        <v>1.6565724734961974E-3</v>
      </c>
      <c r="S1128">
        <v>0.25421932915834594</v>
      </c>
      <c r="T1128">
        <v>1.3300681646532777</v>
      </c>
      <c r="U1128">
        <v>0.21551729880254439</v>
      </c>
      <c r="V1128">
        <v>0.24512302769379724</v>
      </c>
      <c r="W1128">
        <v>9.9564376803160062E-2</v>
      </c>
      <c r="X1128">
        <v>1.6173807550082395E-2</v>
      </c>
      <c r="Y1128">
        <v>4.5086441838875259E-3</v>
      </c>
    </row>
    <row r="1129" spans="1:25" x14ac:dyDescent="0.2">
      <c r="A1129" s="1077"/>
      <c r="B1129" s="1444">
        <v>879</v>
      </c>
      <c r="C1129" s="1081">
        <v>1.0478729936192495</v>
      </c>
      <c r="D1129" s="1081">
        <v>1.0026442371987521</v>
      </c>
      <c r="E1129" s="1081">
        <v>1.0318538883308044</v>
      </c>
      <c r="F1129" s="1081">
        <v>1.0158810879840978</v>
      </c>
      <c r="G1129" s="1081">
        <v>0.99660863474863925</v>
      </c>
      <c r="H1129" s="1081">
        <v>1.0081500516690174</v>
      </c>
      <c r="I1129" s="1081">
        <v>0.99796313373295265</v>
      </c>
      <c r="K1129">
        <v>2.4047451936259372</v>
      </c>
      <c r="L1129">
        <v>0</v>
      </c>
      <c r="M1129">
        <v>1.4774945391858409E-3</v>
      </c>
      <c r="N1129">
        <v>0.14804779868735671</v>
      </c>
      <c r="O1129">
        <v>2.0035430970350408E-2</v>
      </c>
      <c r="P1129">
        <v>2.9130921660046886E-2</v>
      </c>
      <c r="Q1129">
        <v>5.4119399777518614E-3</v>
      </c>
      <c r="R1129">
        <v>1.45814961971883E-3</v>
      </c>
      <c r="S1129">
        <v>0.24688584057825014</v>
      </c>
      <c r="T1129">
        <v>1.3941237889027693</v>
      </c>
      <c r="U1129">
        <v>0.20239335748851389</v>
      </c>
      <c r="V1129">
        <v>0.24198824631986468</v>
      </c>
      <c r="W1129">
        <v>9.5455847862776097E-2</v>
      </c>
      <c r="X1129">
        <v>1.7322763511742147E-2</v>
      </c>
      <c r="Y1129">
        <v>3.9686025859817006E-3</v>
      </c>
    </row>
    <row r="1130" spans="1:25" x14ac:dyDescent="0.2">
      <c r="A1130" s="1077"/>
      <c r="B1130" s="1444">
        <v>880</v>
      </c>
      <c r="C1130" s="1081">
        <v>1.026358888776139</v>
      </c>
      <c r="D1130" s="1081">
        <v>0.99991313877823684</v>
      </c>
      <c r="E1130" s="1081">
        <v>0.98241568433522497</v>
      </c>
      <c r="F1130" s="1081">
        <v>0.97998800944110798</v>
      </c>
      <c r="G1130" s="1081">
        <v>0.97480837347729687</v>
      </c>
      <c r="H1130" s="1081">
        <v>0.98220161763474134</v>
      </c>
      <c r="I1130" s="1081">
        <v>0.99901639007195275</v>
      </c>
      <c r="K1130">
        <v>2.3469339790645369</v>
      </c>
      <c r="L1130">
        <v>0</v>
      </c>
      <c r="M1130">
        <v>1.6295078188725857E-3</v>
      </c>
      <c r="N1130">
        <v>0.14058741735151659</v>
      </c>
      <c r="O1130">
        <v>2.0435680539033559E-2</v>
      </c>
      <c r="P1130">
        <v>2.7473676824554476E-2</v>
      </c>
      <c r="Q1130">
        <v>5.2534599006246021E-3</v>
      </c>
      <c r="R1130">
        <v>1.6076089329100257E-3</v>
      </c>
      <c r="S1130">
        <v>0.25012884563731608</v>
      </c>
      <c r="T1130">
        <v>1.3438173424594624</v>
      </c>
      <c r="U1130">
        <v>0.20647101515923899</v>
      </c>
      <c r="V1130">
        <v>0.23968862447846984</v>
      </c>
      <c r="W1130">
        <v>9.3333478495732647E-2</v>
      </c>
      <c r="X1130">
        <v>1.5390955537308579E-2</v>
      </c>
      <c r="Y1130">
        <v>4.3753815672387822E-3</v>
      </c>
    </row>
    <row r="1131" spans="1:25" x14ac:dyDescent="0.2">
      <c r="A1131" s="1077"/>
      <c r="B1131" s="1444">
        <v>881</v>
      </c>
      <c r="C1131" s="1081">
        <v>0.99826020379832103</v>
      </c>
      <c r="D1131" s="1081">
        <v>0.95722380164562193</v>
      </c>
      <c r="E1131" s="1081">
        <v>0.99800897151884638</v>
      </c>
      <c r="F1131" s="1081">
        <v>1.0112811882475614</v>
      </c>
      <c r="G1131" s="1081">
        <v>1.0240662397274907</v>
      </c>
      <c r="H1131" s="1081">
        <v>0.95945131958266217</v>
      </c>
      <c r="I1131" s="1081">
        <v>0.99007623844924642</v>
      </c>
      <c r="K1131">
        <v>2.4239348915184586</v>
      </c>
      <c r="L1131">
        <v>0</v>
      </c>
      <c r="M1131">
        <v>1.5998420401318486E-3</v>
      </c>
      <c r="N1131">
        <v>0.14464433785771191</v>
      </c>
      <c r="O1131">
        <v>2.1223999686657277E-2</v>
      </c>
      <c r="P1131">
        <v>2.8721438627640788E-2</v>
      </c>
      <c r="Q1131">
        <v>5.5427814621458625E-3</v>
      </c>
      <c r="R1131">
        <v>1.577832023093213E-3</v>
      </c>
      <c r="S1131">
        <v>0.25873955486741951</v>
      </c>
      <c r="T1131">
        <v>1.3870687732177236</v>
      </c>
      <c r="U1131">
        <v>0.21233600157359636</v>
      </c>
      <c r="V1131">
        <v>0.24975704486954239</v>
      </c>
      <c r="W1131">
        <v>9.5134096748956093E-2</v>
      </c>
      <c r="X1131">
        <v>1.649453398943122E-2</v>
      </c>
      <c r="Y1131">
        <v>4.2943386346731014E-3</v>
      </c>
    </row>
    <row r="1132" spans="1:25" x14ac:dyDescent="0.2">
      <c r="A1132" s="1077"/>
      <c r="B1132" s="1444">
        <v>882</v>
      </c>
      <c r="C1132" s="1081">
        <v>1.0251998097838471</v>
      </c>
      <c r="D1132" s="1081">
        <v>0.98603394121278876</v>
      </c>
      <c r="E1132" s="1081">
        <v>0.99326184000057227</v>
      </c>
      <c r="F1132" s="1081">
        <v>1.0387932484977276</v>
      </c>
      <c r="G1132" s="1081">
        <v>0.98257065387574216</v>
      </c>
      <c r="H1132" s="1081">
        <v>0.97688754341985773</v>
      </c>
      <c r="I1132" s="1081">
        <v>1.0004676367549092</v>
      </c>
      <c r="K1132">
        <v>2.4352752577018015</v>
      </c>
      <c r="L1132">
        <v>0</v>
      </c>
      <c r="M1132">
        <v>1.5913815738370211E-3</v>
      </c>
      <c r="N1132">
        <v>0.14186526729399562</v>
      </c>
      <c r="O1132">
        <v>2.0528823660215054E-2</v>
      </c>
      <c r="P1132">
        <v>2.8847339510050238E-2</v>
      </c>
      <c r="Q1132">
        <v>5.3356488834243668E-3</v>
      </c>
      <c r="R1132">
        <v>1.569878726491415E-3</v>
      </c>
      <c r="S1132">
        <v>0.25219018079099265</v>
      </c>
      <c r="T1132">
        <v>1.4246976315227307</v>
      </c>
      <c r="U1132">
        <v>0.20674054222416441</v>
      </c>
      <c r="V1132">
        <v>0.24104485656318991</v>
      </c>
      <c r="W1132">
        <v>9.3570814092704693E-2</v>
      </c>
      <c r="X1132">
        <v>1.6202963624551807E-2</v>
      </c>
      <c r="Y1132">
        <v>4.2726923831265277E-3</v>
      </c>
    </row>
    <row r="1133" spans="1:25" x14ac:dyDescent="0.2">
      <c r="A1133" s="1077"/>
      <c r="B1133" s="1444">
        <v>883</v>
      </c>
      <c r="C1133" s="1081">
        <v>0.98496388127441814</v>
      </c>
      <c r="D1133" s="1081">
        <v>0.96841846706864321</v>
      </c>
      <c r="E1133" s="1081">
        <v>0.98993968560458412</v>
      </c>
      <c r="F1133" s="1081">
        <v>0.99080069122230829</v>
      </c>
      <c r="G1133" s="1081">
        <v>0.98323613464338355</v>
      </c>
      <c r="H1133" s="1081">
        <v>0.99610749274747712</v>
      </c>
      <c r="I1133" s="1081">
        <v>0.97594464340752174</v>
      </c>
      <c r="K1133">
        <v>2.4038417805873413</v>
      </c>
      <c r="L1133">
        <v>0</v>
      </c>
      <c r="M1133">
        <v>1.7074004103547888E-3</v>
      </c>
      <c r="N1133">
        <v>0.15072671010870131</v>
      </c>
      <c r="O1133">
        <v>2.1450085715057948E-2</v>
      </c>
      <c r="P1133">
        <v>2.8138533178321608E-2</v>
      </c>
      <c r="Q1133">
        <v>5.5564214497179978E-3</v>
      </c>
      <c r="R1133">
        <v>1.6847750558335619E-3</v>
      </c>
      <c r="S1133">
        <v>0.26000783065192956</v>
      </c>
      <c r="T1133">
        <v>1.35880510704892</v>
      </c>
      <c r="U1133">
        <v>0.21517441177091978</v>
      </c>
      <c r="V1133">
        <v>0.24365608685007745</v>
      </c>
      <c r="W1133">
        <v>9.9613402580066179E-2</v>
      </c>
      <c r="X1133">
        <v>1.615041427211749E-2</v>
      </c>
      <c r="Y1133">
        <v>4.5854023160310621E-3</v>
      </c>
    </row>
    <row r="1134" spans="1:25" x14ac:dyDescent="0.2">
      <c r="A1134" s="1077"/>
      <c r="B1134" s="1444">
        <v>884</v>
      </c>
      <c r="C1134" s="1081">
        <v>0.99172080961281006</v>
      </c>
      <c r="D1134" s="1081">
        <v>1.0407341677043576</v>
      </c>
      <c r="E1134" s="1081">
        <v>1.0230957045124518</v>
      </c>
      <c r="F1134" s="1081">
        <v>0.99825512232259217</v>
      </c>
      <c r="G1134" s="1081">
        <v>1.0050452956387639</v>
      </c>
      <c r="H1134" s="1081">
        <v>1.0072334124416886</v>
      </c>
      <c r="I1134" s="1081">
        <v>1.0277908304859502</v>
      </c>
      <c r="K1134">
        <v>2.4246138119877196</v>
      </c>
      <c r="L1134">
        <v>0</v>
      </c>
      <c r="M1134">
        <v>1.575471493902837E-3</v>
      </c>
      <c r="N1134">
        <v>0.15374922334402372</v>
      </c>
      <c r="O1134">
        <v>2.0991079557841436E-2</v>
      </c>
      <c r="P1134">
        <v>2.906507472884411E-2</v>
      </c>
      <c r="Q1134">
        <v>5.6211245047518427E-3</v>
      </c>
      <c r="R1134">
        <v>1.5548249842282727E-3</v>
      </c>
      <c r="S1134">
        <v>0.26357237549025792</v>
      </c>
      <c r="T1134">
        <v>1.3697450458929743</v>
      </c>
      <c r="U1134">
        <v>0.21382275077771776</v>
      </c>
      <c r="V1134">
        <v>0.24683146670533346</v>
      </c>
      <c r="W1134">
        <v>9.9638187046201476E-2</v>
      </c>
      <c r="X1134">
        <v>1.7366409390296125E-2</v>
      </c>
      <c r="Y1134">
        <v>4.2317210591510581E-3</v>
      </c>
    </row>
    <row r="1135" spans="1:25" x14ac:dyDescent="0.2">
      <c r="A1135" s="1077"/>
      <c r="B1135" s="1444">
        <v>885</v>
      </c>
      <c r="C1135" s="1081">
        <v>1.0133710386655663</v>
      </c>
      <c r="D1135" s="1081">
        <v>0.9904465087032277</v>
      </c>
      <c r="E1135" s="1081">
        <v>0.97880961736502603</v>
      </c>
      <c r="F1135" s="1081">
        <v>0.99912325065658036</v>
      </c>
      <c r="G1135" s="1081">
        <v>1.0257884038693801</v>
      </c>
      <c r="H1135" s="1081">
        <v>0.98144552027434295</v>
      </c>
      <c r="I1135" s="1081">
        <v>1.0031103324296575</v>
      </c>
      <c r="K1135">
        <v>2.3944276996604055</v>
      </c>
      <c r="L1135">
        <v>0</v>
      </c>
      <c r="M1135">
        <v>1.664946564871458E-3</v>
      </c>
      <c r="N1135">
        <v>0.14208475693031239</v>
      </c>
      <c r="O1135">
        <v>2.0738595211407671E-2</v>
      </c>
      <c r="P1135">
        <v>2.7985092156699937E-2</v>
      </c>
      <c r="Q1135">
        <v>5.3118330649843453E-3</v>
      </c>
      <c r="R1135">
        <v>1.6425541814916354E-3</v>
      </c>
      <c r="S1135">
        <v>0.25550020448987798</v>
      </c>
      <c r="T1135">
        <v>1.369979100163</v>
      </c>
      <c r="U1135">
        <v>0.20910512102341661</v>
      </c>
      <c r="V1135">
        <v>0.24919145336460155</v>
      </c>
      <c r="W1135">
        <v>9.4533050834524235E-2</v>
      </c>
      <c r="X1135">
        <v>1.5550393790777472E-2</v>
      </c>
      <c r="Y1135">
        <v>4.4704910141798249E-3</v>
      </c>
    </row>
    <row r="1136" spans="1:25" x14ac:dyDescent="0.2">
      <c r="A1136" s="1077"/>
      <c r="B1136" s="1444">
        <v>886</v>
      </c>
      <c r="C1136" s="1081">
        <v>0.99721819955055879</v>
      </c>
      <c r="D1136" s="1081">
        <v>0.98324546971406668</v>
      </c>
      <c r="E1136" s="1081">
        <v>0.98863885069595459</v>
      </c>
      <c r="F1136" s="1081">
        <v>0.99713592655680827</v>
      </c>
      <c r="G1136" s="1081">
        <v>0.98979481029879335</v>
      </c>
      <c r="H1136" s="1081">
        <v>1.0283725939054136</v>
      </c>
      <c r="I1136" s="1081">
        <v>0.99454241121518416</v>
      </c>
      <c r="K1136">
        <v>2.4162569076127438</v>
      </c>
      <c r="L1136">
        <v>0</v>
      </c>
      <c r="M1136">
        <v>1.7399145923362017E-3</v>
      </c>
      <c r="N1136">
        <v>0.15305853488791801</v>
      </c>
      <c r="O1136">
        <v>2.1114924981743274E-2</v>
      </c>
      <c r="P1136">
        <v>2.8229998813423716E-2</v>
      </c>
      <c r="Q1136">
        <v>5.4624117964197673E-3</v>
      </c>
      <c r="R1136">
        <v>1.717581767754051E-3</v>
      </c>
      <c r="S1136">
        <v>0.26244471810066561</v>
      </c>
      <c r="T1136">
        <v>1.367465390361714</v>
      </c>
      <c r="U1136">
        <v>0.21252578911097408</v>
      </c>
      <c r="V1136">
        <v>0.24400277707525583</v>
      </c>
      <c r="W1136">
        <v>0.10123337917061408</v>
      </c>
      <c r="X1136">
        <v>1.606662476744445E-2</v>
      </c>
      <c r="Y1136">
        <v>4.6746913711489552E-3</v>
      </c>
    </row>
    <row r="1137" spans="1:25" x14ac:dyDescent="0.2">
      <c r="A1137" s="1077"/>
      <c r="B1137" s="1444">
        <v>887</v>
      </c>
      <c r="C1137" s="1081">
        <v>1.0444385132538805</v>
      </c>
      <c r="D1137" s="1081">
        <v>0.99501166466057434</v>
      </c>
      <c r="E1137" s="1081">
        <v>1.013781963792981</v>
      </c>
      <c r="F1137" s="1081">
        <v>1.0203024695607055</v>
      </c>
      <c r="G1137" s="1081">
        <v>1.0013726746492828</v>
      </c>
      <c r="H1137" s="1081">
        <v>0.99321535592674326</v>
      </c>
      <c r="I1137" s="1081">
        <v>1.0185829005001892</v>
      </c>
      <c r="K1137">
        <v>2.411405983129201</v>
      </c>
      <c r="L1137">
        <v>0</v>
      </c>
      <c r="M1137">
        <v>1.5189275442998699E-3</v>
      </c>
      <c r="N1137">
        <v>0.14409669886559814</v>
      </c>
      <c r="O1137">
        <v>2.0123599994463157E-2</v>
      </c>
      <c r="P1137">
        <v>2.8926214325332853E-2</v>
      </c>
      <c r="Q1137">
        <v>5.3391168126222712E-3</v>
      </c>
      <c r="R1137">
        <v>1.4987410989380843E-3</v>
      </c>
      <c r="S1137">
        <v>0.25239751780295078</v>
      </c>
      <c r="T1137">
        <v>1.3997908000410679</v>
      </c>
      <c r="U1137">
        <v>0.2029995471237524</v>
      </c>
      <c r="V1137">
        <v>0.24306110399706518</v>
      </c>
      <c r="W1137">
        <v>9.389367038835629E-2</v>
      </c>
      <c r="X1137">
        <v>1.6718821011915085E-2</v>
      </c>
      <c r="Y1137">
        <v>4.079079211438982E-3</v>
      </c>
    </row>
    <row r="1138" spans="1:25" x14ac:dyDescent="0.2">
      <c r="A1138" s="1077"/>
      <c r="B1138" s="1444">
        <v>888</v>
      </c>
      <c r="C1138" s="1081">
        <v>1.0127606313088298</v>
      </c>
      <c r="D1138" s="1081">
        <v>0.99932938177791897</v>
      </c>
      <c r="E1138" s="1081">
        <v>1.0120503743424949</v>
      </c>
      <c r="F1138" s="1081">
        <v>0.98466156136423422</v>
      </c>
      <c r="G1138" s="1081">
        <v>1.0001193142915692</v>
      </c>
      <c r="H1138" s="1081">
        <v>0.98282962297267817</v>
      </c>
      <c r="I1138" s="1081">
        <v>1.0407975400397107</v>
      </c>
      <c r="K1138">
        <v>2.387267835921798</v>
      </c>
      <c r="L1138">
        <v>0</v>
      </c>
      <c r="M1138">
        <v>1.554165453433854E-3</v>
      </c>
      <c r="N1138">
        <v>0.14665016225368036</v>
      </c>
      <c r="O1138">
        <v>2.0732143967200172E-2</v>
      </c>
      <c r="P1138">
        <v>2.8492037934006946E-2</v>
      </c>
      <c r="Q1138">
        <v>5.4910756003653119E-3</v>
      </c>
      <c r="R1138">
        <v>1.5332924362033756E-3</v>
      </c>
      <c r="S1138">
        <v>0.26446877032928628</v>
      </c>
      <c r="T1138">
        <v>1.3508567448418813</v>
      </c>
      <c r="U1138">
        <v>0.20934326224331795</v>
      </c>
      <c r="V1138">
        <v>0.24472227173567609</v>
      </c>
      <c r="W1138">
        <v>9.5654909088832826E-2</v>
      </c>
      <c r="X1138">
        <v>1.6704214383150586E-2</v>
      </c>
      <c r="Y1138">
        <v>4.1731165616298348E-3</v>
      </c>
    </row>
    <row r="1139" spans="1:25" x14ac:dyDescent="0.2">
      <c r="A1139" s="1077"/>
      <c r="B1139" s="1444">
        <v>889</v>
      </c>
      <c r="C1139" s="1081">
        <v>0.96798299721692327</v>
      </c>
      <c r="D1139" s="1081">
        <v>0.95433481235724671</v>
      </c>
      <c r="E1139" s="1081">
        <v>1.0125010269628254</v>
      </c>
      <c r="F1139" s="1081">
        <v>0.98180695356977665</v>
      </c>
      <c r="G1139" s="1081">
        <v>1.0175181278297223</v>
      </c>
      <c r="H1139" s="1081">
        <v>1.0333900772238411</v>
      </c>
      <c r="I1139" s="1081">
        <v>0.99973588860721507</v>
      </c>
      <c r="K1139">
        <v>2.4410545941010207</v>
      </c>
      <c r="L1139">
        <v>0</v>
      </c>
      <c r="M1139">
        <v>1.7255095837847153E-3</v>
      </c>
      <c r="N1139">
        <v>0.16314831979479416</v>
      </c>
      <c r="O1139">
        <v>2.1912464859651207E-2</v>
      </c>
      <c r="P1139">
        <v>2.8827536616186835E-2</v>
      </c>
      <c r="Q1139">
        <v>5.8063049230864363E-3</v>
      </c>
      <c r="R1139">
        <v>1.7034691921545392E-3</v>
      </c>
      <c r="S1139">
        <v>0.27654136387707118</v>
      </c>
      <c r="T1139">
        <v>1.3469501025578152</v>
      </c>
      <c r="U1139">
        <v>0.21902880359681881</v>
      </c>
      <c r="V1139">
        <v>0.25054131318524436</v>
      </c>
      <c r="W1139">
        <v>0.10638787115515559</v>
      </c>
      <c r="X1139">
        <v>1.7296272334250986E-2</v>
      </c>
      <c r="Y1139">
        <v>4.6362815925763811E-3</v>
      </c>
    </row>
    <row r="1140" spans="1:25" x14ac:dyDescent="0.2">
      <c r="A1140" s="1077"/>
      <c r="B1140" s="1444">
        <v>890</v>
      </c>
      <c r="C1140" s="1081">
        <v>0.9698140249064392</v>
      </c>
      <c r="D1140" s="1081">
        <v>1.0193204135739287</v>
      </c>
      <c r="E1140" s="1081">
        <v>1.0160504273515858</v>
      </c>
      <c r="F1140" s="1081">
        <v>0.9999089841455514</v>
      </c>
      <c r="G1140" s="1081">
        <v>0.96410523247182034</v>
      </c>
      <c r="H1140" s="1081">
        <v>0.97380100393472102</v>
      </c>
      <c r="I1140" s="1081">
        <v>0.97609148509009003</v>
      </c>
      <c r="K1140">
        <v>2.4153519889555426</v>
      </c>
      <c r="L1140">
        <v>0</v>
      </c>
      <c r="M1140">
        <v>1.5878294525003124E-3</v>
      </c>
      <c r="N1140">
        <v>0.15162729231566049</v>
      </c>
      <c r="O1140">
        <v>2.1558827927299653E-2</v>
      </c>
      <c r="P1140">
        <v>2.8826042171778012E-2</v>
      </c>
      <c r="Q1140">
        <v>5.7328562404388396E-3</v>
      </c>
      <c r="R1140">
        <v>1.5663065987895997E-3</v>
      </c>
      <c r="S1140">
        <v>0.25571401991631609</v>
      </c>
      <c r="T1140">
        <v>1.3718614243639076</v>
      </c>
      <c r="U1140">
        <v>0.21862781075682075</v>
      </c>
      <c r="V1140">
        <v>0.24128958063694697</v>
      </c>
      <c r="W1140">
        <v>9.8669055550337531E-2</v>
      </c>
      <c r="X1140">
        <v>1.7203631700676375E-2</v>
      </c>
      <c r="Y1140">
        <v>4.2629702290737665E-3</v>
      </c>
    </row>
    <row r="1141" spans="1:25" x14ac:dyDescent="0.2">
      <c r="A1141" s="1077"/>
      <c r="B1141" s="1444">
        <v>891</v>
      </c>
      <c r="C1141" s="1081">
        <v>1.0160252162705532</v>
      </c>
      <c r="D1141" s="1081">
        <v>1.0273041227732678</v>
      </c>
      <c r="E1141" s="1081">
        <v>0.97622570776387829</v>
      </c>
      <c r="F1141" s="1081">
        <v>1.0064892403517904</v>
      </c>
      <c r="G1141" s="1081">
        <v>0.97408036067473569</v>
      </c>
      <c r="H1141" s="1081">
        <v>0.99402978846218271</v>
      </c>
      <c r="I1141" s="1081">
        <v>1.0050694667845153</v>
      </c>
      <c r="K1141">
        <v>2.3907302897464593</v>
      </c>
      <c r="L1141">
        <v>0</v>
      </c>
      <c r="M1141">
        <v>1.6773590785314266E-3</v>
      </c>
      <c r="N1141">
        <v>0.14205359580341678</v>
      </c>
      <c r="O1141">
        <v>2.0517147916063957E-2</v>
      </c>
      <c r="P1141">
        <v>2.7886338519718799E-2</v>
      </c>
      <c r="Q1141">
        <v>5.2413108368447323E-3</v>
      </c>
      <c r="R1141">
        <v>1.6550853530516376E-3</v>
      </c>
      <c r="S1141">
        <v>0.25172674172253257</v>
      </c>
      <c r="T1141">
        <v>1.3800232206963252</v>
      </c>
      <c r="U1141">
        <v>0.20855021105300603</v>
      </c>
      <c r="V1141">
        <v>0.24020432887287735</v>
      </c>
      <c r="W1141">
        <v>9.4660185007368836E-2</v>
      </c>
      <c r="X1141">
        <v>1.5384886311519902E-2</v>
      </c>
      <c r="Y1141">
        <v>4.504596732266556E-3</v>
      </c>
    </row>
    <row r="1142" spans="1:25" x14ac:dyDescent="0.2">
      <c r="A1142" s="1077"/>
      <c r="B1142" s="1444">
        <v>892</v>
      </c>
      <c r="C1142" s="1081">
        <v>1.0300928308613957</v>
      </c>
      <c r="D1142" s="1081">
        <v>0.98845541544985382</v>
      </c>
      <c r="E1142" s="1081">
        <v>1.0099242490331937</v>
      </c>
      <c r="F1142" s="1081">
        <v>0.97229599751518703</v>
      </c>
      <c r="G1142" s="1081">
        <v>0.96127799074696962</v>
      </c>
      <c r="H1142" s="1081">
        <v>1.0127323192340729</v>
      </c>
      <c r="I1142" s="1081">
        <v>1.0022283507565086</v>
      </c>
      <c r="K1142">
        <v>2.3511194682927536</v>
      </c>
      <c r="L1142">
        <v>0</v>
      </c>
      <c r="M1142">
        <v>1.5852875863698996E-3</v>
      </c>
      <c r="N1142">
        <v>0.14868955211358825</v>
      </c>
      <c r="O1142">
        <v>2.0431053765035973E-2</v>
      </c>
      <c r="P1142">
        <v>2.7918989345921245E-2</v>
      </c>
      <c r="Q1142">
        <v>5.3998468864225177E-3</v>
      </c>
      <c r="R1142">
        <v>1.5646252414278463E-3</v>
      </c>
      <c r="S1142">
        <v>0.25423054810229151</v>
      </c>
      <c r="T1142">
        <v>1.333847625298517</v>
      </c>
      <c r="U1142">
        <v>0.20581381420050424</v>
      </c>
      <c r="V1142">
        <v>0.23706192741587967</v>
      </c>
      <c r="W1142">
        <v>9.7106708006657258E-2</v>
      </c>
      <c r="X1142">
        <v>1.6381671374283511E-2</v>
      </c>
      <c r="Y1142">
        <v>4.2583941285943786E-3</v>
      </c>
    </row>
    <row r="1143" spans="1:25" x14ac:dyDescent="0.2">
      <c r="A1143" s="1077"/>
      <c r="B1143" s="1444">
        <v>893</v>
      </c>
      <c r="C1143" s="1081">
        <v>0.99591245466259815</v>
      </c>
      <c r="D1143" s="1081">
        <v>1.0182947275845575</v>
      </c>
      <c r="E1143" s="1081">
        <v>0.96470487209358236</v>
      </c>
      <c r="F1143" s="1081">
        <v>1.0185692231778551</v>
      </c>
      <c r="G1143" s="1081">
        <v>0.9890464528197751</v>
      </c>
      <c r="H1143" s="1081">
        <v>0.99765228122552962</v>
      </c>
      <c r="I1143" s="1081">
        <v>1.0315220445617381</v>
      </c>
      <c r="K1143">
        <v>2.4332710459024773</v>
      </c>
      <c r="L1143">
        <v>0</v>
      </c>
      <c r="M1143">
        <v>1.7622233711185238E-3</v>
      </c>
      <c r="N1143">
        <v>0.14413154606356565</v>
      </c>
      <c r="O1143">
        <v>2.0964490299998802E-2</v>
      </c>
      <c r="P1143">
        <v>2.8140327629191109E-2</v>
      </c>
      <c r="Q1143">
        <v>5.292911770847882E-3</v>
      </c>
      <c r="R1143">
        <v>1.7389076970777968E-3</v>
      </c>
      <c r="S1143">
        <v>0.26495075259793743</v>
      </c>
      <c r="T1143">
        <v>1.3963341557238791</v>
      </c>
      <c r="U1143">
        <v>0.21272259490265952</v>
      </c>
      <c r="V1143">
        <v>0.24404342132420315</v>
      </c>
      <c r="W1143">
        <v>9.6720449886073104E-2</v>
      </c>
      <c r="X1143">
        <v>1.5260977857481839E-2</v>
      </c>
      <c r="Y1143">
        <v>4.7327335206774814E-3</v>
      </c>
    </row>
    <row r="1144" spans="1:25" x14ac:dyDescent="0.2">
      <c r="A1144" s="1077"/>
      <c r="B1144" s="1444">
        <v>894</v>
      </c>
      <c r="C1144" s="1081">
        <v>1.0102185973902671</v>
      </c>
      <c r="D1144" s="1081">
        <v>0.98724175044354956</v>
      </c>
      <c r="E1144" s="1081">
        <v>1.0039497190297042</v>
      </c>
      <c r="F1144" s="1081">
        <v>0.97053586114732882</v>
      </c>
      <c r="G1144" s="1081">
        <v>1.0013472996141939</v>
      </c>
      <c r="H1144" s="1081">
        <v>0.99907058339053245</v>
      </c>
      <c r="I1144" s="1081">
        <v>1.0196999136010951</v>
      </c>
      <c r="K1144">
        <v>2.3702041642274136</v>
      </c>
      <c r="L1144">
        <v>0</v>
      </c>
      <c r="M1144">
        <v>1.615012668390557E-3</v>
      </c>
      <c r="N1144">
        <v>0.1487423785947794</v>
      </c>
      <c r="O1144">
        <v>2.0834689314174901E-2</v>
      </c>
      <c r="P1144">
        <v>2.8042032603440875E-2</v>
      </c>
      <c r="Q1144">
        <v>5.4736817973722665E-3</v>
      </c>
      <c r="R1144">
        <v>1.593675048223524E-3</v>
      </c>
      <c r="S1144">
        <v>0.26268724324962101</v>
      </c>
      <c r="T1144">
        <v>1.3313073909086932</v>
      </c>
      <c r="U1144">
        <v>0.20984259319472823</v>
      </c>
      <c r="V1144">
        <v>0.24511587999788156</v>
      </c>
      <c r="W1144">
        <v>9.7484874299845398E-2</v>
      </c>
      <c r="X1144">
        <v>1.6357279760617703E-2</v>
      </c>
      <c r="Y1144">
        <v>4.337458126425978E-3</v>
      </c>
    </row>
    <row r="1145" spans="1:25" x14ac:dyDescent="0.2">
      <c r="A1145" s="1077"/>
      <c r="B1145" s="1444">
        <v>895</v>
      </c>
      <c r="C1145" s="1081">
        <v>1.0159876523459352</v>
      </c>
      <c r="D1145" s="1081">
        <v>1.0014813298846976</v>
      </c>
      <c r="E1145" s="1081">
        <v>1.017507341906335</v>
      </c>
      <c r="F1145" s="1081">
        <v>0.99370778806486781</v>
      </c>
      <c r="G1145" s="1081">
        <v>1.0012407929078375</v>
      </c>
      <c r="H1145" s="1081">
        <v>0.98587863093648531</v>
      </c>
      <c r="I1145" s="1081">
        <v>0.99828630942401086</v>
      </c>
      <c r="K1145">
        <v>2.3885487875852607</v>
      </c>
      <c r="L1145">
        <v>0</v>
      </c>
      <c r="M1145">
        <v>1.5357771174127008E-3</v>
      </c>
      <c r="N1145">
        <v>0.14732758881087474</v>
      </c>
      <c r="O1145">
        <v>2.0660087573929641E-2</v>
      </c>
      <c r="P1145">
        <v>2.8610417122223113E-2</v>
      </c>
      <c r="Q1145">
        <v>5.5018431448371798E-3</v>
      </c>
      <c r="R1145">
        <v>1.515214852146005E-3</v>
      </c>
      <c r="S1145">
        <v>0.25288635586336805</v>
      </c>
      <c r="T1145">
        <v>1.3633848843657808</v>
      </c>
      <c r="U1145">
        <v>0.20869673908455835</v>
      </c>
      <c r="V1145">
        <v>0.24469863260999467</v>
      </c>
      <c r="W1145">
        <v>9.5789201516069608E-2</v>
      </c>
      <c r="X1145">
        <v>1.688968442178964E-2</v>
      </c>
      <c r="Y1145">
        <v>4.1239153370996578E-3</v>
      </c>
    </row>
    <row r="1146" spans="1:25" x14ac:dyDescent="0.2">
      <c r="A1146" s="1077"/>
      <c r="B1146" s="1444">
        <v>896</v>
      </c>
      <c r="C1146" s="1081">
        <v>1.0135379461825875</v>
      </c>
      <c r="D1146" s="1081">
        <v>0.98387395220481166</v>
      </c>
      <c r="E1146" s="1081">
        <v>0.99570347137349158</v>
      </c>
      <c r="F1146" s="1081">
        <v>0.97756371376563145</v>
      </c>
      <c r="G1146" s="1081">
        <v>0.97718108463340481</v>
      </c>
      <c r="H1146" s="1081">
        <v>1.0153455803338807</v>
      </c>
      <c r="I1146" s="1081">
        <v>0.96741304186988375</v>
      </c>
      <c r="K1146">
        <v>2.3634150612749143</v>
      </c>
      <c r="L1146">
        <v>0</v>
      </c>
      <c r="M1146">
        <v>1.6654208247973072E-3</v>
      </c>
      <c r="N1146">
        <v>0.14964284554463333</v>
      </c>
      <c r="O1146">
        <v>2.0776654044785334E-2</v>
      </c>
      <c r="P1146">
        <v>2.7759369588664928E-2</v>
      </c>
      <c r="Q1146">
        <v>5.4133726976653158E-3</v>
      </c>
      <c r="R1146">
        <v>1.6437699062312276E-3</v>
      </c>
      <c r="S1146">
        <v>0.25008953873414724</v>
      </c>
      <c r="T1146">
        <v>1.3407733211539987</v>
      </c>
      <c r="U1146">
        <v>0.20912754590193497</v>
      </c>
      <c r="V1146">
        <v>0.2408159218531162</v>
      </c>
      <c r="W1146">
        <v>9.8556959379845294E-2</v>
      </c>
      <c r="X1146">
        <v>1.6007383478531406E-2</v>
      </c>
      <c r="Y1146">
        <v>4.4737998161574434E-3</v>
      </c>
    </row>
    <row r="1147" spans="1:25" x14ac:dyDescent="0.2">
      <c r="A1147" s="1077"/>
      <c r="B1147" s="1444">
        <v>897</v>
      </c>
      <c r="C1147" s="1081">
        <v>0.9959770221162022</v>
      </c>
      <c r="D1147" s="1081">
        <v>1.0423420442053528</v>
      </c>
      <c r="E1147" s="1081">
        <v>0.99740447546683741</v>
      </c>
      <c r="F1147" s="1081">
        <v>1.0349280899731739</v>
      </c>
      <c r="G1147" s="1081">
        <v>0.9811084122309397</v>
      </c>
      <c r="H1147" s="1081">
        <v>1.001063791620963</v>
      </c>
      <c r="I1147" s="1081">
        <v>0.9616917569299348</v>
      </c>
      <c r="K1147">
        <v>2.441734846285144</v>
      </c>
      <c r="L1147">
        <v>0</v>
      </c>
      <c r="M1147">
        <v>1.6440515692165032E-3</v>
      </c>
      <c r="N1147">
        <v>0.14845616372035844</v>
      </c>
      <c r="O1147">
        <v>2.0877287918137904E-2</v>
      </c>
      <c r="P1147">
        <v>2.8867199394387505E-2</v>
      </c>
      <c r="Q1147">
        <v>5.4489193709139037E-3</v>
      </c>
      <c r="R1147">
        <v>1.6223735348158662E-3</v>
      </c>
      <c r="S1147">
        <v>0.24467846757277695</v>
      </c>
      <c r="T1147">
        <v>1.4194892336934255</v>
      </c>
      <c r="U1147">
        <v>0.21282068755951344</v>
      </c>
      <c r="V1147">
        <v>0.24256606978365411</v>
      </c>
      <c r="W1147">
        <v>9.7676324932081698E-2</v>
      </c>
      <c r="X1147">
        <v>1.6460604427816383E-2</v>
      </c>
      <c r="Y1147">
        <v>4.4155659464767691E-3</v>
      </c>
    </row>
    <row r="1148" spans="1:25" x14ac:dyDescent="0.2">
      <c r="A1148" s="1077"/>
      <c r="B1148" s="1444">
        <v>898</v>
      </c>
      <c r="C1148" s="1081">
        <v>1.0248050726747726</v>
      </c>
      <c r="D1148" s="1081">
        <v>1.0082399201260037</v>
      </c>
      <c r="E1148" s="1081">
        <v>0.97974732216901494</v>
      </c>
      <c r="F1148" s="1081">
        <v>1.0074295631099337</v>
      </c>
      <c r="G1148" s="1081">
        <v>0.99740407759576377</v>
      </c>
      <c r="H1148" s="1081">
        <v>0.98483278778226857</v>
      </c>
      <c r="I1148" s="1081">
        <v>0.97827455077643533</v>
      </c>
      <c r="K1148">
        <v>2.3837520204903884</v>
      </c>
      <c r="L1148">
        <v>0</v>
      </c>
      <c r="M1148">
        <v>1.642406313273488E-3</v>
      </c>
      <c r="N1148">
        <v>0.14056603443862345</v>
      </c>
      <c r="O1148">
        <v>2.0427638863338565E-2</v>
      </c>
      <c r="P1148">
        <v>2.7904501045571239E-2</v>
      </c>
      <c r="Q1148">
        <v>5.2371780466149891E-3</v>
      </c>
      <c r="R1148">
        <v>1.6203930551974162E-3</v>
      </c>
      <c r="S1148">
        <v>0.24448054924087415</v>
      </c>
      <c r="T1148">
        <v>1.3813889045750474</v>
      </c>
      <c r="U1148">
        <v>0.20677519456370896</v>
      </c>
      <c r="V1148">
        <v>0.24365115953699373</v>
      </c>
      <c r="W1148">
        <v>9.346963279950736E-2</v>
      </c>
      <c r="X1148">
        <v>1.5463064904362571E-2</v>
      </c>
      <c r="Y1148">
        <v>4.4101757338202803E-3</v>
      </c>
    </row>
    <row r="1149" spans="1:25" x14ac:dyDescent="0.2">
      <c r="A1149" s="1077"/>
      <c r="B1149" s="1444">
        <v>899</v>
      </c>
      <c r="C1149" s="1081">
        <v>1.0340043163847643</v>
      </c>
      <c r="D1149" s="1081">
        <v>0.99221270074917178</v>
      </c>
      <c r="E1149" s="1081">
        <v>1.0048921616799391</v>
      </c>
      <c r="F1149" s="1081">
        <v>0.99902177937380543</v>
      </c>
      <c r="G1149" s="1081">
        <v>1.0100137643945446</v>
      </c>
      <c r="H1149" s="1081">
        <v>1.0289076206802574</v>
      </c>
      <c r="I1149" s="1081">
        <v>0.96589990922820368</v>
      </c>
      <c r="K1149">
        <v>2.3878470031304913</v>
      </c>
      <c r="L1149">
        <v>0</v>
      </c>
      <c r="M1149">
        <v>1.6200174193240176E-3</v>
      </c>
      <c r="N1149">
        <v>0.14968670746033907</v>
      </c>
      <c r="O1149">
        <v>2.0333545342969543E-2</v>
      </c>
      <c r="P1149">
        <v>2.8287773913402346E-2</v>
      </c>
      <c r="Q1149">
        <v>5.3470720903656729E-3</v>
      </c>
      <c r="R1149">
        <v>1.5992343580095295E-3</v>
      </c>
      <c r="S1149">
        <v>0.24487395379085683</v>
      </c>
      <c r="T1149">
        <v>1.3704025917993137</v>
      </c>
      <c r="U1149">
        <v>0.20501859665290395</v>
      </c>
      <c r="V1149">
        <v>0.24517141259862324</v>
      </c>
      <c r="W1149">
        <v>9.8049037014389995E-2</v>
      </c>
      <c r="X1149">
        <v>1.6344506793603983E-2</v>
      </c>
      <c r="Y1149">
        <v>4.3525887350375075E-3</v>
      </c>
    </row>
    <row r="1150" spans="1:25" x14ac:dyDescent="0.2">
      <c r="A1150" s="1077"/>
      <c r="B1150" s="1444">
        <v>900</v>
      </c>
      <c r="C1150" s="1081">
        <v>0.99928179889522795</v>
      </c>
      <c r="D1150" s="1081">
        <v>1.0022257317865697</v>
      </c>
      <c r="E1150" s="1081">
        <v>1.0145628199893149</v>
      </c>
      <c r="F1150" s="1081">
        <v>1.0190318466698005</v>
      </c>
      <c r="G1150" s="1081">
        <v>0.95299849991059982</v>
      </c>
      <c r="H1150" s="1081">
        <v>0.99663456943159501</v>
      </c>
      <c r="I1150" s="1081">
        <v>0.99444526497088337</v>
      </c>
      <c r="K1150">
        <v>2.4309380018774065</v>
      </c>
      <c r="L1150">
        <v>0</v>
      </c>
      <c r="M1150">
        <v>1.58792242480093E-3</v>
      </c>
      <c r="N1150">
        <v>0.15100447485217586</v>
      </c>
      <c r="O1150">
        <v>2.1000087163882818E-2</v>
      </c>
      <c r="P1150">
        <v>2.9031303267207244E-2</v>
      </c>
      <c r="Q1150">
        <v>5.576003833605664E-3</v>
      </c>
      <c r="R1150">
        <v>1.5668914427273701E-3</v>
      </c>
      <c r="S1150">
        <v>0.25691591293202437</v>
      </c>
      <c r="T1150">
        <v>1.3980648436887004</v>
      </c>
      <c r="U1150">
        <v>0.21217560491242926</v>
      </c>
      <c r="V1150">
        <v>0.23750094624122789</v>
      </c>
      <c r="W1150">
        <v>9.8349642641720081E-2</v>
      </c>
      <c r="X1150">
        <v>1.7075651345028274E-2</v>
      </c>
      <c r="Y1150">
        <v>4.2645619814786258E-3</v>
      </c>
    </row>
    <row r="1151" spans="1:25" x14ac:dyDescent="0.2">
      <c r="A1151" s="1077"/>
      <c r="B1151" s="1444">
        <v>901</v>
      </c>
      <c r="C1151" s="1081">
        <v>0.99019108706447168</v>
      </c>
      <c r="D1151" s="1081">
        <v>0.97961200962321338</v>
      </c>
      <c r="E1151" s="1081">
        <v>0.98842618500571255</v>
      </c>
      <c r="F1151" s="1081">
        <v>1.0410963439060259</v>
      </c>
      <c r="G1151" s="1081">
        <v>1.0129364340758265</v>
      </c>
      <c r="H1151" s="1081">
        <v>0.9994009891209199</v>
      </c>
      <c r="I1151" s="1081">
        <v>1.0096828419821047</v>
      </c>
      <c r="K1151">
        <v>2.4823692775316011</v>
      </c>
      <c r="L1151">
        <v>0</v>
      </c>
      <c r="M1151">
        <v>1.7050352441133751E-3</v>
      </c>
      <c r="N1151">
        <v>0.14983731419941893</v>
      </c>
      <c r="O1151">
        <v>2.1281955803607353E-2</v>
      </c>
      <c r="P1151">
        <v>2.9173062551183217E-2</v>
      </c>
      <c r="Q1151">
        <v>5.5044382185312291E-3</v>
      </c>
      <c r="R1151">
        <v>1.6825156891302252E-3</v>
      </c>
      <c r="S1151">
        <v>0.26630338655690861</v>
      </c>
      <c r="T1151">
        <v>1.4277476286645425</v>
      </c>
      <c r="U1151">
        <v>0.21403329309682328</v>
      </c>
      <c r="V1151">
        <v>0.24840068962829556</v>
      </c>
      <c r="W1151">
        <v>9.9115495184091018E-2</v>
      </c>
      <c r="X1151">
        <v>1.6415280118516565E-2</v>
      </c>
      <c r="Y1151">
        <v>4.5792530646646158E-3</v>
      </c>
    </row>
    <row r="1152" spans="1:25" x14ac:dyDescent="0.2">
      <c r="A1152" s="1077"/>
      <c r="B1152" s="1444">
        <v>902</v>
      </c>
      <c r="C1152" s="1081">
        <v>0.97438143833388713</v>
      </c>
      <c r="D1152" s="1081">
        <v>0.99699062410948525</v>
      </c>
      <c r="E1152" s="1081">
        <v>0.98719577225647359</v>
      </c>
      <c r="F1152" s="1081">
        <v>0.97091508941335292</v>
      </c>
      <c r="G1152" s="1081">
        <v>1.0013628613936076</v>
      </c>
      <c r="H1152" s="1081">
        <v>0.99236963474985429</v>
      </c>
      <c r="I1152" s="1081">
        <v>1.0049237165286746</v>
      </c>
      <c r="K1152">
        <v>2.3883591413433707</v>
      </c>
      <c r="L1152">
        <v>0</v>
      </c>
      <c r="M1152">
        <v>1.7182377063321584E-3</v>
      </c>
      <c r="N1152">
        <v>0.15042250223385167</v>
      </c>
      <c r="O1152">
        <v>2.1542918591433365E-2</v>
      </c>
      <c r="P1152">
        <v>2.7879565506680241E-2</v>
      </c>
      <c r="Q1152">
        <v>5.5650008378115481E-3</v>
      </c>
      <c r="R1152">
        <v>1.6953829815029558E-3</v>
      </c>
      <c r="S1152">
        <v>0.26635224632442467</v>
      </c>
      <c r="T1152">
        <v>1.3314760849040654</v>
      </c>
      <c r="U1152">
        <v>0.21750174330199482</v>
      </c>
      <c r="V1152">
        <v>0.24745025075759375</v>
      </c>
      <c r="W1152">
        <v>9.9576086543142178E-2</v>
      </c>
      <c r="X1152">
        <v>1.6001323474398317E-2</v>
      </c>
      <c r="Y1152">
        <v>4.6142735928013968E-3</v>
      </c>
    </row>
    <row r="1153" spans="1:25" x14ac:dyDescent="0.2">
      <c r="A1153" s="1077"/>
      <c r="B1153" s="1444">
        <v>903</v>
      </c>
      <c r="C1153" s="1081">
        <v>0.98574946241866823</v>
      </c>
      <c r="D1153" s="1081">
        <v>0.98667940667475718</v>
      </c>
      <c r="E1153" s="1081">
        <v>0.99047095432389842</v>
      </c>
      <c r="F1153" s="1081">
        <v>0.97868305704678571</v>
      </c>
      <c r="G1153" s="1081">
        <v>1.0267771325138879</v>
      </c>
      <c r="H1153" s="1081">
        <v>1.0233083929497897</v>
      </c>
      <c r="I1153" s="1081">
        <v>1.0012031497603426</v>
      </c>
      <c r="K1153">
        <v>2.4065321000164479</v>
      </c>
      <c r="L1153">
        <v>0</v>
      </c>
      <c r="M1153">
        <v>1.7435192232867379E-3</v>
      </c>
      <c r="N1153">
        <v>0.15421767753612514</v>
      </c>
      <c r="O1153">
        <v>2.1345445122224058E-2</v>
      </c>
      <c r="P1153">
        <v>2.8108935129322995E-2</v>
      </c>
      <c r="Q1153">
        <v>5.5322850286702863E-3</v>
      </c>
      <c r="R1153">
        <v>1.7210293803548494E-3</v>
      </c>
      <c r="S1153">
        <v>0.26638735245884487</v>
      </c>
      <c r="T1153">
        <v>1.3421979492742238</v>
      </c>
      <c r="U1153">
        <v>0.21500477051007091</v>
      </c>
      <c r="V1153">
        <v>0.2510412777471378</v>
      </c>
      <c r="W1153">
        <v>0.10188811237130889</v>
      </c>
      <c r="X1153">
        <v>1.6146710045307554E-2</v>
      </c>
      <c r="Y1153">
        <v>4.6840746361431406E-3</v>
      </c>
    </row>
    <row r="1154" spans="1:25" x14ac:dyDescent="0.2">
      <c r="A1154" s="1077"/>
      <c r="B1154" s="1444">
        <v>904</v>
      </c>
      <c r="C1154" s="1081">
        <v>0.98268721980487395</v>
      </c>
      <c r="D1154" s="1081">
        <v>1.0289277502472862</v>
      </c>
      <c r="E1154" s="1081">
        <v>0.97072409152148331</v>
      </c>
      <c r="F1154" s="1081">
        <v>1.0277512328214831</v>
      </c>
      <c r="G1154" s="1081">
        <v>0.9812446207847787</v>
      </c>
      <c r="H1154" s="1081">
        <v>1.007102767371288</v>
      </c>
      <c r="I1154" s="1081">
        <v>1.000049270907921</v>
      </c>
      <c r="K1154">
        <v>2.4503114107987325</v>
      </c>
      <c r="L1154">
        <v>0</v>
      </c>
      <c r="M1154">
        <v>1.7765366003257264E-3</v>
      </c>
      <c r="N1154">
        <v>0.14799377960794133</v>
      </c>
      <c r="O1154">
        <v>2.120215375805734E-2</v>
      </c>
      <c r="P1154">
        <v>2.8403870082899497E-2</v>
      </c>
      <c r="Q1154">
        <v>5.385990248932185E-3</v>
      </c>
      <c r="R1154">
        <v>1.7532521179223551E-3</v>
      </c>
      <c r="S1154">
        <v>0.25984188641462364</v>
      </c>
      <c r="T1154">
        <v>1.4090544654729251</v>
      </c>
      <c r="U1154">
        <v>0.21560629267020073</v>
      </c>
      <c r="V1154">
        <v>0.24353080341856068</v>
      </c>
      <c r="W1154">
        <v>9.894840427535688E-2</v>
      </c>
      <c r="X1154">
        <v>1.5595275026059081E-2</v>
      </c>
      <c r="Y1154">
        <v>4.7717743055793078E-3</v>
      </c>
    </row>
    <row r="1155" spans="1:25" x14ac:dyDescent="0.2">
      <c r="A1155" s="1077"/>
      <c r="B1155" s="1444">
        <v>905</v>
      </c>
      <c r="C1155" s="1081">
        <v>1.0190336003720699</v>
      </c>
      <c r="D1155" s="1081">
        <v>0.97620087858905791</v>
      </c>
      <c r="E1155" s="1081">
        <v>0.99485722757777251</v>
      </c>
      <c r="F1155" s="1081">
        <v>0.99001047713059676</v>
      </c>
      <c r="G1155" s="1081">
        <v>1.0134423888316739</v>
      </c>
      <c r="H1155" s="1081">
        <v>0.99111657376878293</v>
      </c>
      <c r="I1155" s="1081">
        <v>0.9898066413717459</v>
      </c>
      <c r="K1155">
        <v>2.3817052930416249</v>
      </c>
      <c r="L1155">
        <v>0</v>
      </c>
      <c r="M1155">
        <v>1.6225429499004504E-3</v>
      </c>
      <c r="N1155">
        <v>0.14537092954434991</v>
      </c>
      <c r="O1155">
        <v>2.0699676597796708E-2</v>
      </c>
      <c r="P1155">
        <v>2.80840373684412E-2</v>
      </c>
      <c r="Q1155">
        <v>5.3887184215968111E-3</v>
      </c>
      <c r="R1155">
        <v>1.600933800032569E-3</v>
      </c>
      <c r="S1155">
        <v>0.25348175024768937</v>
      </c>
      <c r="T1155">
        <v>1.3578265234529507</v>
      </c>
      <c r="U1155">
        <v>0.20799688330093363</v>
      </c>
      <c r="V1155">
        <v>0.24668019723024381</v>
      </c>
      <c r="W1155">
        <v>9.5791760486136676E-2</v>
      </c>
      <c r="X1155">
        <v>1.6049211485348294E-2</v>
      </c>
      <c r="Y1155">
        <v>4.3572140560033078E-3</v>
      </c>
    </row>
    <row r="1156" spans="1:25" x14ac:dyDescent="0.2">
      <c r="A1156" s="1077"/>
      <c r="B1156" s="1444">
        <v>906</v>
      </c>
      <c r="C1156" s="1081">
        <v>0.9779544509437692</v>
      </c>
      <c r="D1156" s="1081">
        <v>0.97477020279305615</v>
      </c>
      <c r="E1156" s="1081">
        <v>1.025161215937497</v>
      </c>
      <c r="F1156" s="1081">
        <v>0.97814197954506543</v>
      </c>
      <c r="G1156" s="1081">
        <v>1.0430410361699078</v>
      </c>
      <c r="H1156" s="1081">
        <v>0.95144990471557322</v>
      </c>
      <c r="I1156" s="1081">
        <v>1.0171893668919656</v>
      </c>
      <c r="K1156">
        <v>2.4059021848580042</v>
      </c>
      <c r="L1156">
        <v>0</v>
      </c>
      <c r="M1156">
        <v>1.524494349870359E-3</v>
      </c>
      <c r="N1156">
        <v>0.14958750098185788</v>
      </c>
      <c r="O1156">
        <v>2.1596843925268765E-2</v>
      </c>
      <c r="P1156">
        <v>2.89367714333006E-2</v>
      </c>
      <c r="Q1156">
        <v>5.795200739116187E-3</v>
      </c>
      <c r="R1156">
        <v>1.503344557386574E-3</v>
      </c>
      <c r="S1156">
        <v>0.26836594152594323</v>
      </c>
      <c r="T1156">
        <v>1.3421909164405876</v>
      </c>
      <c r="U1156">
        <v>0.21683991272597528</v>
      </c>
      <c r="V1156">
        <v>0.25419424816384867</v>
      </c>
      <c r="W1156">
        <v>9.6824458531874907E-2</v>
      </c>
      <c r="X1156">
        <v>1.749993187490749E-2</v>
      </c>
      <c r="Y1156">
        <v>4.091608307806101E-3</v>
      </c>
    </row>
    <row r="1157" spans="1:25" x14ac:dyDescent="0.2">
      <c r="A1157" s="1077"/>
      <c r="B1157" s="1444">
        <v>907</v>
      </c>
      <c r="C1157" s="1081">
        <v>0.96532710266539656</v>
      </c>
      <c r="D1157" s="1081">
        <v>0.97202850487780712</v>
      </c>
      <c r="E1157" s="1081">
        <v>0.98303290846187397</v>
      </c>
      <c r="F1157" s="1081">
        <v>1.0002140533795498</v>
      </c>
      <c r="G1157" s="1081">
        <v>1.0359248311943809</v>
      </c>
      <c r="H1157" s="1081">
        <v>0.96766975754901874</v>
      </c>
      <c r="I1157" s="1081">
        <v>0.98481826950812856</v>
      </c>
      <c r="K1157">
        <v>2.4329831221318803</v>
      </c>
      <c r="L1157">
        <v>0</v>
      </c>
      <c r="M1157">
        <v>1.7153609347497214E-3</v>
      </c>
      <c r="N1157">
        <v>0.14824073343397742</v>
      </c>
      <c r="O1157">
        <v>2.1863748955622937E-2</v>
      </c>
      <c r="P1157">
        <v>2.8424559466278653E-2</v>
      </c>
      <c r="Q1157">
        <v>5.6240994135636048E-3</v>
      </c>
      <c r="R1157">
        <v>1.6919620819449129E-3</v>
      </c>
      <c r="S1157">
        <v>0.26466623612427992</v>
      </c>
      <c r="T1157">
        <v>1.3715657914554162</v>
      </c>
      <c r="U1157">
        <v>0.21952710648765153</v>
      </c>
      <c r="V1157">
        <v>0.25397077547059443</v>
      </c>
      <c r="W1157">
        <v>9.8377785936211617E-2</v>
      </c>
      <c r="X1157">
        <v>1.6140721209184875E-2</v>
      </c>
      <c r="Y1157">
        <v>4.6049630319036404E-3</v>
      </c>
    </row>
    <row r="1158" spans="1:25" x14ac:dyDescent="0.2">
      <c r="A1158" s="1077"/>
      <c r="B1158" s="1444">
        <v>908</v>
      </c>
      <c r="C1158" s="1081">
        <v>1.0142009569891282</v>
      </c>
      <c r="D1158" s="1081">
        <v>0.97355480647802273</v>
      </c>
      <c r="E1158" s="1081">
        <v>1.0024693957280368</v>
      </c>
      <c r="F1158" s="1081">
        <v>1.0377608434533445</v>
      </c>
      <c r="G1158" s="1081">
        <v>1.0181857695660734</v>
      </c>
      <c r="H1158" s="1081">
        <v>1.045269070654546</v>
      </c>
      <c r="I1158" s="1081">
        <v>0.99426276943436087</v>
      </c>
      <c r="K1158">
        <v>2.4751787603436495</v>
      </c>
      <c r="L1158">
        <v>0</v>
      </c>
      <c r="M1158">
        <v>1.6934302571002793E-3</v>
      </c>
      <c r="N1158">
        <v>0.15536069523257653</v>
      </c>
      <c r="O1158">
        <v>2.0815742926391902E-2</v>
      </c>
      <c r="P1158">
        <v>2.9270209764867508E-2</v>
      </c>
      <c r="Q1158">
        <v>5.4605872965260392E-3</v>
      </c>
      <c r="R1158">
        <v>1.6720454452425874E-3</v>
      </c>
      <c r="S1158">
        <v>0.26079170480227826</v>
      </c>
      <c r="T1158">
        <v>1.4234882692768218</v>
      </c>
      <c r="U1158">
        <v>0.20901363391904654</v>
      </c>
      <c r="V1158">
        <v>0.2477539895913547</v>
      </c>
      <c r="W1158">
        <v>0.10191187819599402</v>
      </c>
      <c r="X1158">
        <v>1.6782677637332478E-2</v>
      </c>
      <c r="Y1158">
        <v>4.5507565123174328E-3</v>
      </c>
    </row>
    <row r="1159" spans="1:25" x14ac:dyDescent="0.2">
      <c r="A1159" s="1077"/>
      <c r="B1159" s="1444">
        <v>909</v>
      </c>
      <c r="C1159" s="1081">
        <v>1.0340909950295445</v>
      </c>
      <c r="D1159" s="1081">
        <v>1.0216202576641586</v>
      </c>
      <c r="E1159" s="1081">
        <v>1.0029945094443082</v>
      </c>
      <c r="F1159" s="1081">
        <v>1.011418968145904</v>
      </c>
      <c r="G1159" s="1081">
        <v>1.0073289669264367</v>
      </c>
      <c r="H1159" s="1081">
        <v>1.0054665243604761</v>
      </c>
      <c r="I1159" s="1081">
        <v>0.95319541263755947</v>
      </c>
      <c r="K1159">
        <v>2.3878276021029188</v>
      </c>
      <c r="L1159">
        <v>0</v>
      </c>
      <c r="M1159">
        <v>1.5790447460107939E-3</v>
      </c>
      <c r="N1159">
        <v>0.14502310673923452</v>
      </c>
      <c r="O1159">
        <v>2.0200400978466301E-2</v>
      </c>
      <c r="P1159">
        <v>2.8356167665394293E-2</v>
      </c>
      <c r="Q1159">
        <v>5.3019584245192208E-3</v>
      </c>
      <c r="R1159">
        <v>1.5583150449419738E-3</v>
      </c>
      <c r="S1159">
        <v>0.23630466843253753</v>
      </c>
      <c r="T1159">
        <v>1.3873668223808873</v>
      </c>
      <c r="U1159">
        <v>0.20499513513858061</v>
      </c>
      <c r="V1159">
        <v>0.24471483245630715</v>
      </c>
      <c r="W1159">
        <v>9.5101113770987025E-2</v>
      </c>
      <c r="X1159">
        <v>1.6242905963159551E-2</v>
      </c>
      <c r="Y1159">
        <v>4.241219853915546E-3</v>
      </c>
    </row>
    <row r="1160" spans="1:25" x14ac:dyDescent="0.2">
      <c r="A1160" s="1077"/>
      <c r="B1160" s="1444">
        <v>910</v>
      </c>
      <c r="C1160" s="1081">
        <v>0.97880255037792752</v>
      </c>
      <c r="D1160" s="1081">
        <v>0.97175503966917531</v>
      </c>
      <c r="E1160" s="1081">
        <v>1.0056848174527717</v>
      </c>
      <c r="F1160" s="1081">
        <v>0.96398219386163209</v>
      </c>
      <c r="G1160" s="1081">
        <v>1.029507579938973</v>
      </c>
      <c r="H1160" s="1081">
        <v>0.96517049492090889</v>
      </c>
      <c r="I1160" s="1081">
        <v>0.97251439516211957</v>
      </c>
      <c r="K1160">
        <v>2.3714094427501959</v>
      </c>
      <c r="L1160">
        <v>0</v>
      </c>
      <c r="M1160">
        <v>1.6100912759071065E-3</v>
      </c>
      <c r="N1160">
        <v>0.14899812952933328</v>
      </c>
      <c r="O1160">
        <v>2.1579521856949922E-2</v>
      </c>
      <c r="P1160">
        <v>2.8073408997150849E-2</v>
      </c>
      <c r="Q1160">
        <v>5.679234048390297E-3</v>
      </c>
      <c r="R1160">
        <v>1.588071510991805E-3</v>
      </c>
      <c r="S1160">
        <v>0.25777021914561399</v>
      </c>
      <c r="T1160">
        <v>1.3223537782704913</v>
      </c>
      <c r="U1160">
        <v>0.2165838508586212</v>
      </c>
      <c r="V1160">
        <v>0.25190040338011099</v>
      </c>
      <c r="W1160">
        <v>9.7552221650081053E-2</v>
      </c>
      <c r="X1160">
        <v>1.6618487633079874E-2</v>
      </c>
      <c r="Y1160">
        <v>4.3222071452867902E-3</v>
      </c>
    </row>
    <row r="1161" spans="1:25" x14ac:dyDescent="0.2">
      <c r="A1161" s="1077"/>
      <c r="B1161" s="1444">
        <v>911</v>
      </c>
      <c r="C1161" s="1081">
        <v>0.99041519598996397</v>
      </c>
      <c r="D1161" s="1081">
        <v>1.0065633589137577</v>
      </c>
      <c r="E1161" s="1081">
        <v>1.0258346917798293</v>
      </c>
      <c r="F1161" s="1081">
        <v>1.0015388046196054</v>
      </c>
      <c r="G1161" s="1081">
        <v>0.96611598174535107</v>
      </c>
      <c r="H1161" s="1081">
        <v>0.98495610901222463</v>
      </c>
      <c r="I1161" s="1081">
        <v>1.0281881246028302</v>
      </c>
      <c r="K1161">
        <v>2.4231641685829675</v>
      </c>
      <c r="L1161">
        <v>0</v>
      </c>
      <c r="M1161">
        <v>1.5451921093293404E-3</v>
      </c>
      <c r="N1161">
        <v>0.15199936688459451</v>
      </c>
      <c r="O1161">
        <v>2.1175532908655658E-2</v>
      </c>
      <c r="P1161">
        <v>2.9140089531232378E-2</v>
      </c>
      <c r="Q1161">
        <v>5.6859421797550054E-3</v>
      </c>
      <c r="R1161">
        <v>1.5244844113622136E-3</v>
      </c>
      <c r="S1161">
        <v>0.26649762914271935</v>
      </c>
      <c r="T1161">
        <v>1.3743103301156632</v>
      </c>
      <c r="U1161">
        <v>0.21411411057674448</v>
      </c>
      <c r="V1161">
        <v>0.24026159977436259</v>
      </c>
      <c r="W1161">
        <v>9.834701128992103E-2</v>
      </c>
      <c r="X1161">
        <v>1.7504119855709384E-2</v>
      </c>
      <c r="Y1161">
        <v>4.1491440215768007E-3</v>
      </c>
    </row>
    <row r="1162" spans="1:25" x14ac:dyDescent="0.2">
      <c r="A1162" s="1077"/>
      <c r="B1162" s="1444">
        <v>912</v>
      </c>
      <c r="C1162" s="1081">
        <v>0.98583322098325488</v>
      </c>
      <c r="D1162" s="1081">
        <v>1.021772079299031</v>
      </c>
      <c r="E1162" s="1081">
        <v>1.0035278873806535</v>
      </c>
      <c r="F1162" s="1081">
        <v>0.97777757990458236</v>
      </c>
      <c r="G1162" s="1081">
        <v>1.0010969845476843</v>
      </c>
      <c r="H1162" s="1081">
        <v>1.0021705588846217</v>
      </c>
      <c r="I1162" s="1081">
        <v>1.0036270985178621</v>
      </c>
      <c r="K1162">
        <v>2.390603156443956</v>
      </c>
      <c r="L1162">
        <v>0</v>
      </c>
      <c r="M1162">
        <v>1.6490310349774238E-3</v>
      </c>
      <c r="N1162">
        <v>0.15168836561810192</v>
      </c>
      <c r="O1162">
        <v>2.1188900838494291E-2</v>
      </c>
      <c r="P1162">
        <v>2.8233014331877086E-2</v>
      </c>
      <c r="Q1162">
        <v>5.5643851027789744E-3</v>
      </c>
      <c r="R1162">
        <v>1.6273113557274512E-3</v>
      </c>
      <c r="S1162">
        <v>0.26068749452981116</v>
      </c>
      <c r="T1162">
        <v>1.3412321033205674</v>
      </c>
      <c r="U1162">
        <v>0.21503175476127237</v>
      </c>
      <c r="V1162">
        <v>0.24660248605785751</v>
      </c>
      <c r="W1162">
        <v>9.944051128393086E-2</v>
      </c>
      <c r="X1162">
        <v>1.6526855211266199E-2</v>
      </c>
      <c r="Y1162">
        <v>4.4290050672458779E-3</v>
      </c>
    </row>
    <row r="1163" spans="1:25" x14ac:dyDescent="0.2">
      <c r="A1163" s="1077"/>
      <c r="B1163" s="1444">
        <v>913</v>
      </c>
      <c r="C1163" s="1081">
        <v>1.0103349999308615</v>
      </c>
      <c r="D1163" s="1081">
        <v>1.0220667717340779</v>
      </c>
      <c r="E1163" s="1081">
        <v>0.95540135704189189</v>
      </c>
      <c r="F1163" s="1081">
        <v>1.0346654416507655</v>
      </c>
      <c r="G1163" s="1081">
        <v>1.0419719392863691</v>
      </c>
      <c r="H1163" s="1081">
        <v>1.0093365631107223</v>
      </c>
      <c r="I1163" s="1081">
        <v>0.99592320328588979</v>
      </c>
      <c r="K1163">
        <v>2.4447285745169922</v>
      </c>
      <c r="L1163">
        <v>0</v>
      </c>
      <c r="M1163">
        <v>1.7899797537720848E-3</v>
      </c>
      <c r="N1163">
        <v>0.14235429432805263</v>
      </c>
      <c r="O1163">
        <v>2.0642376884230228E-2</v>
      </c>
      <c r="P1163">
        <v>2.8131495686046268E-2</v>
      </c>
      <c r="Q1163">
        <v>5.1619924816777296E-3</v>
      </c>
      <c r="R1163">
        <v>1.7665709979587142E-3</v>
      </c>
      <c r="S1163">
        <v>0.25259113518425819</v>
      </c>
      <c r="T1163">
        <v>1.4181936686687675</v>
      </c>
      <c r="U1163">
        <v>0.20965470806545899</v>
      </c>
      <c r="V1163">
        <v>0.25223354853670471</v>
      </c>
      <c r="W1163">
        <v>9.6074587068030487E-2</v>
      </c>
      <c r="X1163">
        <v>1.4906152463106063E-2</v>
      </c>
      <c r="Y1163">
        <v>4.8080239064706536E-3</v>
      </c>
    </row>
    <row r="1164" spans="1:25" x14ac:dyDescent="0.2">
      <c r="A1164" s="1077"/>
      <c r="B1164" s="1444">
        <v>914</v>
      </c>
      <c r="C1164" s="1081">
        <v>0.97490571682379223</v>
      </c>
      <c r="D1164" s="1081">
        <v>0.99632910120813445</v>
      </c>
      <c r="E1164" s="1081">
        <v>0.97999028724392834</v>
      </c>
      <c r="F1164" s="1081">
        <v>1.029295354208859</v>
      </c>
      <c r="G1164" s="1081">
        <v>0.97189426455752315</v>
      </c>
      <c r="H1164" s="1081">
        <v>0.9652766711715921</v>
      </c>
      <c r="I1164" s="1081">
        <v>0.97951740748985994</v>
      </c>
      <c r="K1164">
        <v>2.4462751717188955</v>
      </c>
      <c r="L1164">
        <v>0</v>
      </c>
      <c r="M1164">
        <v>1.6957655870873615E-3</v>
      </c>
      <c r="N1164">
        <v>0.14519956782253837</v>
      </c>
      <c r="O1164">
        <v>2.1529581369994701E-2</v>
      </c>
      <c r="P1164">
        <v>2.8609204826076172E-2</v>
      </c>
      <c r="Q1164">
        <v>5.5210541806338847E-3</v>
      </c>
      <c r="R1164">
        <v>1.6725766829177185E-3</v>
      </c>
      <c r="S1164">
        <v>0.25719022356725113</v>
      </c>
      <c r="T1164">
        <v>1.4113766960244969</v>
      </c>
      <c r="U1164">
        <v>0.21735957894128066</v>
      </c>
      <c r="V1164">
        <v>0.24240671310890363</v>
      </c>
      <c r="W1164">
        <v>9.6536543810441966E-2</v>
      </c>
      <c r="X1164">
        <v>1.601699460530168E-2</v>
      </c>
      <c r="Y1164">
        <v>4.5522023661466893E-3</v>
      </c>
    </row>
    <row r="1165" spans="1:25" x14ac:dyDescent="0.2">
      <c r="A1165" s="1077"/>
      <c r="B1165" s="1444">
        <v>915</v>
      </c>
      <c r="C1165" s="1081">
        <v>0.99630204730209182</v>
      </c>
      <c r="D1165" s="1081">
        <v>0.96575459293928356</v>
      </c>
      <c r="E1165" s="1081">
        <v>0.98952413781770943</v>
      </c>
      <c r="F1165" s="1081">
        <v>0.95881912529770441</v>
      </c>
      <c r="G1165" s="1081">
        <v>0.99746994631774988</v>
      </c>
      <c r="H1165" s="1081">
        <v>1.0033041749635065</v>
      </c>
      <c r="I1165" s="1081">
        <v>0.99174469570571755</v>
      </c>
      <c r="K1165">
        <v>2.3592846150352349</v>
      </c>
      <c r="L1165">
        <v>0</v>
      </c>
      <c r="M1165">
        <v>1.7026602921562928E-3</v>
      </c>
      <c r="N1165">
        <v>0.1501339906672946</v>
      </c>
      <c r="O1165">
        <v>2.1218554573797899E-2</v>
      </c>
      <c r="P1165">
        <v>2.7555252993570988E-2</v>
      </c>
      <c r="Q1165">
        <v>5.4941372341325446E-3</v>
      </c>
      <c r="R1165">
        <v>1.6802595912756779E-3</v>
      </c>
      <c r="S1165">
        <v>0.26218472971126411</v>
      </c>
      <c r="T1165">
        <v>1.3149363090009638</v>
      </c>
      <c r="U1165">
        <v>0.21272424985820851</v>
      </c>
      <c r="V1165">
        <v>0.24536821768333569</v>
      </c>
      <c r="W1165">
        <v>9.9246390096765072E-2</v>
      </c>
      <c r="X1165">
        <v>1.5872071206754813E-2</v>
      </c>
      <c r="Y1165">
        <v>4.5731127100269954E-3</v>
      </c>
    </row>
    <row r="1166" spans="1:25" x14ac:dyDescent="0.2">
      <c r="A1166" s="1077"/>
      <c r="B1166" s="1444">
        <v>916</v>
      </c>
      <c r="C1166" s="1081">
        <v>1.0036347581933538</v>
      </c>
      <c r="D1166" s="1081">
        <v>1.0366720353242844</v>
      </c>
      <c r="E1166" s="1081">
        <v>0.98462172998878428</v>
      </c>
      <c r="F1166" s="1081">
        <v>0.98390805328024122</v>
      </c>
      <c r="G1166" s="1081">
        <v>0.99261677636179013</v>
      </c>
      <c r="H1166" s="1081">
        <v>0.97196561841933604</v>
      </c>
      <c r="I1166" s="1081">
        <v>0.99132413152867571</v>
      </c>
      <c r="K1166">
        <v>2.3618562599830151</v>
      </c>
      <c r="L1166">
        <v>0</v>
      </c>
      <c r="M1166">
        <v>1.6285408471952516E-3</v>
      </c>
      <c r="N1166">
        <v>0.14142442047553749</v>
      </c>
      <c r="O1166">
        <v>2.0734496358870955E-2</v>
      </c>
      <c r="P1166">
        <v>2.7692639889745959E-2</v>
      </c>
      <c r="Q1166">
        <v>5.3422190002610313E-3</v>
      </c>
      <c r="R1166">
        <v>1.6064244708440777E-3</v>
      </c>
      <c r="S1166">
        <v>0.24844518780825933</v>
      </c>
      <c r="T1166">
        <v>1.3492395240028314</v>
      </c>
      <c r="U1166">
        <v>0.21115339105993616</v>
      </c>
      <c r="V1166">
        <v>0.24409936388819931</v>
      </c>
      <c r="W1166">
        <v>9.3764514768167273E-2</v>
      </c>
      <c r="X1166">
        <v>1.5610461255602523E-2</v>
      </c>
      <c r="Y1166">
        <v>4.3721578519530869E-3</v>
      </c>
    </row>
    <row r="1167" spans="1:25" x14ac:dyDescent="0.2">
      <c r="A1167" s="1077"/>
      <c r="B1167" s="1444">
        <v>917</v>
      </c>
      <c r="C1167" s="1081">
        <v>1.0017687386194516</v>
      </c>
      <c r="D1167" s="1081">
        <v>1.002365125398637</v>
      </c>
      <c r="E1167" s="1081">
        <v>0.97937867725057648</v>
      </c>
      <c r="F1167" s="1081">
        <v>0.99883917715541359</v>
      </c>
      <c r="G1167" s="1081">
        <v>0.98232164113490428</v>
      </c>
      <c r="H1167" s="1081">
        <v>0.96568597885994678</v>
      </c>
      <c r="I1167" s="1081">
        <v>0.97981559536910545</v>
      </c>
      <c r="K1167">
        <v>2.3823009450821595</v>
      </c>
      <c r="L1167">
        <v>0</v>
      </c>
      <c r="M1167">
        <v>1.6508864435932802E-3</v>
      </c>
      <c r="N1167">
        <v>0.14109628151021333</v>
      </c>
      <c r="O1167">
        <v>2.0924026437204906E-2</v>
      </c>
      <c r="P1167">
        <v>2.785571029061823E-2</v>
      </c>
      <c r="Q1167">
        <v>5.3624303207581592E-3</v>
      </c>
      <c r="R1167">
        <v>1.6283208119815976E-3</v>
      </c>
      <c r="S1167">
        <v>0.24963768984643669</v>
      </c>
      <c r="T1167">
        <v>1.3696018243457759</v>
      </c>
      <c r="U1167">
        <v>0.21152887303183748</v>
      </c>
      <c r="V1167">
        <v>0.24247496067333527</v>
      </c>
      <c r="W1167">
        <v>9.3843115577960518E-2</v>
      </c>
      <c r="X1167">
        <v>1.5566846205228531E-2</v>
      </c>
      <c r="Y1167">
        <v>4.4317524744024997E-3</v>
      </c>
    </row>
    <row r="1168" spans="1:25" x14ac:dyDescent="0.2">
      <c r="A1168" s="1077"/>
      <c r="B1168" s="1444">
        <v>918</v>
      </c>
      <c r="C1168" s="1081">
        <v>1.0348509234965992</v>
      </c>
      <c r="D1168" s="1081">
        <v>0.95939359850848938</v>
      </c>
      <c r="E1168" s="1081">
        <v>0.98028319719618839</v>
      </c>
      <c r="F1168" s="1081">
        <v>1.0207356132753833</v>
      </c>
      <c r="G1168" s="1081">
        <v>0.9848843508437749</v>
      </c>
      <c r="H1168" s="1081">
        <v>0.9690742395653672</v>
      </c>
      <c r="I1168" s="1081">
        <v>0.97446762123785824</v>
      </c>
      <c r="K1168">
        <v>2.3956303860259651</v>
      </c>
      <c r="L1168">
        <v>0</v>
      </c>
      <c r="M1168">
        <v>1.6162262453037165E-3</v>
      </c>
      <c r="N1168">
        <v>0.1385192538351622</v>
      </c>
      <c r="O1168">
        <v>2.0451903900142541E-2</v>
      </c>
      <c r="P1168">
        <v>2.8118235698386722E-2</v>
      </c>
      <c r="Q1168">
        <v>5.2462556806793324E-3</v>
      </c>
      <c r="R1168">
        <v>1.5942116186753418E-3</v>
      </c>
      <c r="S1168">
        <v>0.2460126465902541</v>
      </c>
      <c r="T1168">
        <v>1.3996459618435559</v>
      </c>
      <c r="U1168">
        <v>0.20476968164591236</v>
      </c>
      <c r="V1168">
        <v>0.24091915337506983</v>
      </c>
      <c r="W1168">
        <v>9.207882366214501E-2</v>
      </c>
      <c r="X1168">
        <v>1.5551565926972183E-2</v>
      </c>
      <c r="Y1168">
        <v>4.3389184943154243E-3</v>
      </c>
    </row>
    <row r="1169" spans="1:25" x14ac:dyDescent="0.2">
      <c r="A1169" s="1077"/>
      <c r="B1169" s="1444">
        <v>919</v>
      </c>
      <c r="C1169" s="1081">
        <v>1.0449086754996577</v>
      </c>
      <c r="D1169" s="1081">
        <v>1.0164045076874793</v>
      </c>
      <c r="E1169" s="1081">
        <v>1.0252535493787827</v>
      </c>
      <c r="F1169" s="1081">
        <v>1.0053924985269329</v>
      </c>
      <c r="G1169" s="1081">
        <v>0.98838586827417296</v>
      </c>
      <c r="H1169" s="1081">
        <v>0.98614032527075413</v>
      </c>
      <c r="I1169" s="1081">
        <v>0.9986107692975158</v>
      </c>
      <c r="K1169">
        <v>2.3795259315839559</v>
      </c>
      <c r="L1169">
        <v>0</v>
      </c>
      <c r="M1169">
        <v>1.4650054800177884E-3</v>
      </c>
      <c r="N1169">
        <v>0.14386148640729723</v>
      </c>
      <c r="O1169">
        <v>2.0027913184302165E-2</v>
      </c>
      <c r="P1169">
        <v>2.8743378828360498E-2</v>
      </c>
      <c r="Q1169">
        <v>5.3746927884319798E-3</v>
      </c>
      <c r="R1169">
        <v>1.4453959696759608E-3</v>
      </c>
      <c r="S1169">
        <v>0.24423216558443175</v>
      </c>
      <c r="T1169">
        <v>1.379585664224914</v>
      </c>
      <c r="U1169">
        <v>0.20294584549729081</v>
      </c>
      <c r="V1169">
        <v>0.24077715840555186</v>
      </c>
      <c r="W1169">
        <v>9.3113134893313673E-2</v>
      </c>
      <c r="X1169">
        <v>1.6950209925598911E-2</v>
      </c>
      <c r="Y1169">
        <v>3.9338913548046172E-3</v>
      </c>
    </row>
    <row r="1170" spans="1:25" x14ac:dyDescent="0.2">
      <c r="A1170" s="1077"/>
      <c r="B1170" s="1444">
        <v>920</v>
      </c>
      <c r="C1170" s="1081">
        <v>0.99098292220636297</v>
      </c>
      <c r="D1170" s="1081">
        <v>0.98908338139072982</v>
      </c>
      <c r="E1170" s="1081">
        <v>0.96284227903487363</v>
      </c>
      <c r="F1170" s="1081">
        <v>1.0273343178980674</v>
      </c>
      <c r="G1170" s="1081">
        <v>0.99943367021330554</v>
      </c>
      <c r="H1170" s="1081">
        <v>0.99360316494086753</v>
      </c>
      <c r="I1170" s="1081">
        <v>1.0185443916941532</v>
      </c>
      <c r="K1170">
        <v>2.4518636909934304</v>
      </c>
      <c r="L1170">
        <v>0</v>
      </c>
      <c r="M1170">
        <v>1.781964007503356E-3</v>
      </c>
      <c r="N1170">
        <v>0.14491817697914741</v>
      </c>
      <c r="O1170">
        <v>2.1202875922230632E-2</v>
      </c>
      <c r="P1170">
        <v>2.8319906492780263E-2</v>
      </c>
      <c r="Q1170">
        <v>5.3428805789395651E-3</v>
      </c>
      <c r="R1170">
        <v>1.758291068449177E-3</v>
      </c>
      <c r="S1170">
        <v>0.26640733485989659</v>
      </c>
      <c r="T1170">
        <v>1.4083089605512809</v>
      </c>
      <c r="U1170">
        <v>0.21377437285590006</v>
      </c>
      <c r="V1170">
        <v>0.2461374075723704</v>
      </c>
      <c r="W1170">
        <v>9.7359178076265498E-2</v>
      </c>
      <c r="X1170">
        <v>1.533078137585055E-2</v>
      </c>
      <c r="Y1170">
        <v>4.7854886678237209E-3</v>
      </c>
    </row>
    <row r="1171" spans="1:25" x14ac:dyDescent="0.2">
      <c r="A1171" s="1077"/>
      <c r="B1171" s="1444">
        <v>921</v>
      </c>
      <c r="C1171" s="1081">
        <v>1.0074266514250616</v>
      </c>
      <c r="D1171" s="1081">
        <v>1.0104059492627766</v>
      </c>
      <c r="E1171" s="1081">
        <v>1.0079835513582238</v>
      </c>
      <c r="F1171" s="1081">
        <v>0.9939923083943264</v>
      </c>
      <c r="G1171" s="1081">
        <v>1.0133364004239662</v>
      </c>
      <c r="H1171" s="1081">
        <v>0.97619650215043696</v>
      </c>
      <c r="I1171" s="1081">
        <v>1.0057585934902571</v>
      </c>
      <c r="K1171">
        <v>2.39241390504192</v>
      </c>
      <c r="L1171">
        <v>0</v>
      </c>
      <c r="M1171">
        <v>1.5612258697232967E-3</v>
      </c>
      <c r="N1171">
        <v>0.1455052682088426</v>
      </c>
      <c r="O1171">
        <v>2.0788754607945159E-2</v>
      </c>
      <c r="P1171">
        <v>2.8500473833386344E-2</v>
      </c>
      <c r="Q1171">
        <v>5.4837309041417676E-3</v>
      </c>
      <c r="R1171">
        <v>1.5401155548948353E-3</v>
      </c>
      <c r="S1171">
        <v>0.2549062180758942</v>
      </c>
      <c r="T1171">
        <v>1.3635699881304506</v>
      </c>
      <c r="U1171">
        <v>0.21043784303449761</v>
      </c>
      <c r="V1171">
        <v>0.24731957230864143</v>
      </c>
      <c r="W1171">
        <v>9.5136003860696691E-2</v>
      </c>
      <c r="X1171">
        <v>1.6595475550784746E-2</v>
      </c>
      <c r="Y1171">
        <v>4.191686841467519E-3</v>
      </c>
    </row>
    <row r="1172" spans="1:25" x14ac:dyDescent="0.2">
      <c r="A1172" s="1077"/>
      <c r="B1172" s="1444">
        <v>922</v>
      </c>
      <c r="C1172" s="1081">
        <v>1.0067923359490019</v>
      </c>
      <c r="D1172" s="1081">
        <v>0.98884770973563041</v>
      </c>
      <c r="E1172" s="1081">
        <v>0.98542673008668358</v>
      </c>
      <c r="F1172" s="1081">
        <v>1.0005861859146199</v>
      </c>
      <c r="G1172" s="1081">
        <v>1.0154364982358144</v>
      </c>
      <c r="H1172" s="1081">
        <v>0.95230297576744516</v>
      </c>
      <c r="I1172" s="1081">
        <v>0.99146918246709548</v>
      </c>
      <c r="K1172">
        <v>2.3890683213816128</v>
      </c>
      <c r="L1172">
        <v>0</v>
      </c>
      <c r="M1172">
        <v>1.6045299589238454E-3</v>
      </c>
      <c r="N1172">
        <v>0.13963925148946912</v>
      </c>
      <c r="O1172">
        <v>2.0885888367483087E-2</v>
      </c>
      <c r="P1172">
        <v>2.8107424724408924E-2</v>
      </c>
      <c r="Q1172">
        <v>5.3856174047654847E-3</v>
      </c>
      <c r="R1172">
        <v>1.5822897477097719E-3</v>
      </c>
      <c r="S1172">
        <v>0.25199918034068913</v>
      </c>
      <c r="T1172">
        <v>1.3721277234413314</v>
      </c>
      <c r="U1172">
        <v>0.21049388251089252</v>
      </c>
      <c r="V1172">
        <v>0.24780008093153971</v>
      </c>
      <c r="W1172">
        <v>9.2536134233598702E-2</v>
      </c>
      <c r="X1172">
        <v>1.5808907057055548E-2</v>
      </c>
      <c r="Y1172">
        <v>4.3064710915908487E-3</v>
      </c>
    </row>
    <row r="1173" spans="1:25" x14ac:dyDescent="0.2">
      <c r="A1173" s="1077"/>
      <c r="B1173" s="1444">
        <v>923</v>
      </c>
      <c r="C1173" s="1081">
        <v>1.0059129852650466</v>
      </c>
      <c r="D1173" s="1081">
        <v>1.0069769757478728</v>
      </c>
      <c r="E1173" s="1081">
        <v>1.015117479909698</v>
      </c>
      <c r="F1173" s="1081">
        <v>0.9679930237782185</v>
      </c>
      <c r="G1173" s="1081">
        <v>1.0067675979529971</v>
      </c>
      <c r="H1173" s="1081">
        <v>1.0114030865098085</v>
      </c>
      <c r="I1173" s="1081">
        <v>0.97448233984378962</v>
      </c>
      <c r="K1173">
        <v>2.3625684472581208</v>
      </c>
      <c r="L1173">
        <v>0</v>
      </c>
      <c r="M1173">
        <v>1.5973220364950129E-3</v>
      </c>
      <c r="N1173">
        <v>0.15218263615852309</v>
      </c>
      <c r="O1173">
        <v>2.0840321466874392E-2</v>
      </c>
      <c r="P1173">
        <v>2.8093240110969087E-2</v>
      </c>
      <c r="Q1173">
        <v>5.5366431975887231E-3</v>
      </c>
      <c r="R1173">
        <v>1.5764754752023717E-3</v>
      </c>
      <c r="S1173">
        <v>0.25072761419643169</v>
      </c>
      <c r="T1173">
        <v>1.3280535716759909</v>
      </c>
      <c r="U1173">
        <v>0.21077878857030341</v>
      </c>
      <c r="V1173">
        <v>0.24626574182758332</v>
      </c>
      <c r="W1173">
        <v>9.9084692870099009E-2</v>
      </c>
      <c r="X1173">
        <v>1.6735397186547991E-2</v>
      </c>
      <c r="Y1173">
        <v>4.2906465585001233E-3</v>
      </c>
    </row>
    <row r="1174" spans="1:25" x14ac:dyDescent="0.2">
      <c r="A1174" s="1077"/>
      <c r="B1174" s="1444">
        <v>924</v>
      </c>
      <c r="C1174" s="1081">
        <v>1.0090647219052935</v>
      </c>
      <c r="D1174" s="1081">
        <v>0.99126338861129415</v>
      </c>
      <c r="E1174" s="1081">
        <v>0.96455658821948842</v>
      </c>
      <c r="F1174" s="1081">
        <v>1.0108956187045401</v>
      </c>
      <c r="G1174" s="1081">
        <v>1.0236766931519519</v>
      </c>
      <c r="H1174" s="1081">
        <v>1.0324191140828807</v>
      </c>
      <c r="I1174" s="1081">
        <v>0.96650255943845143</v>
      </c>
      <c r="K1174">
        <v>2.4174946482232014</v>
      </c>
      <c r="L1174">
        <v>0</v>
      </c>
      <c r="M1174">
        <v>1.8111037973981882E-3</v>
      </c>
      <c r="N1174">
        <v>0.14812979100107967</v>
      </c>
      <c r="O1174">
        <v>2.0813973434887122E-2</v>
      </c>
      <c r="P1174">
        <v>2.7845149752822686E-2</v>
      </c>
      <c r="Q1174">
        <v>5.2541119770898644E-3</v>
      </c>
      <c r="R1174">
        <v>1.7879483315246915E-3</v>
      </c>
      <c r="S1174">
        <v>0.2511694599945194</v>
      </c>
      <c r="T1174">
        <v>1.3858113620489141</v>
      </c>
      <c r="U1174">
        <v>0.20994944439260713</v>
      </c>
      <c r="V1174">
        <v>0.24914764229629377</v>
      </c>
      <c r="W1174">
        <v>9.9412509203453001E-2</v>
      </c>
      <c r="X1174">
        <v>1.5118153626007104E-2</v>
      </c>
      <c r="Y1174">
        <v>4.8662059614011273E-3</v>
      </c>
    </row>
    <row r="1175" spans="1:25" x14ac:dyDescent="0.2">
      <c r="A1175" s="1077"/>
      <c r="B1175" s="1444">
        <v>925</v>
      </c>
      <c r="C1175" s="1081">
        <v>1.0083146788222503</v>
      </c>
      <c r="D1175" s="1081">
        <v>1.0169701714844828</v>
      </c>
      <c r="E1175" s="1081">
        <v>0.9955232918650565</v>
      </c>
      <c r="F1175" s="1081">
        <v>1.0129026809581907</v>
      </c>
      <c r="G1175" s="1081">
        <v>1.0127305478089135</v>
      </c>
      <c r="H1175" s="1081">
        <v>1.0041923262536412</v>
      </c>
      <c r="I1175" s="1081">
        <v>1.0234993577059219</v>
      </c>
      <c r="K1175">
        <v>2.4276630739251548</v>
      </c>
      <c r="L1175">
        <v>0</v>
      </c>
      <c r="M1175">
        <v>1.6442657482915728E-3</v>
      </c>
      <c r="N1175">
        <v>0.14763997044860305</v>
      </c>
      <c r="O1175">
        <v>2.07327033143693E-2</v>
      </c>
      <c r="P1175">
        <v>2.8659903590009146E-2</v>
      </c>
      <c r="Q1175">
        <v>5.4009406550004349E-3</v>
      </c>
      <c r="R1175">
        <v>1.6226524359228701E-3</v>
      </c>
      <c r="S1175">
        <v>0.26064043025837036</v>
      </c>
      <c r="T1175">
        <v>1.389238386373101</v>
      </c>
      <c r="U1175">
        <v>0.21021025712050481</v>
      </c>
      <c r="V1175">
        <v>0.24720700929321357</v>
      </c>
      <c r="W1175">
        <v>9.7248286434834422E-2</v>
      </c>
      <c r="X1175">
        <v>1.6290474726168298E-2</v>
      </c>
      <c r="Y1175">
        <v>4.4163250233503091E-3</v>
      </c>
    </row>
    <row r="1176" spans="1:25" x14ac:dyDescent="0.2">
      <c r="A1176" s="1077"/>
      <c r="B1176" s="1444">
        <v>926</v>
      </c>
      <c r="C1176" s="1081">
        <v>0.9902625983274298</v>
      </c>
      <c r="D1176" s="1081">
        <v>1.0057290118690798</v>
      </c>
      <c r="E1176" s="1081">
        <v>1.0259218701357398</v>
      </c>
      <c r="F1176" s="1081">
        <v>1.0045959237432938</v>
      </c>
      <c r="G1176" s="1081">
        <v>0.99317762866328452</v>
      </c>
      <c r="H1176" s="1081">
        <v>0.97201927672438759</v>
      </c>
      <c r="I1176" s="1081">
        <v>0.99921191248393193</v>
      </c>
      <c r="K1176">
        <v>2.4202623364476321</v>
      </c>
      <c r="L1176">
        <v>0</v>
      </c>
      <c r="M1176">
        <v>1.5251332345462539E-3</v>
      </c>
      <c r="N1176">
        <v>0.15003850592382412</v>
      </c>
      <c r="O1176">
        <v>2.1182718710406404E-2</v>
      </c>
      <c r="P1176">
        <v>2.9147262481232179E-2</v>
      </c>
      <c r="Q1176">
        <v>5.6883630588997853E-3</v>
      </c>
      <c r="R1176">
        <v>1.504422327207826E-3</v>
      </c>
      <c r="S1176">
        <v>0.2580256578979761</v>
      </c>
      <c r="T1176">
        <v>1.3785072090217878</v>
      </c>
      <c r="U1176">
        <v>0.21414740727763809</v>
      </c>
      <c r="V1176">
        <v>0.24488904255651373</v>
      </c>
      <c r="W1176">
        <v>9.7073361682954121E-2</v>
      </c>
      <c r="X1176">
        <v>1.7488977101764142E-2</v>
      </c>
      <c r="Y1176">
        <v>4.0945416419728231E-3</v>
      </c>
    </row>
    <row r="1177" spans="1:25" x14ac:dyDescent="0.2">
      <c r="A1177" s="1077"/>
      <c r="B1177" s="1444">
        <v>927</v>
      </c>
      <c r="C1177" s="1081">
        <v>0.96651850980353726</v>
      </c>
      <c r="D1177" s="1081">
        <v>1.0013871594325983</v>
      </c>
      <c r="E1177" s="1081">
        <v>0.96131169696861674</v>
      </c>
      <c r="F1177" s="1081">
        <v>0.99344035457068058</v>
      </c>
      <c r="G1177" s="1081">
        <v>0.99154791986395729</v>
      </c>
      <c r="H1177" s="1081">
        <v>0.96434540619362907</v>
      </c>
      <c r="I1177" s="1081">
        <v>0.96927882767930518</v>
      </c>
      <c r="K1177">
        <v>2.3979211571115187</v>
      </c>
      <c r="L1177">
        <v>0</v>
      </c>
      <c r="M1177">
        <v>1.7740419860220709E-3</v>
      </c>
      <c r="N1177">
        <v>0.14354778972664928</v>
      </c>
      <c r="O1177">
        <v>2.1679469236223565E-2</v>
      </c>
      <c r="P1177">
        <v>2.7605077189852601E-2</v>
      </c>
      <c r="Q1177">
        <v>5.4543993195970046E-3</v>
      </c>
      <c r="R1177">
        <v>1.7497592568351751E-3</v>
      </c>
      <c r="S1177">
        <v>0.25582584515742618</v>
      </c>
      <c r="T1177">
        <v>1.3618132022126064</v>
      </c>
      <c r="U1177">
        <v>0.21918002736970638</v>
      </c>
      <c r="V1177">
        <v>0.24638763379889989</v>
      </c>
      <c r="W1177">
        <v>9.652897064826825E-2</v>
      </c>
      <c r="X1177">
        <v>1.5160757292352686E-2</v>
      </c>
      <c r="Y1177">
        <v>4.7622678891213518E-3</v>
      </c>
    </row>
    <row r="1178" spans="1:25" x14ac:dyDescent="0.2">
      <c r="A1178" s="1077"/>
      <c r="B1178" s="1444">
        <v>928</v>
      </c>
      <c r="C1178" s="1081">
        <v>0.97999099615372398</v>
      </c>
      <c r="D1178" s="1081">
        <v>0.99701735339819264</v>
      </c>
      <c r="E1178" s="1081">
        <v>0.9801186459901462</v>
      </c>
      <c r="F1178" s="1081">
        <v>0.95917671346471867</v>
      </c>
      <c r="G1178" s="1081">
        <v>1.0131524779007495</v>
      </c>
      <c r="H1178" s="1081">
        <v>0.98214599245648071</v>
      </c>
      <c r="I1178" s="1081">
        <v>0.98061436033613936</v>
      </c>
      <c r="K1178">
        <v>2.3572729227438032</v>
      </c>
      <c r="L1178">
        <v>0</v>
      </c>
      <c r="M1178">
        <v>1.7157315550761353E-3</v>
      </c>
      <c r="N1178">
        <v>0.14700121273200872</v>
      </c>
      <c r="O1178">
        <v>2.1414695175545097E-2</v>
      </c>
      <c r="P1178">
        <v>2.7398610463674387E-2</v>
      </c>
      <c r="Q1178">
        <v>5.4923091982236327E-3</v>
      </c>
      <c r="R1178">
        <v>1.6926726061052828E-3</v>
      </c>
      <c r="S1178">
        <v>0.2574899325207784</v>
      </c>
      <c r="T1178">
        <v>1.3152321972518113</v>
      </c>
      <c r="U1178">
        <v>0.21623212284790988</v>
      </c>
      <c r="V1178">
        <v>0.24912393632871307</v>
      </c>
      <c r="W1178">
        <v>9.7726800630738922E-2</v>
      </c>
      <c r="X1178">
        <v>1.5577267698925899E-2</v>
      </c>
      <c r="Y1178">
        <v>4.6068968444439385E-3</v>
      </c>
    </row>
    <row r="1179" spans="1:25" x14ac:dyDescent="0.2">
      <c r="A1179" s="1077"/>
      <c r="B1179" s="1444">
        <v>929</v>
      </c>
      <c r="C1179" s="1081">
        <v>1.0144036280493729</v>
      </c>
      <c r="D1179" s="1081">
        <v>0.98168051651443178</v>
      </c>
      <c r="E1179" s="1081">
        <v>0.97760640161174595</v>
      </c>
      <c r="F1179" s="1081">
        <v>1.0145641426607066</v>
      </c>
      <c r="G1179" s="1081">
        <v>1.0019664132186652</v>
      </c>
      <c r="H1179" s="1081">
        <v>1.0010559397899137</v>
      </c>
      <c r="I1179" s="1081">
        <v>1.0061580639280907</v>
      </c>
      <c r="K1179">
        <v>2.4197856819286905</v>
      </c>
      <c r="L1179">
        <v>0</v>
      </c>
      <c r="M1179">
        <v>1.7040398371909818E-3</v>
      </c>
      <c r="N1179">
        <v>0.14493111477939588</v>
      </c>
      <c r="O1179">
        <v>2.0757255832567902E-2</v>
      </c>
      <c r="P1179">
        <v>2.8229458704808461E-2</v>
      </c>
      <c r="Q1179">
        <v>5.3101082247299595E-3</v>
      </c>
      <c r="R1179">
        <v>1.6815706369268965E-3</v>
      </c>
      <c r="S1179">
        <v>0.25881646581314921</v>
      </c>
      <c r="T1179">
        <v>1.3911250786507843</v>
      </c>
      <c r="U1179">
        <v>0.20888822692129028</v>
      </c>
      <c r="V1179">
        <v>0.24506269423800245</v>
      </c>
      <c r="W1179">
        <v>9.6496996166238053E-2</v>
      </c>
      <c r="X1179">
        <v>1.561407085388505E-2</v>
      </c>
      <c r="Y1179">
        <v>4.5766809441035276E-3</v>
      </c>
    </row>
    <row r="1180" spans="1:25" x14ac:dyDescent="0.2">
      <c r="A1180" s="1077"/>
      <c r="B1180" s="1444">
        <v>930</v>
      </c>
      <c r="C1180" s="1081">
        <v>0.96193188354266035</v>
      </c>
      <c r="D1180" s="1081">
        <v>0.97702742947279364</v>
      </c>
      <c r="E1180" s="1081">
        <v>1.0327323218253914</v>
      </c>
      <c r="F1180" s="1081">
        <v>0.99910598749502821</v>
      </c>
      <c r="G1180" s="1081">
        <v>1.0131128108855494</v>
      </c>
      <c r="H1180" s="1081">
        <v>1.0139576469006915</v>
      </c>
      <c r="I1180" s="1081">
        <v>0.98054047368738284</v>
      </c>
      <c r="K1180">
        <v>2.4583355014334431</v>
      </c>
      <c r="L1180">
        <v>0</v>
      </c>
      <c r="M1180">
        <v>1.6250339680476285E-3</v>
      </c>
      <c r="N1180">
        <v>0.16327563284142069</v>
      </c>
      <c r="O1180">
        <v>2.1950678605007806E-2</v>
      </c>
      <c r="P1180">
        <v>2.9492617194250236E-2</v>
      </c>
      <c r="Q1180">
        <v>5.9344290931837703E-3</v>
      </c>
      <c r="R1180">
        <v>1.603879171789353E-3</v>
      </c>
      <c r="S1180">
        <v>0.26821336246197924</v>
      </c>
      <c r="T1180">
        <v>1.3711219211604271</v>
      </c>
      <c r="U1180">
        <v>0.22047876184778689</v>
      </c>
      <c r="V1180">
        <v>0.25012359942448409</v>
      </c>
      <c r="W1180">
        <v>0.10522063251949737</v>
      </c>
      <c r="X1180">
        <v>1.8179790694677019E-2</v>
      </c>
      <c r="Y1180">
        <v>4.3652303869837353E-3</v>
      </c>
    </row>
    <row r="1181" spans="1:25" x14ac:dyDescent="0.2">
      <c r="A1181" s="1077"/>
      <c r="B1181" s="1444">
        <v>931</v>
      </c>
      <c r="C1181" s="1081">
        <v>0.99401313958011517</v>
      </c>
      <c r="D1181" s="1081">
        <v>0.98756367242799015</v>
      </c>
      <c r="E1181" s="1081">
        <v>1.0322620486343612</v>
      </c>
      <c r="F1181" s="1081">
        <v>0.99590751841860581</v>
      </c>
      <c r="G1181" s="1081">
        <v>1.0079381097946005</v>
      </c>
      <c r="H1181" s="1081">
        <v>1.0138418793587991</v>
      </c>
      <c r="I1181" s="1081">
        <v>1.0085767324339794</v>
      </c>
      <c r="K1181">
        <v>2.4300266003483411</v>
      </c>
      <c r="L1181">
        <v>0</v>
      </c>
      <c r="M1181">
        <v>1.5702397094357035E-3</v>
      </c>
      <c r="N1181">
        <v>0.15754646365572994</v>
      </c>
      <c r="O1181">
        <v>2.1191847726679505E-2</v>
      </c>
      <c r="P1181">
        <v>2.9242575612577357E-2</v>
      </c>
      <c r="Q1181">
        <v>5.7266173830358329E-3</v>
      </c>
      <c r="R1181">
        <v>1.5497958941939139E-3</v>
      </c>
      <c r="S1181">
        <v>0.26553118099589068</v>
      </c>
      <c r="T1181">
        <v>1.3667223125134609</v>
      </c>
      <c r="U1181">
        <v>0.21336129963198014</v>
      </c>
      <c r="V1181">
        <v>0.24714782718955455</v>
      </c>
      <c r="W1181">
        <v>0.10155621687429875</v>
      </c>
      <c r="X1181">
        <v>1.7802669046456832E-2</v>
      </c>
      <c r="Y1181">
        <v>4.218033533916617E-3</v>
      </c>
    </row>
    <row r="1182" spans="1:25" x14ac:dyDescent="0.2">
      <c r="A1182" s="1077"/>
      <c r="B1182" s="1444">
        <v>932</v>
      </c>
      <c r="C1182" s="1081">
        <v>0.99856440231357291</v>
      </c>
      <c r="D1182" s="1081">
        <v>1.0332443462852425</v>
      </c>
      <c r="E1182" s="1081">
        <v>0.98757795559119832</v>
      </c>
      <c r="F1182" s="1081">
        <v>0.99134132118902774</v>
      </c>
      <c r="G1182" s="1081">
        <v>0.9974446207505766</v>
      </c>
      <c r="H1182" s="1081">
        <v>1.0358729286192903</v>
      </c>
      <c r="I1182" s="1081">
        <v>1.0231941913757929</v>
      </c>
      <c r="K1182">
        <v>2.4084751087731826</v>
      </c>
      <c r="L1182">
        <v>0</v>
      </c>
      <c r="M1182">
        <v>1.7350537684321342E-3</v>
      </c>
      <c r="N1182">
        <v>0.15215640195395042</v>
      </c>
      <c r="O1182">
        <v>2.0856915007606832E-2</v>
      </c>
      <c r="P1182">
        <v>2.8129503403898554E-2</v>
      </c>
      <c r="Q1182">
        <v>5.3898760221966959E-3</v>
      </c>
      <c r="R1182">
        <v>1.712944586527692E-3</v>
      </c>
      <c r="S1182">
        <v>0.26371314948993674</v>
      </c>
      <c r="T1182">
        <v>1.3594960167793697</v>
      </c>
      <c r="U1182">
        <v>0.21223565025577687</v>
      </c>
      <c r="V1182">
        <v>0.245229060700697</v>
      </c>
      <c r="W1182">
        <v>0.10070078062336869</v>
      </c>
      <c r="X1182">
        <v>1.5927793225787718E-2</v>
      </c>
      <c r="Y1182">
        <v>4.6620704924971871E-3</v>
      </c>
    </row>
    <row r="1183" spans="1:25" x14ac:dyDescent="0.2">
      <c r="A1183" s="1077"/>
      <c r="B1183" s="1444">
        <v>933</v>
      </c>
      <c r="C1183" s="1081">
        <v>1.0126263069225425</v>
      </c>
      <c r="D1183" s="1081">
        <v>0.99795319344653532</v>
      </c>
      <c r="E1183" s="1081">
        <v>1.0102017481392467</v>
      </c>
      <c r="F1183" s="1081">
        <v>0.9769464777446385</v>
      </c>
      <c r="G1183" s="1081">
        <v>0.98105660370022685</v>
      </c>
      <c r="H1183" s="1081">
        <v>0.97610895927570218</v>
      </c>
      <c r="I1183" s="1081">
        <v>0.9959081046915067</v>
      </c>
      <c r="K1183">
        <v>2.359161882504746</v>
      </c>
      <c r="L1183">
        <v>0</v>
      </c>
      <c r="M1183">
        <v>1.5501538102565423E-3</v>
      </c>
      <c r="N1183">
        <v>0.14544399139707495</v>
      </c>
      <c r="O1183">
        <v>2.073996707112306E-2</v>
      </c>
      <c r="P1183">
        <v>2.810097078783759E-2</v>
      </c>
      <c r="Q1183">
        <v>5.4830121717643447E-3</v>
      </c>
      <c r="R1183">
        <v>1.5291913278297929E-3</v>
      </c>
      <c r="S1183">
        <v>0.25269367653673591</v>
      </c>
      <c r="T1183">
        <v>1.3402332778886852</v>
      </c>
      <c r="U1183">
        <v>0.20936478055541469</v>
      </c>
      <c r="V1183">
        <v>0.24148258498208627</v>
      </c>
      <c r="W1183">
        <v>9.4971544398961175E-2</v>
      </c>
      <c r="X1183">
        <v>1.6507084500919696E-2</v>
      </c>
      <c r="Y1183">
        <v>4.1619546965669567E-3</v>
      </c>
    </row>
    <row r="1184" spans="1:25" x14ac:dyDescent="0.2">
      <c r="A1184" s="1077"/>
      <c r="B1184" s="1444">
        <v>934</v>
      </c>
      <c r="C1184" s="1081">
        <v>0.98964001810005808</v>
      </c>
      <c r="D1184" s="1081">
        <v>1.0132893281642794</v>
      </c>
      <c r="E1184" s="1081">
        <v>0.98601755730894136</v>
      </c>
      <c r="F1184" s="1081">
        <v>1.004904126397971</v>
      </c>
      <c r="G1184" s="1081">
        <v>1.0235390589751603</v>
      </c>
      <c r="H1184" s="1081">
        <v>0.9633447077957491</v>
      </c>
      <c r="I1184" s="1081">
        <v>0.96495667916007954</v>
      </c>
      <c r="K1184">
        <v>2.4027618595225273</v>
      </c>
      <c r="L1184">
        <v>0</v>
      </c>
      <c r="M1184">
        <v>1.6404126226058989E-3</v>
      </c>
      <c r="N1184">
        <v>0.14304042177622425</v>
      </c>
      <c r="O1184">
        <v>2.1134443285673078E-2</v>
      </c>
      <c r="P1184">
        <v>2.8220030512090669E-2</v>
      </c>
      <c r="Q1184">
        <v>5.4529727808944458E-3</v>
      </c>
      <c r="R1184">
        <v>1.6179356609383297E-3</v>
      </c>
      <c r="S1184">
        <v>0.24737010791311945</v>
      </c>
      <c r="T1184">
        <v>1.3780618219976499</v>
      </c>
      <c r="U1184">
        <v>0.21414417241123421</v>
      </c>
      <c r="V1184">
        <v>0.25025597654980858</v>
      </c>
      <c r="W1184">
        <v>9.4756363720709197E-2</v>
      </c>
      <c r="X1184">
        <v>1.5944538020058827E-2</v>
      </c>
      <c r="Y1184">
        <v>4.4034875167268481E-3</v>
      </c>
    </row>
    <row r="1185" spans="1:25" x14ac:dyDescent="0.2">
      <c r="A1185" s="1077"/>
      <c r="B1185" s="1444">
        <v>935</v>
      </c>
      <c r="C1185" s="1081">
        <v>0.99596535822779864</v>
      </c>
      <c r="D1185" s="1081">
        <v>1.0063946525911374</v>
      </c>
      <c r="E1185" s="1081">
        <v>1.02069345780529</v>
      </c>
      <c r="F1185" s="1081">
        <v>0.98283518883916643</v>
      </c>
      <c r="G1185" s="1081">
        <v>1.0099086990126855</v>
      </c>
      <c r="H1185" s="1081">
        <v>0.98139362968875177</v>
      </c>
      <c r="I1185" s="1081">
        <v>1.0224291827921099</v>
      </c>
      <c r="K1185">
        <v>2.3958599775604048</v>
      </c>
      <c r="L1185">
        <v>0</v>
      </c>
      <c r="M1185">
        <v>1.547554385385997E-3</v>
      </c>
      <c r="N1185">
        <v>0.1498820109147625</v>
      </c>
      <c r="O1185">
        <v>2.1054872450525269E-2</v>
      </c>
      <c r="P1185">
        <v>2.8710148760287629E-2</v>
      </c>
      <c r="Q1185">
        <v>5.6247723831374663E-3</v>
      </c>
      <c r="R1185">
        <v>1.5267397453796628E-3</v>
      </c>
      <c r="S1185">
        <v>0.2631964986737213</v>
      </c>
      <c r="T1185">
        <v>1.3485354656367716</v>
      </c>
      <c r="U1185">
        <v>0.21290322091480848</v>
      </c>
      <c r="V1185">
        <v>0.24740175048645083</v>
      </c>
      <c r="W1185">
        <v>9.7268420747092563E-2</v>
      </c>
      <c r="X1185">
        <v>1.7148348935551307E-2</v>
      </c>
      <c r="Y1185">
        <v>4.1552822973016405E-3</v>
      </c>
    </row>
    <row r="1186" spans="1:25" x14ac:dyDescent="0.2">
      <c r="A1186" s="1077"/>
      <c r="B1186" s="1444">
        <v>936</v>
      </c>
      <c r="C1186" s="1081">
        <v>0.97782895828099825</v>
      </c>
      <c r="D1186" s="1081">
        <v>0.96725784972371609</v>
      </c>
      <c r="E1186" s="1081">
        <v>1.0229105951919417</v>
      </c>
      <c r="F1186" s="1081">
        <v>1.006104178188125</v>
      </c>
      <c r="G1186" s="1081">
        <v>1.0006621196218364</v>
      </c>
      <c r="H1186" s="1081">
        <v>0.96437358301411102</v>
      </c>
      <c r="I1186" s="1081">
        <v>1.001030797948999</v>
      </c>
      <c r="K1186">
        <v>2.4389739630813509</v>
      </c>
      <c r="L1186">
        <v>0</v>
      </c>
      <c r="M1186">
        <v>1.5553032074845522E-3</v>
      </c>
      <c r="N1186">
        <v>0.15160677091106634</v>
      </c>
      <c r="O1186">
        <v>2.1634866403232964E-2</v>
      </c>
      <c r="P1186">
        <v>2.9292545900131736E-2</v>
      </c>
      <c r="Q1186">
        <v>5.7924575353137586E-3</v>
      </c>
      <c r="R1186">
        <v>1.5340151526235675E-3</v>
      </c>
      <c r="S1186">
        <v>0.266294813388882</v>
      </c>
      <c r="T1186">
        <v>1.3805109974074941</v>
      </c>
      <c r="U1186">
        <v>0.21685984522958793</v>
      </c>
      <c r="V1186">
        <v>0.24697822285126164</v>
      </c>
      <c r="W1186">
        <v>9.8260372586487191E-2</v>
      </c>
      <c r="X1186">
        <v>1.7589275365268522E-2</v>
      </c>
      <c r="Y1186">
        <v>4.1750835574821954E-3</v>
      </c>
    </row>
    <row r="1187" spans="1:25" x14ac:dyDescent="0.2">
      <c r="A1187" s="1077"/>
      <c r="B1187" s="1444">
        <v>937</v>
      </c>
      <c r="C1187" s="1081">
        <v>1.0060287420687719</v>
      </c>
      <c r="D1187" s="1081">
        <v>0.9699354411389205</v>
      </c>
      <c r="E1187" s="1081">
        <v>0.99069957625843075</v>
      </c>
      <c r="F1187" s="1081">
        <v>0.95211963049804049</v>
      </c>
      <c r="G1187" s="1081">
        <v>0.99155950158151862</v>
      </c>
      <c r="H1187" s="1081">
        <v>0.95781219052748345</v>
      </c>
      <c r="I1187" s="1081">
        <v>0.98446537566037495</v>
      </c>
      <c r="K1187">
        <v>2.3228889677219962</v>
      </c>
      <c r="L1187">
        <v>0</v>
      </c>
      <c r="M1187">
        <v>1.604302952117374E-3</v>
      </c>
      <c r="N1187">
        <v>0.14187495346904053</v>
      </c>
      <c r="O1187">
        <v>2.0994223876044483E-2</v>
      </c>
      <c r="P1187">
        <v>2.7286365896969186E-2</v>
      </c>
      <c r="Q1187">
        <v>5.4425130770993715E-3</v>
      </c>
      <c r="R1187">
        <v>1.5821937922072596E-3</v>
      </c>
      <c r="S1187">
        <v>0.25338104506836406</v>
      </c>
      <c r="T1187">
        <v>1.3057726963474647</v>
      </c>
      <c r="U1187">
        <v>0.21067153293107665</v>
      </c>
      <c r="V1187">
        <v>0.24374898722981156</v>
      </c>
      <c r="W1187">
        <v>9.3720724493140395E-2</v>
      </c>
      <c r="X1187">
        <v>1.5711824560550917E-2</v>
      </c>
      <c r="Y1187">
        <v>4.3062099323447345E-3</v>
      </c>
    </row>
    <row r="1188" spans="1:25" x14ac:dyDescent="0.2">
      <c r="A1188" s="1077"/>
      <c r="B1188" s="1444">
        <v>938</v>
      </c>
      <c r="C1188" s="1081">
        <v>1.0366630908518426</v>
      </c>
      <c r="D1188" s="1081">
        <v>1.0175813117237957</v>
      </c>
      <c r="E1188" s="1081">
        <v>1.0177390717502224</v>
      </c>
      <c r="F1188" s="1081">
        <v>0.97632628241320929</v>
      </c>
      <c r="G1188" s="1081">
        <v>1.0006882324769641</v>
      </c>
      <c r="H1188" s="1081">
        <v>1.0171773660427212</v>
      </c>
      <c r="I1188" s="1081">
        <v>0.98762513481507364</v>
      </c>
      <c r="K1188">
        <v>2.3527489789956775</v>
      </c>
      <c r="L1188">
        <v>0</v>
      </c>
      <c r="M1188">
        <v>1.5467464272824107E-3</v>
      </c>
      <c r="N1188">
        <v>0.1485456637745303</v>
      </c>
      <c r="O1188">
        <v>2.0177268021105185E-2</v>
      </c>
      <c r="P1188">
        <v>2.8111493743351233E-2</v>
      </c>
      <c r="Q1188">
        <v>5.3745064717955343E-3</v>
      </c>
      <c r="R1188">
        <v>1.5266745195399623E-3</v>
      </c>
      <c r="S1188">
        <v>0.24577492710740095</v>
      </c>
      <c r="T1188">
        <v>1.3395420575587818</v>
      </c>
      <c r="U1188">
        <v>0.20453521120893609</v>
      </c>
      <c r="V1188">
        <v>0.24337833334831821</v>
      </c>
      <c r="W1188">
        <v>9.6568049899372441E-2</v>
      </c>
      <c r="X1188">
        <v>1.6606434995759842E-2</v>
      </c>
      <c r="Y1188">
        <v>4.1551047740676682E-3</v>
      </c>
    </row>
    <row r="1189" spans="1:25" x14ac:dyDescent="0.2">
      <c r="A1189" s="1077"/>
      <c r="B1189" s="1444">
        <v>939</v>
      </c>
      <c r="C1189" s="1081">
        <v>0.98371051848257396</v>
      </c>
      <c r="D1189" s="1081">
        <v>1.0287216190152879</v>
      </c>
      <c r="E1189" s="1081">
        <v>0.99565304368274443</v>
      </c>
      <c r="F1189" s="1081">
        <v>1.0113423843549385</v>
      </c>
      <c r="G1189" s="1081">
        <v>1.0220611802199739</v>
      </c>
      <c r="H1189" s="1081">
        <v>1.0352510574473417</v>
      </c>
      <c r="I1189" s="1081">
        <v>0.98097297631015912</v>
      </c>
      <c r="K1189">
        <v>2.4449220261895128</v>
      </c>
      <c r="L1189">
        <v>0</v>
      </c>
      <c r="M1189">
        <v>1.7326667352656547E-3</v>
      </c>
      <c r="N1189">
        <v>0.1557007813818985</v>
      </c>
      <c r="O1189">
        <v>2.1197701150557417E-2</v>
      </c>
      <c r="P1189">
        <v>2.8701302544526408E-2</v>
      </c>
      <c r="Q1189">
        <v>5.5227962127012654E-3</v>
      </c>
      <c r="R1189">
        <v>1.7105747078622728E-3</v>
      </c>
      <c r="S1189">
        <v>0.25721852167722747</v>
      </c>
      <c r="T1189">
        <v>1.3871012099339965</v>
      </c>
      <c r="U1189">
        <v>0.21546839962057759</v>
      </c>
      <c r="V1189">
        <v>0.25034772051040116</v>
      </c>
      <c r="W1189">
        <v>0.10254988825981197</v>
      </c>
      <c r="X1189">
        <v>1.6480176461216568E-2</v>
      </c>
      <c r="Y1189">
        <v>4.6556204640002081E-3</v>
      </c>
    </row>
    <row r="1190" spans="1:25" x14ac:dyDescent="0.2">
      <c r="A1190" s="1077"/>
      <c r="B1190" s="1444">
        <v>940</v>
      </c>
      <c r="C1190" s="1081">
        <v>0.9651970252677714</v>
      </c>
      <c r="D1190" s="1081">
        <v>0.99097893751182131</v>
      </c>
      <c r="E1190" s="1081">
        <v>1.0106664828421861</v>
      </c>
      <c r="F1190" s="1081">
        <v>0.98032532917337634</v>
      </c>
      <c r="G1190" s="1081">
        <v>1.0349939282893719</v>
      </c>
      <c r="H1190" s="1081">
        <v>0.98106295561770906</v>
      </c>
      <c r="I1190" s="1081">
        <v>1.0372331975175559</v>
      </c>
      <c r="K1190">
        <v>2.4276756078706709</v>
      </c>
      <c r="L1190">
        <v>0</v>
      </c>
      <c r="M1190">
        <v>1.6355255451987144E-3</v>
      </c>
      <c r="N1190">
        <v>0.1536801215827964</v>
      </c>
      <c r="O1190">
        <v>2.1793036653735259E-2</v>
      </c>
      <c r="P1190">
        <v>2.8826166165321819E-2</v>
      </c>
      <c r="Q1190">
        <v>5.7640880621612758E-3</v>
      </c>
      <c r="R1190">
        <v>1.613520276658073E-3</v>
      </c>
      <c r="S1190">
        <v>0.27754684871052138</v>
      </c>
      <c r="T1190">
        <v>1.3448784613340958</v>
      </c>
      <c r="U1190">
        <v>0.21965450588617763</v>
      </c>
      <c r="V1190">
        <v>0.25371745571332271</v>
      </c>
      <c r="W1190">
        <v>0.10032205897998095</v>
      </c>
      <c r="X1190">
        <v>1.7123399754850162E-2</v>
      </c>
      <c r="Y1190">
        <v>4.3914702962470249E-3</v>
      </c>
    </row>
    <row r="1191" spans="1:25" x14ac:dyDescent="0.2">
      <c r="A1191" s="1077"/>
      <c r="B1191" s="1444">
        <v>941</v>
      </c>
      <c r="C1191" s="1081">
        <v>1.0231172506439612</v>
      </c>
      <c r="D1191" s="1081">
        <v>1.0402036602055853</v>
      </c>
      <c r="E1191" s="1081">
        <v>1.0085067014345046</v>
      </c>
      <c r="F1191" s="1081">
        <v>0.97520324567948602</v>
      </c>
      <c r="G1191" s="1081">
        <v>0.97350903512750786</v>
      </c>
      <c r="H1191" s="1081">
        <v>0.97444280857734267</v>
      </c>
      <c r="I1191" s="1081">
        <v>1.0107243364071337</v>
      </c>
      <c r="K1191">
        <v>2.3420984349740679</v>
      </c>
      <c r="L1191">
        <v>0</v>
      </c>
      <c r="M1191">
        <v>1.5230846605227596E-3</v>
      </c>
      <c r="N1191">
        <v>0.14217142548642001</v>
      </c>
      <c r="O1191">
        <v>2.0339803260769621E-2</v>
      </c>
      <c r="P1191">
        <v>2.7918414711542081E-2</v>
      </c>
      <c r="Q1191">
        <v>5.3681142374540922E-3</v>
      </c>
      <c r="R1191">
        <v>1.5024530130853114E-3</v>
      </c>
      <c r="S1191">
        <v>0.2484565771153453</v>
      </c>
      <c r="T1191">
        <v>1.3378059899678687</v>
      </c>
      <c r="U1191">
        <v>0.20721230332417226</v>
      </c>
      <c r="V1191">
        <v>0.23956797907512253</v>
      </c>
      <c r="W1191">
        <v>9.2927519496294422E-2</v>
      </c>
      <c r="X1191">
        <v>1.62617581283994E-2</v>
      </c>
      <c r="Y1191">
        <v>4.0891818181155639E-3</v>
      </c>
    </row>
    <row r="1192" spans="1:25" x14ac:dyDescent="0.2">
      <c r="A1192" s="1077"/>
      <c r="B1192" s="1444">
        <v>942</v>
      </c>
      <c r="C1192" s="1081">
        <v>0.97029101688090225</v>
      </c>
      <c r="D1192" s="1081">
        <v>0.98348203333661544</v>
      </c>
      <c r="E1192" s="1081">
        <v>0.98945810127342781</v>
      </c>
      <c r="F1192" s="1081">
        <v>0.99604608889601332</v>
      </c>
      <c r="G1192" s="1081">
        <v>0.99188593644839873</v>
      </c>
      <c r="H1192" s="1081">
        <v>1.0076397166515825</v>
      </c>
      <c r="I1192" s="1081">
        <v>1.0090500720223947</v>
      </c>
      <c r="K1192">
        <v>2.4352398490261593</v>
      </c>
      <c r="L1192">
        <v>0</v>
      </c>
      <c r="M1192">
        <v>1.7490859335081649E-3</v>
      </c>
      <c r="N1192">
        <v>0.1542056782035241</v>
      </c>
      <c r="O1192">
        <v>2.1700312087674478E-2</v>
      </c>
      <c r="P1192">
        <v>2.8462239685972227E-2</v>
      </c>
      <c r="Q1192">
        <v>5.6185039515446421E-3</v>
      </c>
      <c r="R1192">
        <v>1.7261734540606414E-3</v>
      </c>
      <c r="S1192">
        <v>0.27179651386061293</v>
      </c>
      <c r="T1192">
        <v>1.3659884039327015</v>
      </c>
      <c r="U1192">
        <v>0.21842661284667239</v>
      </c>
      <c r="V1192">
        <v>0.24609312671023328</v>
      </c>
      <c r="W1192">
        <v>0.10194202206181351</v>
      </c>
      <c r="X1192">
        <v>1.6331273055827149E-2</v>
      </c>
      <c r="Y1192">
        <v>4.6980751090268643E-3</v>
      </c>
    </row>
    <row r="1193" spans="1:25" x14ac:dyDescent="0.2">
      <c r="A1193" s="1077"/>
      <c r="B1193" s="1444">
        <v>943</v>
      </c>
      <c r="C1193" s="1081">
        <v>1.0102617458271248</v>
      </c>
      <c r="D1193" s="1081">
        <v>1.0043550644651267</v>
      </c>
      <c r="E1193" s="1081">
        <v>0.98131917117195577</v>
      </c>
      <c r="F1193" s="1081">
        <v>1.0410493134722951</v>
      </c>
      <c r="G1193" s="1081">
        <v>1.0290074479077298</v>
      </c>
      <c r="H1193" s="1081">
        <v>0.99526007671355643</v>
      </c>
      <c r="I1193" s="1081">
        <v>1.0131743392818919</v>
      </c>
      <c r="K1193">
        <v>2.4612351102556316</v>
      </c>
      <c r="L1193">
        <v>0</v>
      </c>
      <c r="M1193">
        <v>1.6796516434479903E-3</v>
      </c>
      <c r="N1193">
        <v>0.14445952657897615</v>
      </c>
      <c r="O1193">
        <v>2.0740342285386328E-2</v>
      </c>
      <c r="P1193">
        <v>2.8868284509847072E-2</v>
      </c>
      <c r="Q1193">
        <v>5.3258474203852465E-3</v>
      </c>
      <c r="R1193">
        <v>1.657375046139253E-3</v>
      </c>
      <c r="S1193">
        <v>0.25824596684488133</v>
      </c>
      <c r="T1193">
        <v>1.4275236058618048</v>
      </c>
      <c r="U1193">
        <v>0.20975714988402805</v>
      </c>
      <c r="V1193">
        <v>0.24992137594121669</v>
      </c>
      <c r="W1193">
        <v>9.5967527933782645E-2</v>
      </c>
      <c r="X1193">
        <v>1.5936931070579544E-2</v>
      </c>
      <c r="Y1193">
        <v>4.5108285220539224E-3</v>
      </c>
    </row>
    <row r="1194" spans="1:25" x14ac:dyDescent="0.2">
      <c r="A1194" s="1077"/>
      <c r="B1194" s="1444">
        <v>944</v>
      </c>
      <c r="C1194" s="1081">
        <v>0.973215791993427</v>
      </c>
      <c r="D1194" s="1081">
        <v>0.98740165922502643</v>
      </c>
      <c r="E1194" s="1081">
        <v>1.0128619740930886</v>
      </c>
      <c r="F1194" s="1081">
        <v>1.0255274664988301</v>
      </c>
      <c r="G1194" s="1081">
        <v>0.98969152968228169</v>
      </c>
      <c r="H1194" s="1081">
        <v>0.99821183173139916</v>
      </c>
      <c r="I1194" s="1081">
        <v>1.0359941481415571</v>
      </c>
      <c r="K1194">
        <v>2.4829876596050546</v>
      </c>
      <c r="L1194">
        <v>0</v>
      </c>
      <c r="M1194">
        <v>1.6441979669770603E-3</v>
      </c>
      <c r="N1194">
        <v>0.15555874225405844</v>
      </c>
      <c r="O1194">
        <v>2.1632180614562544E-2</v>
      </c>
      <c r="P1194">
        <v>2.9581682915052008E-2</v>
      </c>
      <c r="Q1194">
        <v>5.7341015004203581E-3</v>
      </c>
      <c r="R1194">
        <v>1.6224560610626929E-3</v>
      </c>
      <c r="S1194">
        <v>0.27700972307649768</v>
      </c>
      <c r="T1194">
        <v>1.4069387074862032</v>
      </c>
      <c r="U1194">
        <v>0.2178523979373056</v>
      </c>
      <c r="V1194">
        <v>0.24544309815963644</v>
      </c>
      <c r="W1194">
        <v>0.10141721847689222</v>
      </c>
      <c r="X1194">
        <v>1.7425758534623369E-2</v>
      </c>
      <c r="Y1194">
        <v>4.4157905557158641E-3</v>
      </c>
    </row>
    <row r="1195" spans="1:25" x14ac:dyDescent="0.2">
      <c r="A1195" s="1077"/>
      <c r="B1195" s="1444">
        <v>945</v>
      </c>
      <c r="C1195" s="1081">
        <v>0.99297881989609271</v>
      </c>
      <c r="D1195" s="1081">
        <v>0.99499306793105624</v>
      </c>
      <c r="E1195" s="1081">
        <v>0.99083462044903514</v>
      </c>
      <c r="F1195" s="1081">
        <v>0.98474311030296902</v>
      </c>
      <c r="G1195" s="1081">
        <v>1.0019035231764564</v>
      </c>
      <c r="H1195" s="1081">
        <v>1.0238977651099288</v>
      </c>
      <c r="I1195" s="1081">
        <v>1.0000345589403765</v>
      </c>
      <c r="K1195">
        <v>2.4028114008251653</v>
      </c>
      <c r="L1195">
        <v>0</v>
      </c>
      <c r="M1195">
        <v>1.7273269564062909E-3</v>
      </c>
      <c r="N1195">
        <v>0.15295466560791265</v>
      </c>
      <c r="O1195">
        <v>2.1151203823916144E-2</v>
      </c>
      <c r="P1195">
        <v>2.8099608519038734E-2</v>
      </c>
      <c r="Q1195">
        <v>5.4839565175927151E-3</v>
      </c>
      <c r="R1195">
        <v>1.7050588045670534E-3</v>
      </c>
      <c r="S1195">
        <v>0.26308732011059938</v>
      </c>
      <c r="T1195">
        <v>1.3505166352115088</v>
      </c>
      <c r="U1195">
        <v>0.21344068368296229</v>
      </c>
      <c r="V1195">
        <v>0.246330375921474</v>
      </c>
      <c r="W1195">
        <v>0.10103166751034555</v>
      </c>
      <c r="X1195">
        <v>1.6096944078106044E-2</v>
      </c>
      <c r="Y1195">
        <v>4.6406079935476536E-3</v>
      </c>
    </row>
    <row r="1196" spans="1:25" x14ac:dyDescent="0.2">
      <c r="A1196" s="1077"/>
      <c r="B1196" s="1444">
        <v>946</v>
      </c>
      <c r="C1196" s="1081">
        <v>0.97814028389875851</v>
      </c>
      <c r="D1196" s="1081">
        <v>1.0416729370062088</v>
      </c>
      <c r="E1196" s="1081">
        <v>0.96132468452355369</v>
      </c>
      <c r="F1196" s="1081">
        <v>1.0170964806761409</v>
      </c>
      <c r="G1196" s="1081">
        <v>1.0191624785900948</v>
      </c>
      <c r="H1196" s="1081">
        <v>0.99750152934655911</v>
      </c>
      <c r="I1196" s="1081">
        <v>0.99405153034035831</v>
      </c>
      <c r="K1196">
        <v>2.4362022926251048</v>
      </c>
      <c r="L1196">
        <v>0</v>
      </c>
      <c r="M1196">
        <v>1.7975202460436272E-3</v>
      </c>
      <c r="N1196">
        <v>0.14552036767746557</v>
      </c>
      <c r="O1196">
        <v>2.1236815467253853E-2</v>
      </c>
      <c r="P1196">
        <v>2.8068600622468864E-2</v>
      </c>
      <c r="Q1196">
        <v>5.3431020690844506E-3</v>
      </c>
      <c r="R1196">
        <v>1.7737339708634413E-3</v>
      </c>
      <c r="S1196">
        <v>0.2570076607038429</v>
      </c>
      <c r="T1196">
        <v>1.3942414262210938</v>
      </c>
      <c r="U1196">
        <v>0.21657588490236224</v>
      </c>
      <c r="V1196">
        <v>0.25034200677966828</v>
      </c>
      <c r="W1196">
        <v>9.7854655389561618E-2</v>
      </c>
      <c r="X1196">
        <v>1.520803991004176E-2</v>
      </c>
      <c r="Y1196">
        <v>4.827519157443937E-3</v>
      </c>
    </row>
    <row r="1197" spans="1:25" x14ac:dyDescent="0.2">
      <c r="A1197" s="1077"/>
      <c r="B1197" s="1444">
        <v>947</v>
      </c>
      <c r="C1197" s="1081">
        <v>0.97094216226267138</v>
      </c>
      <c r="D1197" s="1081">
        <v>1.0311610008521748</v>
      </c>
      <c r="E1197" s="1081">
        <v>0.9932499053395929</v>
      </c>
      <c r="F1197" s="1081">
        <v>0.99724986683391159</v>
      </c>
      <c r="G1197" s="1081">
        <v>0.9750015976582409</v>
      </c>
      <c r="H1197" s="1081">
        <v>0.98072004276239622</v>
      </c>
      <c r="I1197" s="1081">
        <v>1.0006086475455358</v>
      </c>
      <c r="K1197">
        <v>2.4132450562809691</v>
      </c>
      <c r="L1197">
        <v>0</v>
      </c>
      <c r="M1197">
        <v>1.6704177100381613E-3</v>
      </c>
      <c r="N1197">
        <v>0.14891361946573289</v>
      </c>
      <c r="O1197">
        <v>2.1463643273933183E-2</v>
      </c>
      <c r="P1197">
        <v>2.8375078878748444E-2</v>
      </c>
      <c r="Q1197">
        <v>5.5785507813070996E-3</v>
      </c>
      <c r="R1197">
        <v>1.6479351245615439E-3</v>
      </c>
      <c r="S1197">
        <v>0.26073928091401266</v>
      </c>
      <c r="T1197">
        <v>1.3677209187999066</v>
      </c>
      <c r="U1197">
        <v>0.21829345974317538</v>
      </c>
      <c r="V1197">
        <v>0.24315265866123636</v>
      </c>
      <c r="W1197">
        <v>9.8220432914952971E-2</v>
      </c>
      <c r="X1197">
        <v>1.6324759266050155E-2</v>
      </c>
      <c r="Y1197">
        <v>4.4851361673887112E-3</v>
      </c>
    </row>
    <row r="1198" spans="1:25" x14ac:dyDescent="0.2">
      <c r="A1198" s="1077"/>
      <c r="B1198" s="1444">
        <v>948</v>
      </c>
      <c r="C1198" s="1081">
        <v>0.97230847070137039</v>
      </c>
      <c r="D1198" s="1081">
        <v>1.0048725045316733</v>
      </c>
      <c r="E1198" s="1081">
        <v>1.001301184639096</v>
      </c>
      <c r="F1198" s="1081">
        <v>1.0045620252155492</v>
      </c>
      <c r="G1198" s="1081">
        <v>1.0058928742047377</v>
      </c>
      <c r="H1198" s="1081">
        <v>1.0147482212286707</v>
      </c>
      <c r="I1198" s="1081">
        <v>0.9765477036908039</v>
      </c>
      <c r="K1198">
        <v>2.4403230836113008</v>
      </c>
      <c r="L1198">
        <v>0</v>
      </c>
      <c r="M1198">
        <v>1.7070452755591947E-3</v>
      </c>
      <c r="N1198">
        <v>0.15599805785552834</v>
      </c>
      <c r="O1198">
        <v>2.1561088927336696E-2</v>
      </c>
      <c r="P1198">
        <v>2.87474365597064E-2</v>
      </c>
      <c r="Q1198">
        <v>5.6494827367647256E-3</v>
      </c>
      <c r="R1198">
        <v>1.6848401639884354E-3</v>
      </c>
      <c r="S1198">
        <v>0.26038614969420315</v>
      </c>
      <c r="T1198">
        <v>1.3779243238934824</v>
      </c>
      <c r="U1198">
        <v>0.21801500196338722</v>
      </c>
      <c r="V1198">
        <v>0.24830977777732605</v>
      </c>
      <c r="W1198">
        <v>0.10240093740179293</v>
      </c>
      <c r="X1198">
        <v>1.6767452394377678E-2</v>
      </c>
      <c r="Y1198">
        <v>4.5855795189657317E-3</v>
      </c>
    </row>
    <row r="1199" spans="1:25" x14ac:dyDescent="0.2">
      <c r="A1199" s="1077"/>
      <c r="B1199" s="1444">
        <v>949</v>
      </c>
      <c r="C1199" s="1081">
        <v>1.0019401137177237</v>
      </c>
      <c r="D1199" s="1081">
        <v>0.96657648784599315</v>
      </c>
      <c r="E1199" s="1081">
        <v>0.99894263154903984</v>
      </c>
      <c r="F1199" s="1081">
        <v>0.99761170086101558</v>
      </c>
      <c r="G1199" s="1081">
        <v>1.0265376238971666</v>
      </c>
      <c r="H1199" s="1081">
        <v>1.0054361048653004</v>
      </c>
      <c r="I1199" s="1081">
        <v>1.0188033469442879</v>
      </c>
      <c r="K1199">
        <v>2.424114624419774</v>
      </c>
      <c r="L1199">
        <v>0</v>
      </c>
      <c r="M1199">
        <v>1.6635686620080571E-3</v>
      </c>
      <c r="N1199">
        <v>0.15092710578829782</v>
      </c>
      <c r="O1199">
        <v>2.1101486146787016E-2</v>
      </c>
      <c r="P1199">
        <v>2.8603989541848868E-2</v>
      </c>
      <c r="Q1199">
        <v>5.515964924448228E-3</v>
      </c>
      <c r="R1199">
        <v>1.6417286701325433E-3</v>
      </c>
      <c r="S1199">
        <v>0.26797301632717457</v>
      </c>
      <c r="T1199">
        <v>1.3683399042433981</v>
      </c>
      <c r="U1199">
        <v>0.21155932176709072</v>
      </c>
      <c r="V1199">
        <v>0.24994608713925187</v>
      </c>
      <c r="W1199">
        <v>9.9211203517600488E-2</v>
      </c>
      <c r="X1199">
        <v>1.6490140771358477E-2</v>
      </c>
      <c r="Y1199">
        <v>4.4682442443901233E-3</v>
      </c>
    </row>
    <row r="1200" spans="1:25" x14ac:dyDescent="0.2">
      <c r="A1200" s="1077"/>
      <c r="B1200" s="1444">
        <v>950</v>
      </c>
      <c r="C1200" s="1081">
        <v>0.97464546880733893</v>
      </c>
      <c r="D1200" s="1081">
        <v>0.97924960057812949</v>
      </c>
      <c r="E1200" s="1081">
        <v>1.0222028402719725</v>
      </c>
      <c r="F1200" s="1081">
        <v>0.95429102309383829</v>
      </c>
      <c r="G1200" s="1081">
        <v>0.97928925384163801</v>
      </c>
      <c r="H1200" s="1081">
        <v>0.97673672416960511</v>
      </c>
      <c r="I1200" s="1081">
        <v>0.99835505922372469</v>
      </c>
      <c r="K1200">
        <v>2.3666343062781166</v>
      </c>
      <c r="L1200">
        <v>0</v>
      </c>
      <c r="M1200">
        <v>1.5784326039835468E-3</v>
      </c>
      <c r="N1200">
        <v>0.15356022676528419</v>
      </c>
      <c r="O1200">
        <v>2.1646288693591694E-2</v>
      </c>
      <c r="P1200">
        <v>2.8247213428600357E-2</v>
      </c>
      <c r="Q1200">
        <v>5.7914450851157323E-3</v>
      </c>
      <c r="R1200">
        <v>1.5571014306613278E-3</v>
      </c>
      <c r="S1200">
        <v>0.26586620942799716</v>
      </c>
      <c r="T1200">
        <v>1.3094016689722605</v>
      </c>
      <c r="U1200">
        <v>0.21756568492064218</v>
      </c>
      <c r="V1200">
        <v>0.24354156421912687</v>
      </c>
      <c r="W1200">
        <v>9.9567596274865583E-2</v>
      </c>
      <c r="X1200">
        <v>1.722982286804213E-2</v>
      </c>
      <c r="Y1200">
        <v>4.2379167959114682E-3</v>
      </c>
    </row>
    <row r="1201" spans="1:25" x14ac:dyDescent="0.2">
      <c r="A1201" s="1077"/>
      <c r="B1201" s="1444">
        <v>951</v>
      </c>
      <c r="C1201" s="1081">
        <v>1.0132427553679109</v>
      </c>
      <c r="D1201" s="1081">
        <v>0.9927181127165986</v>
      </c>
      <c r="E1201" s="1081">
        <v>1.0125664366852209</v>
      </c>
      <c r="F1201" s="1081">
        <v>1.0318299767985539</v>
      </c>
      <c r="G1201" s="1081">
        <v>0.99942499841361898</v>
      </c>
      <c r="H1201" s="1081">
        <v>0.99395186347385034</v>
      </c>
      <c r="I1201" s="1081">
        <v>1.0011316249279107</v>
      </c>
      <c r="K1201">
        <v>2.4476119660642053</v>
      </c>
      <c r="L1201">
        <v>0</v>
      </c>
      <c r="M1201">
        <v>1.5716147078424123E-3</v>
      </c>
      <c r="N1201">
        <v>0.14855047501331248</v>
      </c>
      <c r="O1201">
        <v>2.0752901012998416E-2</v>
      </c>
      <c r="P1201">
        <v>2.9275085784372986E-2</v>
      </c>
      <c r="Q1201">
        <v>5.4994059414966035E-3</v>
      </c>
      <c r="R1201">
        <v>1.5507435303890743E-3</v>
      </c>
      <c r="S1201">
        <v>0.25605961692465123</v>
      </c>
      <c r="T1201">
        <v>1.4155786173198635</v>
      </c>
      <c r="U1201">
        <v>0.20924539620648017</v>
      </c>
      <c r="V1201">
        <v>0.24457259159648495</v>
      </c>
      <c r="W1201">
        <v>9.6864990549167543E-2</v>
      </c>
      <c r="X1201">
        <v>1.7013144205578444E-2</v>
      </c>
      <c r="Y1201">
        <v>4.2206126872516561E-3</v>
      </c>
    </row>
    <row r="1202" spans="1:25" x14ac:dyDescent="0.2">
      <c r="A1202" s="1077"/>
      <c r="B1202" s="1444">
        <v>952</v>
      </c>
      <c r="C1202" s="1081">
        <v>0.98470345260549264</v>
      </c>
      <c r="D1202" s="1081">
        <v>0.9845737058172418</v>
      </c>
      <c r="E1202" s="1081">
        <v>0.9694004429719012</v>
      </c>
      <c r="F1202" s="1081">
        <v>1.0175754921472471</v>
      </c>
      <c r="G1202" s="1081">
        <v>0.99865380126620362</v>
      </c>
      <c r="H1202" s="1081">
        <v>0.99492300575556314</v>
      </c>
      <c r="I1202" s="1081">
        <v>1.0099413611616974</v>
      </c>
      <c r="K1202">
        <v>2.4441919865331676</v>
      </c>
      <c r="L1202">
        <v>0</v>
      </c>
      <c r="M1202">
        <v>1.7733584463035595E-3</v>
      </c>
      <c r="N1202">
        <v>0.14711421314161341</v>
      </c>
      <c r="O1202">
        <v>2.1363961211193199E-2</v>
      </c>
      <c r="P1202">
        <v>2.8311171438851781E-2</v>
      </c>
      <c r="Q1202">
        <v>5.4197573146187207E-3</v>
      </c>
      <c r="R1202">
        <v>1.7498310822344138E-3</v>
      </c>
      <c r="S1202">
        <v>0.26662404793253908</v>
      </c>
      <c r="T1202">
        <v>1.395074501017497</v>
      </c>
      <c r="U1202">
        <v>0.21516025485559637</v>
      </c>
      <c r="V1202">
        <v>0.24638117254858968</v>
      </c>
      <c r="W1202">
        <v>9.8439596257642176E-2</v>
      </c>
      <c r="X1202">
        <v>1.5564374804912762E-2</v>
      </c>
      <c r="Y1202">
        <v>4.7624633741808449E-3</v>
      </c>
    </row>
    <row r="1203" spans="1:25" x14ac:dyDescent="0.2">
      <c r="A1203" s="1077"/>
      <c r="B1203" s="1444">
        <v>953</v>
      </c>
      <c r="C1203" s="1081">
        <v>0.98001064535575577</v>
      </c>
      <c r="D1203" s="1081">
        <v>0.97190276986347968</v>
      </c>
      <c r="E1203" s="1081">
        <v>0.99912483528536356</v>
      </c>
      <c r="F1203" s="1081">
        <v>1.0052297077171253</v>
      </c>
      <c r="G1203" s="1081">
        <v>0.95367650457164954</v>
      </c>
      <c r="H1203" s="1081">
        <v>0.97932122911038655</v>
      </c>
      <c r="I1203" s="1081">
        <v>0.99122784115805629</v>
      </c>
      <c r="K1203">
        <v>2.4230878920094656</v>
      </c>
      <c r="L1203">
        <v>0</v>
      </c>
      <c r="M1203">
        <v>1.6539913284076458E-3</v>
      </c>
      <c r="N1203">
        <v>0.15008757386352201</v>
      </c>
      <c r="O1203">
        <v>2.1547727068147025E-2</v>
      </c>
      <c r="P1203">
        <v>2.8604144681006239E-2</v>
      </c>
      <c r="Q1203">
        <v>5.6336453169867828E-3</v>
      </c>
      <c r="R1203">
        <v>1.6316980326490621E-3</v>
      </c>
      <c r="S1203">
        <v>0.26355688155074458</v>
      </c>
      <c r="T1203">
        <v>1.378792842891337</v>
      </c>
      <c r="U1203">
        <v>0.21629397051398044</v>
      </c>
      <c r="V1203">
        <v>0.23889597875690904</v>
      </c>
      <c r="W1203">
        <v>9.8648649680040598E-2</v>
      </c>
      <c r="X1203">
        <v>1.6607826826789754E-2</v>
      </c>
      <c r="Y1203">
        <v>4.4409441557588447E-3</v>
      </c>
    </row>
    <row r="1204" spans="1:25" x14ac:dyDescent="0.2">
      <c r="A1204" s="1077"/>
      <c r="B1204" s="1444">
        <v>954</v>
      </c>
      <c r="C1204" s="1081">
        <v>1.0052198574591189</v>
      </c>
      <c r="D1204" s="1081">
        <v>1.01734967697927</v>
      </c>
      <c r="E1204" s="1081">
        <v>0.98431142669150107</v>
      </c>
      <c r="F1204" s="1081">
        <v>1.0157072839536732</v>
      </c>
      <c r="G1204" s="1081">
        <v>0.96069075417001992</v>
      </c>
      <c r="H1204" s="1081">
        <v>0.95688744050558949</v>
      </c>
      <c r="I1204" s="1081">
        <v>1.0182114443786416</v>
      </c>
      <c r="K1204">
        <v>2.4046805290237439</v>
      </c>
      <c r="L1204">
        <v>0</v>
      </c>
      <c r="M1204">
        <v>1.6084210569255301E-3</v>
      </c>
      <c r="N1204">
        <v>0.13951588624302644</v>
      </c>
      <c r="O1204">
        <v>2.0787464506443216E-2</v>
      </c>
      <c r="P1204">
        <v>2.8295259466238051E-2</v>
      </c>
      <c r="Q1204">
        <v>5.3541814424555292E-3</v>
      </c>
      <c r="R1204">
        <v>1.5862337232814547E-3</v>
      </c>
      <c r="S1204">
        <v>0.25589311509229912</v>
      </c>
      <c r="T1204">
        <v>1.3928392211863387</v>
      </c>
      <c r="U1204">
        <v>0.21081937742208343</v>
      </c>
      <c r="V1204">
        <v>0.23854802359110386</v>
      </c>
      <c r="W1204">
        <v>9.251642670348785E-2</v>
      </c>
      <c r="X1204">
        <v>1.581655541094595E-2</v>
      </c>
      <c r="Y1204">
        <v>4.3172052929657733E-3</v>
      </c>
    </row>
    <row r="1205" spans="1:25" x14ac:dyDescent="0.2">
      <c r="A1205" s="1077"/>
      <c r="B1205" s="1444">
        <v>955</v>
      </c>
      <c r="C1205" s="1081">
        <v>1.023765669304777</v>
      </c>
      <c r="D1205" s="1081">
        <v>1.0081609590124916</v>
      </c>
      <c r="E1205" s="1081">
        <v>0.99146205182638147</v>
      </c>
      <c r="F1205" s="1081">
        <v>0.96680966410722224</v>
      </c>
      <c r="G1205" s="1081">
        <v>1.0268770297563066</v>
      </c>
      <c r="H1205" s="1081">
        <v>0.98242745618950811</v>
      </c>
      <c r="I1205" s="1081">
        <v>1.0036502253918205</v>
      </c>
      <c r="K1205">
        <v>2.3415950191127197</v>
      </c>
      <c r="L1205">
        <v>0</v>
      </c>
      <c r="M1205">
        <v>1.6008006897857438E-3</v>
      </c>
      <c r="N1205">
        <v>0.14194161377468373</v>
      </c>
      <c r="O1205">
        <v>2.0456294199819734E-2</v>
      </c>
      <c r="P1205">
        <v>2.7560515368500533E-2</v>
      </c>
      <c r="Q1205">
        <v>5.3071470515822722E-3</v>
      </c>
      <c r="R1205">
        <v>1.5792925430932487E-3</v>
      </c>
      <c r="S1205">
        <v>0.25097938321814101</v>
      </c>
      <c r="T1205">
        <v>1.3259350760768522</v>
      </c>
      <c r="U1205">
        <v>0.20702415235738014</v>
      </c>
      <c r="V1205">
        <v>0.24870456013131448</v>
      </c>
      <c r="W1205">
        <v>9.3721976915451546E-2</v>
      </c>
      <c r="X1205">
        <v>1.5687494477032937E-2</v>
      </c>
      <c r="Y1205">
        <v>4.2983136886529123E-3</v>
      </c>
    </row>
    <row r="1206" spans="1:25" x14ac:dyDescent="0.2">
      <c r="A1206" s="1077"/>
      <c r="B1206" s="1444">
        <v>956</v>
      </c>
      <c r="C1206" s="1081">
        <v>0.99521498458172974</v>
      </c>
      <c r="D1206" s="1081">
        <v>0.99449253364351797</v>
      </c>
      <c r="E1206" s="1081">
        <v>1.0134697076949515</v>
      </c>
      <c r="F1206" s="1081">
        <v>1.0014165490447973</v>
      </c>
      <c r="G1206" s="1081">
        <v>0.95880131479989239</v>
      </c>
      <c r="H1206" s="1081">
        <v>1.0004817870856018</v>
      </c>
      <c r="I1206" s="1081">
        <v>0.98598241648188978</v>
      </c>
      <c r="K1206">
        <v>2.4110296206888897</v>
      </c>
      <c r="L1206">
        <v>0</v>
      </c>
      <c r="M1206">
        <v>1.6069432561485264E-3</v>
      </c>
      <c r="N1206">
        <v>0.15231781351585466</v>
      </c>
      <c r="O1206">
        <v>2.1121133109580408E-2</v>
      </c>
      <c r="P1206">
        <v>2.8705928985954237E-2</v>
      </c>
      <c r="Q1206">
        <v>5.6020330801459933E-3</v>
      </c>
      <c r="R1206">
        <v>1.5857421962668834E-3</v>
      </c>
      <c r="S1206">
        <v>0.25708148752634036</v>
      </c>
      <c r="T1206">
        <v>1.3738737238269296</v>
      </c>
      <c r="U1206">
        <v>0.2130388698624413</v>
      </c>
      <c r="V1206">
        <v>0.23875034512601173</v>
      </c>
      <c r="W1206">
        <v>9.9268788170443295E-2</v>
      </c>
      <c r="X1206">
        <v>1.6974831026605193E-2</v>
      </c>
      <c r="Y1206">
        <v>4.3158675184639473E-3</v>
      </c>
    </row>
    <row r="1207" spans="1:25" x14ac:dyDescent="0.2">
      <c r="A1207" s="1077"/>
      <c r="B1207" s="1444">
        <v>957</v>
      </c>
      <c r="C1207" s="1081">
        <v>0.97599906794703928</v>
      </c>
      <c r="D1207" s="1081">
        <v>0.9971752846342804</v>
      </c>
      <c r="E1207" s="1081">
        <v>0.95987696114806209</v>
      </c>
      <c r="F1207" s="1081">
        <v>0.97539143364930914</v>
      </c>
      <c r="G1207" s="1081">
        <v>1.0477713054423354</v>
      </c>
      <c r="H1207" s="1081">
        <v>1.0255093008171672</v>
      </c>
      <c r="I1207" s="1081">
        <v>1.0069642031696859</v>
      </c>
      <c r="K1207">
        <v>2.4060252169480321</v>
      </c>
      <c r="L1207">
        <v>0</v>
      </c>
      <c r="M1207">
        <v>1.875507295989366E-3</v>
      </c>
      <c r="N1207">
        <v>0.15122469414022796</v>
      </c>
      <c r="O1207">
        <v>2.1487828476853606E-2</v>
      </c>
      <c r="P1207">
        <v>2.7513082574161494E-2</v>
      </c>
      <c r="Q1207">
        <v>5.3982203053668859E-3</v>
      </c>
      <c r="R1207">
        <v>1.8513668453592456E-3</v>
      </c>
      <c r="S1207">
        <v>0.26910326905734006</v>
      </c>
      <c r="T1207">
        <v>1.3370416318631935</v>
      </c>
      <c r="U1207">
        <v>0.2170459869812876</v>
      </c>
      <c r="V1207">
        <v>0.25537850310726529</v>
      </c>
      <c r="W1207">
        <v>0.10178082438513657</v>
      </c>
      <c r="X1207">
        <v>1.5036506257677381E-2</v>
      </c>
      <c r="Y1207">
        <v>5.0388102501513184E-3</v>
      </c>
    </row>
    <row r="1208" spans="1:25" x14ac:dyDescent="0.2">
      <c r="A1208" s="1077"/>
      <c r="B1208" s="1444">
        <v>958</v>
      </c>
      <c r="C1208" s="1081">
        <v>0.98819781232743742</v>
      </c>
      <c r="D1208" s="1081">
        <v>1.019239669273059</v>
      </c>
      <c r="E1208" s="1081">
        <v>0.98986542402283284</v>
      </c>
      <c r="F1208" s="1081">
        <v>1.0085513149832581</v>
      </c>
      <c r="G1208" s="1081">
        <v>1.0043063221188937</v>
      </c>
      <c r="H1208" s="1081">
        <v>0.98095612226497442</v>
      </c>
      <c r="I1208" s="1081">
        <v>0.97961096537465808</v>
      </c>
      <c r="K1208">
        <v>2.415418602759694</v>
      </c>
      <c r="L1208">
        <v>0</v>
      </c>
      <c r="M1208">
        <v>1.6574294493167971E-3</v>
      </c>
      <c r="N1208">
        <v>0.14625215940708225</v>
      </c>
      <c r="O1208">
        <v>2.1140609982894243E-2</v>
      </c>
      <c r="P1208">
        <v>2.8398108271503669E-2</v>
      </c>
      <c r="Q1208">
        <v>5.4758439221357039E-3</v>
      </c>
      <c r="R1208">
        <v>1.635127044859875E-3</v>
      </c>
      <c r="S1208">
        <v>0.25226382672707759</v>
      </c>
      <c r="T1208">
        <v>1.3831470728483648</v>
      </c>
      <c r="U1208">
        <v>0.21446998534938008</v>
      </c>
      <c r="V1208">
        <v>0.24704828391846073</v>
      </c>
      <c r="W1208">
        <v>9.6660528228458442E-2</v>
      </c>
      <c r="X1208">
        <v>1.6134209712170389E-2</v>
      </c>
      <c r="Y1208">
        <v>4.4502767966231064E-3</v>
      </c>
    </row>
    <row r="1209" spans="1:25" x14ac:dyDescent="0.2">
      <c r="A1209" s="1077"/>
      <c r="B1209" s="1444">
        <v>959</v>
      </c>
      <c r="C1209" s="1081">
        <v>0.95552537865757536</v>
      </c>
      <c r="D1209" s="1081">
        <v>0.97956561218658</v>
      </c>
      <c r="E1209" s="1081">
        <v>0.9695876407552696</v>
      </c>
      <c r="F1209" s="1081">
        <v>0.99724344179396673</v>
      </c>
      <c r="G1209" s="1081">
        <v>0.99174482819982523</v>
      </c>
      <c r="H1209" s="1081">
        <v>0.99714223829788473</v>
      </c>
      <c r="I1209" s="1081">
        <v>0.95927904135270037</v>
      </c>
      <c r="K1209">
        <v>2.4280035977521202</v>
      </c>
      <c r="L1209">
        <v>0</v>
      </c>
      <c r="M1209">
        <v>1.8329339338230344E-3</v>
      </c>
      <c r="N1209">
        <v>0.15214724262857898</v>
      </c>
      <c r="O1209">
        <v>2.2041178436286571E-2</v>
      </c>
      <c r="P1209">
        <v>2.7977487018994086E-2</v>
      </c>
      <c r="Q1209">
        <v>5.5926287002298989E-3</v>
      </c>
      <c r="R1209">
        <v>1.8086702958811313E-3</v>
      </c>
      <c r="S1209">
        <v>0.26184531583786697</v>
      </c>
      <c r="T1209">
        <v>1.3672037014432943</v>
      </c>
      <c r="U1209">
        <v>0.22173108873810909</v>
      </c>
      <c r="V1209">
        <v>0.24713353070386435</v>
      </c>
      <c r="W1209">
        <v>0.10179578023489924</v>
      </c>
      <c r="X1209">
        <v>1.5637303330553555E-2</v>
      </c>
      <c r="Y1209">
        <v>4.9226043173856435E-3</v>
      </c>
    </row>
    <row r="1210" spans="1:25" x14ac:dyDescent="0.2">
      <c r="A1210" s="1077"/>
      <c r="B1210" s="1444">
        <v>960</v>
      </c>
      <c r="C1210" s="1081">
        <v>1.0144169798439606</v>
      </c>
      <c r="D1210" s="1081">
        <v>0.98081493647400186</v>
      </c>
      <c r="E1210" s="1081">
        <v>1.0259063788084655</v>
      </c>
      <c r="F1210" s="1081">
        <v>1.0066356429580023</v>
      </c>
      <c r="G1210" s="1081">
        <v>1.0162257109978601</v>
      </c>
      <c r="H1210" s="1081">
        <v>1.0206822007288134</v>
      </c>
      <c r="I1210" s="1081">
        <v>1.0271616183575538</v>
      </c>
      <c r="K1210">
        <v>2.4363054249459517</v>
      </c>
      <c r="L1210">
        <v>0</v>
      </c>
      <c r="M1210">
        <v>1.572055901019039E-3</v>
      </c>
      <c r="N1210">
        <v>0.15474891051508516</v>
      </c>
      <c r="O1210">
        <v>2.0792753815789416E-2</v>
      </c>
      <c r="P1210">
        <v>2.926573732836768E-2</v>
      </c>
      <c r="Q1210">
        <v>5.5835569886381609E-3</v>
      </c>
      <c r="R1210">
        <v>1.5517256068742712E-3</v>
      </c>
      <c r="S1210">
        <v>0.26643632781828797</v>
      </c>
      <c r="T1210">
        <v>1.3813057741321757</v>
      </c>
      <c r="U1210">
        <v>0.20904827009847177</v>
      </c>
      <c r="V1210">
        <v>0.24732130920801682</v>
      </c>
      <c r="W1210">
        <v>0.1001218479577947</v>
      </c>
      <c r="X1210">
        <v>1.7477981801768031E-2</v>
      </c>
      <c r="Y1210">
        <v>4.2232855757029352E-3</v>
      </c>
    </row>
    <row r="1211" spans="1:25" x14ac:dyDescent="0.2">
      <c r="A1211" s="1077"/>
      <c r="B1211" s="1444">
        <v>961</v>
      </c>
      <c r="C1211" s="1081">
        <v>1.0215514844168017</v>
      </c>
      <c r="D1211" s="1081">
        <v>0.9832497835320928</v>
      </c>
      <c r="E1211" s="1081">
        <v>1.0078740992415072</v>
      </c>
      <c r="F1211" s="1081">
        <v>0.98835691792901659</v>
      </c>
      <c r="G1211" s="1081">
        <v>1.0103236958414248</v>
      </c>
      <c r="H1211" s="1081">
        <v>1.0073817016804827</v>
      </c>
      <c r="I1211" s="1081">
        <v>0.99002882676550941</v>
      </c>
      <c r="K1211">
        <v>2.3843778808675045</v>
      </c>
      <c r="L1211">
        <v>0</v>
      </c>
      <c r="M1211">
        <v>1.5987387297498031E-3</v>
      </c>
      <c r="N1211">
        <v>0.14901541214542668</v>
      </c>
      <c r="O1211">
        <v>2.0624488781442234E-2</v>
      </c>
      <c r="P1211">
        <v>2.8313246585581729E-2</v>
      </c>
      <c r="Q1211">
        <v>5.4398043892510441E-3</v>
      </c>
      <c r="R1211">
        <v>1.577790387708103E-3</v>
      </c>
      <c r="S1211">
        <v>0.2534478294585088</v>
      </c>
      <c r="T1211">
        <v>1.3558369518003912</v>
      </c>
      <c r="U1211">
        <v>0.20752778512122633</v>
      </c>
      <c r="V1211">
        <v>0.24594914134683629</v>
      </c>
      <c r="W1211">
        <v>9.7437347173776792E-2</v>
      </c>
      <c r="X1211">
        <v>1.6512597090223013E-2</v>
      </c>
      <c r="Y1211">
        <v>4.2942253168799351E-3</v>
      </c>
    </row>
    <row r="1212" spans="1:25" x14ac:dyDescent="0.2">
      <c r="A1212" s="1077"/>
      <c r="B1212" s="1444">
        <v>962</v>
      </c>
      <c r="C1212" s="1081">
        <v>1.0113101927325883</v>
      </c>
      <c r="D1212" s="1081">
        <v>1.0088590694308379</v>
      </c>
      <c r="E1212" s="1081">
        <v>0.99278243215822759</v>
      </c>
      <c r="F1212" s="1081">
        <v>0.98002483120113471</v>
      </c>
      <c r="G1212" s="1081">
        <v>0.9675495306008145</v>
      </c>
      <c r="H1212" s="1081">
        <v>0.99997096900783655</v>
      </c>
      <c r="I1212" s="1081">
        <v>1.0365991530375906</v>
      </c>
      <c r="K1212">
        <v>2.3742515907565882</v>
      </c>
      <c r="L1212">
        <v>0</v>
      </c>
      <c r="M1212">
        <v>1.6446980852005636E-3</v>
      </c>
      <c r="N1212">
        <v>0.14645219534560602</v>
      </c>
      <c r="O1212">
        <v>2.0705947933080268E-2</v>
      </c>
      <c r="P1212">
        <v>2.7916336920600426E-2</v>
      </c>
      <c r="Q1212">
        <v>5.3790824737544284E-3</v>
      </c>
      <c r="R1212">
        <v>1.622987825758768E-3</v>
      </c>
      <c r="S1212">
        <v>0.26385763088982805</v>
      </c>
      <c r="T1212">
        <v>1.3440870134370562</v>
      </c>
      <c r="U1212">
        <v>0.2095783560428236</v>
      </c>
      <c r="V1212">
        <v>0.23931663675281503</v>
      </c>
      <c r="W1212">
        <v>9.6623917791511887E-2</v>
      </c>
      <c r="X1212">
        <v>1.5938945585027522E-2</v>
      </c>
      <c r="Y1212">
        <v>4.4172378439223947E-3</v>
      </c>
    </row>
    <row r="1213" spans="1:25" x14ac:dyDescent="0.2">
      <c r="A1213" s="1077"/>
      <c r="B1213" s="1444">
        <v>963</v>
      </c>
      <c r="C1213" s="1081">
        <v>0.99637321425244196</v>
      </c>
      <c r="D1213" s="1081">
        <v>1.0244080047160242</v>
      </c>
      <c r="E1213" s="1081">
        <v>0.9915767369012719</v>
      </c>
      <c r="F1213" s="1081">
        <v>1.0151294131385471</v>
      </c>
      <c r="G1213" s="1081">
        <v>1.0047875050502013</v>
      </c>
      <c r="H1213" s="1081">
        <v>0.98862358790734406</v>
      </c>
      <c r="I1213" s="1081">
        <v>1.0064508237854202</v>
      </c>
      <c r="K1213">
        <v>2.4270306964555677</v>
      </c>
      <c r="L1213">
        <v>0</v>
      </c>
      <c r="M1213">
        <v>1.6489808040799766E-3</v>
      </c>
      <c r="N1213">
        <v>0.14627688900741936</v>
      </c>
      <c r="O1213">
        <v>2.0944961833558234E-2</v>
      </c>
      <c r="P1213">
        <v>2.8592884910829848E-2</v>
      </c>
      <c r="Q1213">
        <v>5.4345555771245294E-3</v>
      </c>
      <c r="R1213">
        <v>1.626964173763941E-3</v>
      </c>
      <c r="S1213">
        <v>0.25706895002334551</v>
      </c>
      <c r="T1213">
        <v>1.3922059075369746</v>
      </c>
      <c r="U1213">
        <v>0.21271608706713074</v>
      </c>
      <c r="V1213">
        <v>0.24660627446132657</v>
      </c>
      <c r="W1213">
        <v>9.6577868428181113E-2</v>
      </c>
      <c r="X1213">
        <v>1.6200274087601611E-2</v>
      </c>
      <c r="Y1213">
        <v>4.428060152389706E-3</v>
      </c>
    </row>
    <row r="1214" spans="1:25" x14ac:dyDescent="0.2">
      <c r="A1214" s="1077"/>
      <c r="B1214" s="1444">
        <v>964</v>
      </c>
      <c r="C1214" s="1081">
        <v>1.0007994695680742</v>
      </c>
      <c r="D1214" s="1081">
        <v>1.0139048359527825</v>
      </c>
      <c r="E1214" s="1081">
        <v>0.96063739658399949</v>
      </c>
      <c r="F1214" s="1081">
        <v>1.008682875011097</v>
      </c>
      <c r="G1214" s="1081">
        <v>0.96119642771938596</v>
      </c>
      <c r="H1214" s="1081">
        <v>1.0205952111272794</v>
      </c>
      <c r="I1214" s="1081">
        <v>0.98076564935548138</v>
      </c>
      <c r="K1214">
        <v>2.4047754570528861</v>
      </c>
      <c r="L1214">
        <v>0</v>
      </c>
      <c r="M1214">
        <v>1.8107756808667824E-3</v>
      </c>
      <c r="N1214">
        <v>0.14633291674820195</v>
      </c>
      <c r="O1214">
        <v>2.087928404793802E-2</v>
      </c>
      <c r="P1214">
        <v>2.7633695062514209E-2</v>
      </c>
      <c r="Q1214">
        <v>5.2494410639904515E-3</v>
      </c>
      <c r="R1214">
        <v>1.78735619560818E-3</v>
      </c>
      <c r="S1214">
        <v>0.25309688243676431</v>
      </c>
      <c r="T1214">
        <v>1.3826931388882335</v>
      </c>
      <c r="U1214">
        <v>0.21167003956671535</v>
      </c>
      <c r="V1214">
        <v>0.23899128783840362</v>
      </c>
      <c r="W1214">
        <v>9.8442517796070564E-2</v>
      </c>
      <c r="X1214">
        <v>1.4945078726679561E-2</v>
      </c>
      <c r="Y1214">
        <v>4.8645943626339366E-3</v>
      </c>
    </row>
    <row r="1215" spans="1:25" x14ac:dyDescent="0.2">
      <c r="A1215" s="1077"/>
      <c r="B1215" s="1444">
        <v>965</v>
      </c>
      <c r="C1215" s="1081">
        <v>0.97773065467754794</v>
      </c>
      <c r="D1215" s="1081">
        <v>0.99652403015743518</v>
      </c>
      <c r="E1215" s="1081">
        <v>1.0154439813053111</v>
      </c>
      <c r="F1215" s="1081">
        <v>1.0058772451031968</v>
      </c>
      <c r="G1215" s="1081">
        <v>0.99449616922854711</v>
      </c>
      <c r="H1215" s="1081">
        <v>0.97095906905733809</v>
      </c>
      <c r="I1215" s="1081">
        <v>0.99593250621807627</v>
      </c>
      <c r="K1215">
        <v>2.4307205292985943</v>
      </c>
      <c r="L1215">
        <v>0</v>
      </c>
      <c r="M1215">
        <v>1.580201534901419E-3</v>
      </c>
      <c r="N1215">
        <v>0.15061691267824037</v>
      </c>
      <c r="O1215">
        <v>2.1490527590395561E-2</v>
      </c>
      <c r="P1215">
        <v>2.9045919053730853E-2</v>
      </c>
      <c r="Q1215">
        <v>5.7112416332354169E-3</v>
      </c>
      <c r="R1215">
        <v>1.5587193833961775E-3</v>
      </c>
      <c r="S1215">
        <v>0.26150442046575484</v>
      </c>
      <c r="T1215">
        <v>1.3800365620575981</v>
      </c>
      <c r="U1215">
        <v>0.21685546843125295</v>
      </c>
      <c r="V1215">
        <v>0.24595820164544027</v>
      </c>
      <c r="W1215">
        <v>9.804646457679099E-2</v>
      </c>
      <c r="X1215">
        <v>1.7233972987762046E-2</v>
      </c>
      <c r="Y1215">
        <v>4.2423203298977549E-3</v>
      </c>
    </row>
    <row r="1216" spans="1:25" x14ac:dyDescent="0.2">
      <c r="A1216" s="1077"/>
      <c r="B1216" s="1444">
        <v>966</v>
      </c>
      <c r="C1216" s="1081">
        <v>0.97492218222928895</v>
      </c>
      <c r="D1216" s="1081">
        <v>0.99789586464477809</v>
      </c>
      <c r="E1216" s="1081">
        <v>1.0038077301784321</v>
      </c>
      <c r="F1216" s="1081">
        <v>0.97215880224052065</v>
      </c>
      <c r="G1216" s="1081">
        <v>0.99578849704681716</v>
      </c>
      <c r="H1216" s="1081">
        <v>0.99467862896927506</v>
      </c>
      <c r="I1216" s="1081">
        <v>1.0143283215396679</v>
      </c>
      <c r="K1216">
        <v>2.3962409197112398</v>
      </c>
      <c r="L1216">
        <v>0</v>
      </c>
      <c r="M1216">
        <v>1.6626864929564637E-3</v>
      </c>
      <c r="N1216">
        <v>0.15305842216425228</v>
      </c>
      <c r="O1216">
        <v>2.1537976998510424E-2</v>
      </c>
      <c r="P1216">
        <v>2.8276383369785048E-2</v>
      </c>
      <c r="Q1216">
        <v>5.6576434656468314E-3</v>
      </c>
      <c r="R1216">
        <v>1.6406220077069234E-3</v>
      </c>
      <c r="S1216">
        <v>0.26891897095825495</v>
      </c>
      <c r="T1216">
        <v>1.3335306304555017</v>
      </c>
      <c r="U1216">
        <v>0.21743930786410193</v>
      </c>
      <c r="V1216">
        <v>0.24640342096025078</v>
      </c>
      <c r="W1216">
        <v>0.1003220236867908</v>
      </c>
      <c r="X1216">
        <v>1.6652971999312222E-2</v>
      </c>
      <c r="Y1216">
        <v>4.4652322740787566E-3</v>
      </c>
    </row>
    <row r="1217" spans="1:25" x14ac:dyDescent="0.2">
      <c r="A1217" s="1077"/>
      <c r="B1217" s="1444">
        <v>967</v>
      </c>
      <c r="C1217" s="1081">
        <v>1.0149867061265325</v>
      </c>
      <c r="D1217" s="1081">
        <v>1.0340574422371609</v>
      </c>
      <c r="E1217" s="1081">
        <v>1.0127939256565011</v>
      </c>
      <c r="F1217" s="1081">
        <v>1.0007522093793422</v>
      </c>
      <c r="G1217" s="1081">
        <v>0.99265481469528438</v>
      </c>
      <c r="H1217" s="1081">
        <v>0.99613625057099286</v>
      </c>
      <c r="I1217" s="1081">
        <v>0.9975758270320737</v>
      </c>
      <c r="K1217">
        <v>2.3937144993381025</v>
      </c>
      <c r="L1217">
        <v>0</v>
      </c>
      <c r="M1217">
        <v>1.557575747853123E-3</v>
      </c>
      <c r="N1217">
        <v>0.14732897384471069</v>
      </c>
      <c r="O1217">
        <v>2.0532270585087865E-2</v>
      </c>
      <c r="P1217">
        <v>2.8583517649739751E-2</v>
      </c>
      <c r="Q1217">
        <v>5.4421756962621413E-3</v>
      </c>
      <c r="R1217">
        <v>1.536936367718091E-3</v>
      </c>
      <c r="S1217">
        <v>0.24975481410557382</v>
      </c>
      <c r="T1217">
        <v>1.3729476310017632</v>
      </c>
      <c r="U1217">
        <v>0.20888663826935042</v>
      </c>
      <c r="V1217">
        <v>0.2433102201534445</v>
      </c>
      <c r="W1217">
        <v>9.6055629843148638E-2</v>
      </c>
      <c r="X1217">
        <v>1.6710233427162359E-2</v>
      </c>
      <c r="Y1217">
        <v>4.18303414199119E-3</v>
      </c>
    </row>
    <row r="1218" spans="1:25" x14ac:dyDescent="0.2">
      <c r="A1218" s="1077"/>
      <c r="B1218" s="1444">
        <v>968</v>
      </c>
      <c r="C1218" s="1081">
        <v>1.0097196084743647</v>
      </c>
      <c r="D1218" s="1081">
        <v>1.0186188951006516</v>
      </c>
      <c r="E1218" s="1081">
        <v>0.99604300597058648</v>
      </c>
      <c r="F1218" s="1081">
        <v>1.0086390202761171</v>
      </c>
      <c r="G1218" s="1081">
        <v>1.0007115858608171</v>
      </c>
      <c r="H1218" s="1081">
        <v>0.9653566893385348</v>
      </c>
      <c r="I1218" s="1081">
        <v>1.0025326530316738</v>
      </c>
      <c r="K1218">
        <v>2.3997491292296447</v>
      </c>
      <c r="L1218">
        <v>0</v>
      </c>
      <c r="M1218">
        <v>1.5762153998062475E-3</v>
      </c>
      <c r="N1218">
        <v>0.14167618569998142</v>
      </c>
      <c r="O1218">
        <v>2.0696818627904939E-2</v>
      </c>
      <c r="P1218">
        <v>2.8433891711786449E-2</v>
      </c>
      <c r="Q1218">
        <v>5.3944164941466186E-3</v>
      </c>
      <c r="R1218">
        <v>1.5546630824008387E-3</v>
      </c>
      <c r="S1218">
        <v>0.25147808440332164</v>
      </c>
      <c r="T1218">
        <v>1.3834019253933727</v>
      </c>
      <c r="U1218">
        <v>0.20991952759858976</v>
      </c>
      <c r="V1218">
        <v>0.24506628964300009</v>
      </c>
      <c r="W1218">
        <v>9.3291111486273198E-2</v>
      </c>
      <c r="X1218">
        <v>1.6181150072926996E-2</v>
      </c>
      <c r="Y1218">
        <v>4.2312804157477049E-3</v>
      </c>
    </row>
    <row r="1219" spans="1:25" x14ac:dyDescent="0.2">
      <c r="A1219" s="1077"/>
      <c r="B1219" s="1444">
        <v>969</v>
      </c>
      <c r="C1219" s="1081">
        <v>1.0244909895920009</v>
      </c>
      <c r="D1219" s="1081">
        <v>0.96921864621393261</v>
      </c>
      <c r="E1219" s="1081">
        <v>0.99241888842740156</v>
      </c>
      <c r="F1219" s="1081">
        <v>0.97168292212520657</v>
      </c>
      <c r="G1219" s="1081">
        <v>0.97661479048526423</v>
      </c>
      <c r="H1219" s="1081">
        <v>0.95759197703593191</v>
      </c>
      <c r="I1219" s="1081">
        <v>0.98434168396139676</v>
      </c>
      <c r="K1219">
        <v>2.3335044520823836</v>
      </c>
      <c r="L1219">
        <v>0</v>
      </c>
      <c r="M1219">
        <v>1.5696852681290642E-3</v>
      </c>
      <c r="N1219">
        <v>0.13953650479767341</v>
      </c>
      <c r="O1219">
        <v>2.0620362395426764E-2</v>
      </c>
      <c r="P1219">
        <v>2.7523666806003124E-2</v>
      </c>
      <c r="Q1219">
        <v>5.3548834697599015E-3</v>
      </c>
      <c r="R1219">
        <v>1.5480482055099103E-3</v>
      </c>
      <c r="S1219">
        <v>0.24887261179841527</v>
      </c>
      <c r="T1219">
        <v>1.3326386015177381</v>
      </c>
      <c r="U1219">
        <v>0.20688077159510174</v>
      </c>
      <c r="V1219">
        <v>0.24007264588772237</v>
      </c>
      <c r="W1219">
        <v>9.2081203150403995E-2</v>
      </c>
      <c r="X1219">
        <v>1.5731560825311443E-2</v>
      </c>
      <c r="Y1219">
        <v>4.2132769014441808E-3</v>
      </c>
    </row>
    <row r="1220" spans="1:25" x14ac:dyDescent="0.2">
      <c r="A1220" s="1077"/>
      <c r="B1220" s="1444">
        <v>970</v>
      </c>
      <c r="C1220" s="1081">
        <v>0.99820523557028451</v>
      </c>
      <c r="D1220" s="1081">
        <v>1.0096222474507954</v>
      </c>
      <c r="E1220" s="1081">
        <v>1.0233900310359767</v>
      </c>
      <c r="F1220" s="1081">
        <v>0.97294817834853431</v>
      </c>
      <c r="G1220" s="1081">
        <v>1.0082613910633043</v>
      </c>
      <c r="H1220" s="1081">
        <v>1.0364952241042029</v>
      </c>
      <c r="I1220" s="1081">
        <v>1.0111866766104021</v>
      </c>
      <c r="K1220">
        <v>2.3962279361132248</v>
      </c>
      <c r="L1220">
        <v>0</v>
      </c>
      <c r="M1220">
        <v>1.6205074157805575E-3</v>
      </c>
      <c r="N1220">
        <v>0.158344036231063</v>
      </c>
      <c r="O1220">
        <v>2.0994629241785998E-2</v>
      </c>
      <c r="P1220">
        <v>2.8578811293710277E-2</v>
      </c>
      <c r="Q1220">
        <v>5.6237174047626898E-3</v>
      </c>
      <c r="R1220">
        <v>1.5998702555617163E-3</v>
      </c>
      <c r="S1220">
        <v>0.26406547731155733</v>
      </c>
      <c r="T1220">
        <v>1.3350266162746665</v>
      </c>
      <c r="U1220">
        <v>0.21243475148350807</v>
      </c>
      <c r="V1220">
        <v>0.24697043861169432</v>
      </c>
      <c r="W1220">
        <v>0.10259826189443447</v>
      </c>
      <c r="X1220">
        <v>1.7257514087707981E-2</v>
      </c>
      <c r="Y1220">
        <v>4.3543194385509878E-3</v>
      </c>
    </row>
    <row r="1221" spans="1:25" x14ac:dyDescent="0.2">
      <c r="A1221" s="1077"/>
      <c r="B1221" s="1444">
        <v>971</v>
      </c>
      <c r="C1221" s="1081">
        <v>1.0115873330878975</v>
      </c>
      <c r="D1221" s="1081">
        <v>1.0070959987544337</v>
      </c>
      <c r="E1221" s="1081">
        <v>0.98077386723488258</v>
      </c>
      <c r="F1221" s="1081">
        <v>0.99161158460074905</v>
      </c>
      <c r="G1221" s="1081">
        <v>0.99576091919375764</v>
      </c>
      <c r="H1221" s="1081">
        <v>1.0276551358300468</v>
      </c>
      <c r="I1221" s="1081">
        <v>1.0235794341252151</v>
      </c>
      <c r="K1221">
        <v>2.3983030538432559</v>
      </c>
      <c r="L1221">
        <v>0</v>
      </c>
      <c r="M1221">
        <v>1.7329656218706658E-3</v>
      </c>
      <c r="N1221">
        <v>0.14886218806821511</v>
      </c>
      <c r="O1221">
        <v>2.0700392623645283E-2</v>
      </c>
      <c r="P1221">
        <v>2.7926912274771259E-2</v>
      </c>
      <c r="Q1221">
        <v>5.3126452595539152E-3</v>
      </c>
      <c r="R1221">
        <v>1.710706461996813E-3</v>
      </c>
      <c r="S1221">
        <v>0.26297890221433484</v>
      </c>
      <c r="T1221">
        <v>1.3597211956642525</v>
      </c>
      <c r="U1221">
        <v>0.20948044642720604</v>
      </c>
      <c r="V1221">
        <v>0.24416191619146554</v>
      </c>
      <c r="W1221">
        <v>9.8924849710593746E-2</v>
      </c>
      <c r="X1221">
        <v>1.5599885513770695E-2</v>
      </c>
      <c r="Y1221">
        <v>4.6559790553216875E-3</v>
      </c>
    </row>
    <row r="1222" spans="1:25" x14ac:dyDescent="0.2">
      <c r="A1222" s="1077"/>
      <c r="B1222" s="1444">
        <v>972</v>
      </c>
      <c r="C1222" s="1081">
        <v>0.99581137939820918</v>
      </c>
      <c r="D1222" s="1081">
        <v>1.0109096083558498</v>
      </c>
      <c r="E1222" s="1081">
        <v>1.0113888008397927</v>
      </c>
      <c r="F1222" s="1081">
        <v>1.0009692819282356</v>
      </c>
      <c r="G1222" s="1081">
        <v>0.96769981320897913</v>
      </c>
      <c r="H1222" s="1081">
        <v>0.98876808877317857</v>
      </c>
      <c r="I1222" s="1081">
        <v>1.0365519682312492</v>
      </c>
      <c r="K1222">
        <v>2.4169481322615018</v>
      </c>
      <c r="L1222">
        <v>0</v>
      </c>
      <c r="M1222">
        <v>1.5883252312172125E-3</v>
      </c>
      <c r="N1222">
        <v>0.14958668432530772</v>
      </c>
      <c r="O1222">
        <v>2.1031199132529686E-2</v>
      </c>
      <c r="P1222">
        <v>2.8805912867945101E-2</v>
      </c>
      <c r="Q1222">
        <v>5.5666036628850401E-3</v>
      </c>
      <c r="R1222">
        <v>1.5671215526681936E-3</v>
      </c>
      <c r="S1222">
        <v>0.26684810641643764</v>
      </c>
      <c r="T1222">
        <v>1.3732149432947598</v>
      </c>
      <c r="U1222">
        <v>0.21290412352416063</v>
      </c>
      <c r="V1222">
        <v>0.24023885707149356</v>
      </c>
      <c r="W1222">
        <v>9.7608321910952214E-2</v>
      </c>
      <c r="X1222">
        <v>1.6899395468696919E-2</v>
      </c>
      <c r="Y1222">
        <v>4.2651882648818262E-3</v>
      </c>
    </row>
    <row r="1223" spans="1:25" x14ac:dyDescent="0.2">
      <c r="A1223" s="1077"/>
      <c r="B1223" s="1444">
        <v>973</v>
      </c>
      <c r="C1223" s="1081">
        <v>0.97695062862542081</v>
      </c>
      <c r="D1223" s="1081">
        <v>1.0037009702925506</v>
      </c>
      <c r="E1223" s="1081">
        <v>0.9965892629322326</v>
      </c>
      <c r="F1223" s="1081">
        <v>1.0114457745132857</v>
      </c>
      <c r="G1223" s="1081">
        <v>0.99678995158519834</v>
      </c>
      <c r="H1223" s="1081">
        <v>0.99612230432224946</v>
      </c>
      <c r="I1223" s="1081">
        <v>0.99327083505084579</v>
      </c>
      <c r="K1223">
        <v>2.4412827453025949</v>
      </c>
      <c r="L1223">
        <v>0</v>
      </c>
      <c r="M1223">
        <v>1.6845596721186196E-3</v>
      </c>
      <c r="N1223">
        <v>0.15172967764278039</v>
      </c>
      <c r="O1223">
        <v>2.1460947447999461E-2</v>
      </c>
      <c r="P1223">
        <v>2.8757495921113551E-2</v>
      </c>
      <c r="Q1223">
        <v>5.5966574195976428E-3</v>
      </c>
      <c r="R1223">
        <v>1.6622373200561957E-3</v>
      </c>
      <c r="S1223">
        <v>0.26209149004958154</v>
      </c>
      <c r="T1223">
        <v>1.3872634786502904</v>
      </c>
      <c r="U1223">
        <v>0.21696258046069469</v>
      </c>
      <c r="V1223">
        <v>0.2464671108699511</v>
      </c>
      <c r="W1223">
        <v>9.987862050949442E-2</v>
      </c>
      <c r="X1223">
        <v>1.6572946654343661E-2</v>
      </c>
      <c r="Y1223">
        <v>4.5240620288076756E-3</v>
      </c>
    </row>
    <row r="1224" spans="1:25" x14ac:dyDescent="0.2">
      <c r="A1224" s="1077"/>
      <c r="B1224" s="1444">
        <v>974</v>
      </c>
      <c r="C1224" s="1081">
        <v>1.0251367534940552</v>
      </c>
      <c r="D1224" s="1081">
        <v>0.96943027264583681</v>
      </c>
      <c r="E1224" s="1081">
        <v>1.0012023327407484</v>
      </c>
      <c r="F1224" s="1081">
        <v>0.96756388214182909</v>
      </c>
      <c r="G1224" s="1081">
        <v>0.98239937792250276</v>
      </c>
      <c r="H1224" s="1081">
        <v>0.97436985339540683</v>
      </c>
      <c r="I1224" s="1081">
        <v>1.0054106248641181</v>
      </c>
      <c r="K1224">
        <v>2.3414877278865989</v>
      </c>
      <c r="L1224">
        <v>0</v>
      </c>
      <c r="M1224">
        <v>1.5673019674929229E-3</v>
      </c>
      <c r="N1224">
        <v>0.1431066713821654</v>
      </c>
      <c r="O1224">
        <v>2.0612105791806862E-2</v>
      </c>
      <c r="P1224">
        <v>2.7731882830958447E-2</v>
      </c>
      <c r="Q1224">
        <v>5.4002918924805285E-3</v>
      </c>
      <c r="R1224">
        <v>1.5460697644553035E-3</v>
      </c>
      <c r="S1224">
        <v>0.2554910985761179</v>
      </c>
      <c r="T1224">
        <v>1.3271731322206914</v>
      </c>
      <c r="U1224">
        <v>0.20677972422839333</v>
      </c>
      <c r="V1224">
        <v>0.24099128571855641</v>
      </c>
      <c r="W1224">
        <v>9.3944230098392242E-2</v>
      </c>
      <c r="X1224">
        <v>1.6070645112989026E-2</v>
      </c>
      <c r="Y1224">
        <v>4.2078922370864594E-3</v>
      </c>
    </row>
    <row r="1225" spans="1:25" x14ac:dyDescent="0.2">
      <c r="A1225" s="1077"/>
      <c r="B1225" s="1444">
        <v>975</v>
      </c>
      <c r="C1225" s="1081">
        <v>0.99834936762350523</v>
      </c>
      <c r="D1225" s="1081">
        <v>1.0170521929572216</v>
      </c>
      <c r="E1225" s="1081">
        <v>0.98021891641066927</v>
      </c>
      <c r="F1225" s="1081">
        <v>0.98989024522826596</v>
      </c>
      <c r="G1225" s="1081">
        <v>1.0206422747719823</v>
      </c>
      <c r="H1225" s="1081">
        <v>1.0199924060424412</v>
      </c>
      <c r="I1225" s="1081">
        <v>1.0053051122756018</v>
      </c>
      <c r="K1225">
        <v>2.4017005811970487</v>
      </c>
      <c r="L1225">
        <v>0</v>
      </c>
      <c r="M1225">
        <v>1.7410803075075824E-3</v>
      </c>
      <c r="N1225">
        <v>0.14929374269223236</v>
      </c>
      <c r="O1225">
        <v>2.0929164612069805E-2</v>
      </c>
      <c r="P1225">
        <v>2.7945656859179099E-2</v>
      </c>
      <c r="Q1225">
        <v>5.3683303402724571E-3</v>
      </c>
      <c r="R1225">
        <v>1.7185489123955899E-3</v>
      </c>
      <c r="S1225">
        <v>0.25977478971197759</v>
      </c>
      <c r="T1225">
        <v>1.3573490209777133</v>
      </c>
      <c r="U1225">
        <v>0.21225623213465117</v>
      </c>
      <c r="V1225">
        <v>0.24923292573322314</v>
      </c>
      <c r="W1225">
        <v>9.9244872478565407E-2</v>
      </c>
      <c r="X1225">
        <v>1.5651053432232023E-2</v>
      </c>
      <c r="Y1225">
        <v>4.6773236200440792E-3</v>
      </c>
    </row>
    <row r="1226" spans="1:25" x14ac:dyDescent="0.2">
      <c r="A1226" s="1077"/>
      <c r="B1226" s="1444">
        <v>976</v>
      </c>
      <c r="C1226" s="1081">
        <v>0.99766023476948629</v>
      </c>
      <c r="D1226" s="1081">
        <v>0.98058809371707512</v>
      </c>
      <c r="E1226" s="1081">
        <v>1.01222539325613</v>
      </c>
      <c r="F1226" s="1081">
        <v>1.0116353636235267</v>
      </c>
      <c r="G1226" s="1081">
        <v>0.98854015200381928</v>
      </c>
      <c r="H1226" s="1081">
        <v>0.98305202590852936</v>
      </c>
      <c r="I1226" s="1081">
        <v>0.98774237975664692</v>
      </c>
      <c r="K1226">
        <v>2.4252856487184253</v>
      </c>
      <c r="L1226">
        <v>0</v>
      </c>
      <c r="M1226">
        <v>1.5840560738938987E-3</v>
      </c>
      <c r="N1226">
        <v>0.14955007068988807</v>
      </c>
      <c r="O1226">
        <v>2.1133898677787623E-2</v>
      </c>
      <c r="P1226">
        <v>2.893515988926398E-2</v>
      </c>
      <c r="Q1226">
        <v>5.5984618193974361E-3</v>
      </c>
      <c r="R1226">
        <v>1.5627864276423016E-3</v>
      </c>
      <c r="S1226">
        <v>0.25724779903015127</v>
      </c>
      <c r="T1226">
        <v>1.3878659304340228</v>
      </c>
      <c r="U1226">
        <v>0.21251244303083894</v>
      </c>
      <c r="V1226">
        <v>0.24367760412840503</v>
      </c>
      <c r="W1226">
        <v>9.753637088355914E-2</v>
      </c>
      <c r="X1226">
        <v>1.699579029772794E-2</v>
      </c>
      <c r="Y1226">
        <v>4.2533894836349279E-3</v>
      </c>
    </row>
    <row r="1227" spans="1:25" x14ac:dyDescent="0.2">
      <c r="A1227" s="1077"/>
      <c r="B1227" s="1444">
        <v>977</v>
      </c>
      <c r="C1227" s="1081">
        <v>1.0431049859442894</v>
      </c>
      <c r="D1227" s="1081">
        <v>0.99117551754299515</v>
      </c>
      <c r="E1227" s="1081">
        <v>1.0411837965067063</v>
      </c>
      <c r="F1227" s="1081">
        <v>0.97013050820548896</v>
      </c>
      <c r="G1227" s="1081">
        <v>1.0149771127710416</v>
      </c>
      <c r="H1227" s="1081">
        <v>1.0295483676491142</v>
      </c>
      <c r="I1227" s="1081">
        <v>1.0005066123361117</v>
      </c>
      <c r="K1227">
        <v>2.3600764026131742</v>
      </c>
      <c r="L1227">
        <v>0</v>
      </c>
      <c r="M1227">
        <v>1.4903072299007193E-3</v>
      </c>
      <c r="N1227">
        <v>0.15363162079813511</v>
      </c>
      <c r="O1227">
        <v>2.0183998001404954E-2</v>
      </c>
      <c r="P1227">
        <v>2.8579008610255332E-2</v>
      </c>
      <c r="Q1227">
        <v>5.5024145479545088E-3</v>
      </c>
      <c r="R1227">
        <v>1.4712001080867346E-3</v>
      </c>
      <c r="S1227">
        <v>0.25190789789694423</v>
      </c>
      <c r="T1227">
        <v>1.3315360509498471</v>
      </c>
      <c r="U1227">
        <v>0.20334923340672476</v>
      </c>
      <c r="V1227">
        <v>0.24536138714097833</v>
      </c>
      <c r="W1227">
        <v>9.8523796297459942E-2</v>
      </c>
      <c r="X1227">
        <v>1.7515980372055037E-2</v>
      </c>
      <c r="Y1227">
        <v>4.0041217132268025E-3</v>
      </c>
    </row>
    <row r="1228" spans="1:25" x14ac:dyDescent="0.2">
      <c r="A1228" s="1077"/>
      <c r="B1228" s="1444">
        <v>978</v>
      </c>
      <c r="C1228" s="1081">
        <v>0.97314821343032798</v>
      </c>
      <c r="D1228" s="1081">
        <v>1.0041687263319843</v>
      </c>
      <c r="E1228" s="1081">
        <v>0.97350287927680423</v>
      </c>
      <c r="F1228" s="1081">
        <v>0.98508374896622486</v>
      </c>
      <c r="G1228" s="1081">
        <v>0.95646052189561059</v>
      </c>
      <c r="H1228" s="1081">
        <v>1.0187090446086282</v>
      </c>
      <c r="I1228" s="1081">
        <v>0.9814980017364956</v>
      </c>
      <c r="K1228">
        <v>2.3991424389064977</v>
      </c>
      <c r="L1228">
        <v>0</v>
      </c>
      <c r="M1228">
        <v>1.813935254977306E-3</v>
      </c>
      <c r="N1228">
        <v>0.15240889517580569</v>
      </c>
      <c r="O1228">
        <v>2.1526901625271898E-2</v>
      </c>
      <c r="P1228">
        <v>2.7687163749773112E-2</v>
      </c>
      <c r="Q1228">
        <v>5.4840210227231822E-3</v>
      </c>
      <c r="R1228">
        <v>1.7904314682324076E-3</v>
      </c>
      <c r="S1228">
        <v>0.26168141498783448</v>
      </c>
      <c r="T1228">
        <v>1.3506158930562697</v>
      </c>
      <c r="U1228">
        <v>0.21772942799738843</v>
      </c>
      <c r="V1228">
        <v>0.23990738478751933</v>
      </c>
      <c r="W1228">
        <v>0.10172843733487254</v>
      </c>
      <c r="X1228">
        <v>1.5523438714831878E-2</v>
      </c>
      <c r="Y1228">
        <v>4.8729642409537349E-3</v>
      </c>
    </row>
    <row r="1229" spans="1:25" x14ac:dyDescent="0.2">
      <c r="A1229" s="1077"/>
      <c r="B1229" s="1444">
        <v>979</v>
      </c>
      <c r="C1229" s="1081">
        <v>0.97336133784207568</v>
      </c>
      <c r="D1229" s="1081">
        <v>1.022405321858626</v>
      </c>
      <c r="E1229" s="1081">
        <v>0.9947576565959183</v>
      </c>
      <c r="F1229" s="1081">
        <v>0.97827948912175289</v>
      </c>
      <c r="G1229" s="1081">
        <v>0.97762422367609969</v>
      </c>
      <c r="H1229" s="1081">
        <v>1.0059793283324554</v>
      </c>
      <c r="I1229" s="1081">
        <v>1.0018909296722613</v>
      </c>
      <c r="K1229">
        <v>2.3963598522733651</v>
      </c>
      <c r="L1229">
        <v>0</v>
      </c>
      <c r="M1229">
        <v>1.707049439223626E-3</v>
      </c>
      <c r="N1229">
        <v>0.15292671791075313</v>
      </c>
      <c r="O1229">
        <v>2.1451523733107578E-2</v>
      </c>
      <c r="P1229">
        <v>2.8091389217668631E-2</v>
      </c>
      <c r="Q1229">
        <v>5.5838852450117646E-3</v>
      </c>
      <c r="R1229">
        <v>1.6846507161153118E-3</v>
      </c>
      <c r="S1229">
        <v>0.26374847142307078</v>
      </c>
      <c r="T1229">
        <v>1.3417350470846741</v>
      </c>
      <c r="U1229">
        <v>0.21775620680398866</v>
      </c>
      <c r="V1229">
        <v>0.24343568391196654</v>
      </c>
      <c r="W1229">
        <v>0.10077661398356309</v>
      </c>
      <c r="X1229">
        <v>1.6291647778359342E-2</v>
      </c>
      <c r="Y1229">
        <v>4.585063904306564E-3</v>
      </c>
    </row>
    <row r="1230" spans="1:25" x14ac:dyDescent="0.2">
      <c r="A1230" s="1077"/>
      <c r="B1230" s="1444">
        <v>980</v>
      </c>
      <c r="C1230" s="1081">
        <v>0.95724805173435923</v>
      </c>
      <c r="D1230" s="1081">
        <v>0.97984569909407948</v>
      </c>
      <c r="E1230" s="1081">
        <v>0.99711073969374775</v>
      </c>
      <c r="F1230" s="1081">
        <v>0.99211746695396741</v>
      </c>
      <c r="G1230" s="1081">
        <v>1.0022627053394246</v>
      </c>
      <c r="H1230" s="1081">
        <v>1.0254909159129033</v>
      </c>
      <c r="I1230" s="1081">
        <v>0.99717632337432793</v>
      </c>
      <c r="K1230">
        <v>2.4492341599375109</v>
      </c>
      <c r="L1230">
        <v>0</v>
      </c>
      <c r="M1230">
        <v>1.7773886175203805E-3</v>
      </c>
      <c r="N1230">
        <v>0.16040500313704908</v>
      </c>
      <c r="O1230">
        <v>2.2019245820683226E-2</v>
      </c>
      <c r="P1230">
        <v>2.8667211231603887E-2</v>
      </c>
      <c r="Q1230">
        <v>5.745268336656016E-3</v>
      </c>
      <c r="R1230">
        <v>1.7545106839098267E-3</v>
      </c>
      <c r="S1230">
        <v>0.274419995844428</v>
      </c>
      <c r="T1230">
        <v>1.3607646338799082</v>
      </c>
      <c r="U1230">
        <v>0.22143007826605807</v>
      </c>
      <c r="V1230">
        <v>0.24871437945887226</v>
      </c>
      <c r="W1230">
        <v>0.1055564974270182</v>
      </c>
      <c r="X1230">
        <v>1.6759524761530618E-2</v>
      </c>
      <c r="Y1230">
        <v>4.7751997073110395E-3</v>
      </c>
    </row>
    <row r="1231" spans="1:25" x14ac:dyDescent="0.2">
      <c r="A1231" s="1077"/>
      <c r="B1231" s="1444">
        <v>981</v>
      </c>
      <c r="C1231" s="1081">
        <v>1.0291253628525445</v>
      </c>
      <c r="D1231" s="1081">
        <v>0.98699096632728811</v>
      </c>
      <c r="E1231" s="1081">
        <v>0.97885163758119265</v>
      </c>
      <c r="F1231" s="1081">
        <v>0.99449341679264602</v>
      </c>
      <c r="G1231" s="1081">
        <v>0.98124054310817721</v>
      </c>
      <c r="H1231" s="1081">
        <v>0.99689285226660163</v>
      </c>
      <c r="I1231" s="1081">
        <v>1.0375676305853736</v>
      </c>
      <c r="K1231">
        <v>2.3824680746239624</v>
      </c>
      <c r="L1231">
        <v>0</v>
      </c>
      <c r="M1231">
        <v>1.6663989750600977E-3</v>
      </c>
      <c r="N1231">
        <v>0.14225683166307321</v>
      </c>
      <c r="O1231">
        <v>2.0436854063815811E-2</v>
      </c>
      <c r="P1231">
        <v>2.7830444987113654E-2</v>
      </c>
      <c r="Q1231">
        <v>5.2347709942251958E-3</v>
      </c>
      <c r="R1231">
        <v>1.6443343411524569E-3</v>
      </c>
      <c r="S1231">
        <v>0.26201796060918747</v>
      </c>
      <c r="T1231">
        <v>1.3636316584978532</v>
      </c>
      <c r="U1231">
        <v>0.20590418279069206</v>
      </c>
      <c r="V1231">
        <v>0.24063703066334591</v>
      </c>
      <c r="W1231">
        <v>9.4645133405084667E-2</v>
      </c>
      <c r="X1231">
        <v>1.5419935561531329E-2</v>
      </c>
      <c r="Y1231">
        <v>4.4753360219471072E-3</v>
      </c>
    </row>
    <row r="1232" spans="1:25" x14ac:dyDescent="0.2">
      <c r="A1232" s="1077"/>
      <c r="B1232" s="1444">
        <v>982</v>
      </c>
      <c r="C1232" s="1081">
        <v>1.014720954937089</v>
      </c>
      <c r="D1232" s="1081">
        <v>0.9822858749721165</v>
      </c>
      <c r="E1232" s="1081">
        <v>0.99268355772977579</v>
      </c>
      <c r="F1232" s="1081">
        <v>1.0190705605825574</v>
      </c>
      <c r="G1232" s="1081">
        <v>1.0337875277875861</v>
      </c>
      <c r="H1232" s="1081">
        <v>1.0138384346392</v>
      </c>
      <c r="I1232" s="1081">
        <v>0.99156887147744111</v>
      </c>
      <c r="K1232">
        <v>2.4356411723571543</v>
      </c>
      <c r="L1232">
        <v>0</v>
      </c>
      <c r="M1232">
        <v>1.6720322334047989E-3</v>
      </c>
      <c r="N1232">
        <v>0.14886890640574227</v>
      </c>
      <c r="O1232">
        <v>2.0757827039670166E-2</v>
      </c>
      <c r="P1232">
        <v>2.867670780012745E-2</v>
      </c>
      <c r="Q1232">
        <v>5.3920217738935138E-3</v>
      </c>
      <c r="R1232">
        <v>1.6502630512886644E-3</v>
      </c>
      <c r="S1232">
        <v>0.2560926459214945</v>
      </c>
      <c r="T1232">
        <v>1.3976353762328719</v>
      </c>
      <c r="U1232">
        <v>0.20887357161935244</v>
      </c>
      <c r="V1232">
        <v>0.2504234891638385</v>
      </c>
      <c r="W1232">
        <v>9.8224182530400134E-2</v>
      </c>
      <c r="X1232">
        <v>1.6226741035340306E-2</v>
      </c>
      <c r="Y1232">
        <v>4.491472016539092E-3</v>
      </c>
    </row>
    <row r="1233" spans="1:25" x14ac:dyDescent="0.2">
      <c r="A1233" s="1077"/>
      <c r="B1233" s="1444">
        <v>983</v>
      </c>
      <c r="C1233" s="1081">
        <v>0.99355703024891384</v>
      </c>
      <c r="D1233" s="1081">
        <v>1.012504507545827</v>
      </c>
      <c r="E1233" s="1081">
        <v>1.0034198227680939</v>
      </c>
      <c r="F1233" s="1081">
        <v>1.0053377327250339</v>
      </c>
      <c r="G1233" s="1081">
        <v>1.0001953578409841</v>
      </c>
      <c r="H1233" s="1081">
        <v>1.0236380605104751</v>
      </c>
      <c r="I1233" s="1081">
        <v>1.008928264761489</v>
      </c>
      <c r="K1233">
        <v>2.4329996851153894</v>
      </c>
      <c r="L1233">
        <v>0</v>
      </c>
      <c r="M1233">
        <v>1.6749900078766981E-3</v>
      </c>
      <c r="N1233">
        <v>0.15406906767331535</v>
      </c>
      <c r="O1233">
        <v>2.1066294272733602E-2</v>
      </c>
      <c r="P1233">
        <v>2.8748657405064906E-2</v>
      </c>
      <c r="Q1233">
        <v>5.5315878347862377E-3</v>
      </c>
      <c r="R1233">
        <v>1.653391088978906E-3</v>
      </c>
      <c r="S1233">
        <v>0.2630593894315898</v>
      </c>
      <c r="T1233">
        <v>1.3790344250171445</v>
      </c>
      <c r="U1233">
        <v>0.21335974822359424</v>
      </c>
      <c r="V1233">
        <v>0.24595687368124983</v>
      </c>
      <c r="W1233">
        <v>0.10100766892004154</v>
      </c>
      <c r="X1233">
        <v>1.6687586070790395E-2</v>
      </c>
      <c r="Y1233">
        <v>4.4999855039745823E-3</v>
      </c>
    </row>
    <row r="1234" spans="1:25" x14ac:dyDescent="0.2">
      <c r="A1234" s="1077"/>
      <c r="B1234" s="1444">
        <v>984</v>
      </c>
      <c r="C1234" s="1081">
        <v>1.0070154533586486</v>
      </c>
      <c r="D1234" s="1081">
        <v>1.0380195669161163</v>
      </c>
      <c r="E1234" s="1081">
        <v>1.0089979886465779</v>
      </c>
      <c r="F1234" s="1081">
        <v>1.0134178933155484</v>
      </c>
      <c r="G1234" s="1081">
        <v>0.99970191178463619</v>
      </c>
      <c r="H1234" s="1081">
        <v>0.97148723695476469</v>
      </c>
      <c r="I1234" s="1081">
        <v>1.0318236950088746</v>
      </c>
      <c r="K1234">
        <v>2.4176843803761252</v>
      </c>
      <c r="L1234">
        <v>0</v>
      </c>
      <c r="M1234">
        <v>1.5418840162904168E-3</v>
      </c>
      <c r="N1234">
        <v>0.14413386701649092</v>
      </c>
      <c r="O1234">
        <v>2.0674908644590879E-2</v>
      </c>
      <c r="P1234">
        <v>2.8896434193172137E-2</v>
      </c>
      <c r="Q1234">
        <v>5.4592380731666298E-3</v>
      </c>
      <c r="R1234">
        <v>1.5209341707448647E-3</v>
      </c>
      <c r="S1234">
        <v>0.25771731890594607</v>
      </c>
      <c r="T1234">
        <v>1.3902404997149576</v>
      </c>
      <c r="U1234">
        <v>0.21052721979731512</v>
      </c>
      <c r="V1234">
        <v>0.24501339970800065</v>
      </c>
      <c r="W1234">
        <v>9.4182914680199584E-2</v>
      </c>
      <c r="X1234">
        <v>1.672004805087508E-2</v>
      </c>
      <c r="Y1234">
        <v>4.1394814369528823E-3</v>
      </c>
    </row>
    <row r="1235" spans="1:25" x14ac:dyDescent="0.2">
      <c r="A1235" s="1077"/>
      <c r="B1235" s="1444">
        <v>985</v>
      </c>
      <c r="C1235" s="1081">
        <v>1.0225719855224964</v>
      </c>
      <c r="D1235" s="1081">
        <v>0.9817025145497007</v>
      </c>
      <c r="E1235" s="1081">
        <v>1.0175439661819543</v>
      </c>
      <c r="F1235" s="1081">
        <v>1.0156355730567623</v>
      </c>
      <c r="G1235" s="1081">
        <v>0.95901440349751021</v>
      </c>
      <c r="H1235" s="1081">
        <v>1.0331862826698832</v>
      </c>
      <c r="I1235" s="1081">
        <v>1.0082598507129625</v>
      </c>
      <c r="K1235">
        <v>2.4291475067496138</v>
      </c>
      <c r="L1235">
        <v>0</v>
      </c>
      <c r="M1235">
        <v>1.6060189956876698E-3</v>
      </c>
      <c r="N1235">
        <v>0.15417868333779644</v>
      </c>
      <c r="O1235">
        <v>2.0617359862040989E-2</v>
      </c>
      <c r="P1235">
        <v>2.9006164615313714E-2</v>
      </c>
      <c r="Q1235">
        <v>5.4906648102289821E-3</v>
      </c>
      <c r="R1235">
        <v>1.5855008426569326E-3</v>
      </c>
      <c r="S1235">
        <v>0.26031490666614998</v>
      </c>
      <c r="T1235">
        <v>1.3934710054293407</v>
      </c>
      <c r="U1235">
        <v>0.2073530651369227</v>
      </c>
      <c r="V1235">
        <v>0.2370954374226707</v>
      </c>
      <c r="W1235">
        <v>0.10024148242597015</v>
      </c>
      <c r="X1235">
        <v>1.708404456270958E-2</v>
      </c>
      <c r="Y1235">
        <v>4.3152106334998575E-3</v>
      </c>
    </row>
    <row r="1236" spans="1:25" x14ac:dyDescent="0.2">
      <c r="A1236" s="1077"/>
      <c r="B1236" s="1444">
        <v>986</v>
      </c>
      <c r="C1236" s="1081">
        <v>1.0005817552182577</v>
      </c>
      <c r="D1236" s="1081">
        <v>0.97549546962510369</v>
      </c>
      <c r="E1236" s="1081">
        <v>0.99059939843551226</v>
      </c>
      <c r="F1236" s="1081">
        <v>0.98993349475572823</v>
      </c>
      <c r="G1236" s="1081">
        <v>1.0247044492627555</v>
      </c>
      <c r="H1236" s="1081">
        <v>0.95906694883419841</v>
      </c>
      <c r="I1236" s="1081">
        <v>0.97072904803378068</v>
      </c>
      <c r="K1236">
        <v>2.3815549682722472</v>
      </c>
      <c r="L1236">
        <v>0</v>
      </c>
      <c r="M1236">
        <v>1.6134545509134646E-3</v>
      </c>
      <c r="N1236">
        <v>0.14264366608849008</v>
      </c>
      <c r="O1236">
        <v>2.1081918233728222E-2</v>
      </c>
      <c r="P1236">
        <v>2.8045835529309605E-2</v>
      </c>
      <c r="Q1236">
        <v>5.4646936758781881E-3</v>
      </c>
      <c r="R1236">
        <v>1.5912483620036182E-3</v>
      </c>
      <c r="S1236">
        <v>0.25058018852566316</v>
      </c>
      <c r="T1236">
        <v>1.3576299122182025</v>
      </c>
      <c r="U1236">
        <v>0.21181804908541799</v>
      </c>
      <c r="V1236">
        <v>0.2497486166591637</v>
      </c>
      <c r="W1236">
        <v>9.423417808347595E-2</v>
      </c>
      <c r="X1236">
        <v>1.5999262875334951E-2</v>
      </c>
      <c r="Y1236">
        <v>4.3308534864922917E-3</v>
      </c>
    </row>
    <row r="1237" spans="1:25" x14ac:dyDescent="0.2">
      <c r="A1237" s="1077"/>
      <c r="B1237" s="1444">
        <v>987</v>
      </c>
      <c r="C1237" s="1081">
        <v>0.97272022105694089</v>
      </c>
      <c r="D1237" s="1081">
        <v>0.95523545019131462</v>
      </c>
      <c r="E1237" s="1081">
        <v>1.0156563543059132</v>
      </c>
      <c r="F1237" s="1081">
        <v>1.0027791568455091</v>
      </c>
      <c r="G1237" s="1081">
        <v>1.0063463349699413</v>
      </c>
      <c r="H1237" s="1081">
        <v>1.0166171945849203</v>
      </c>
      <c r="I1237" s="1081">
        <v>1.0010979668991038</v>
      </c>
      <c r="K1237">
        <v>2.4591719361733579</v>
      </c>
      <c r="L1237">
        <v>0</v>
      </c>
      <c r="M1237">
        <v>1.6778438315101774E-3</v>
      </c>
      <c r="N1237">
        <v>0.16012526676870276</v>
      </c>
      <c r="O1237">
        <v>2.1803404066301369E-2</v>
      </c>
      <c r="P1237">
        <v>2.9211992450927669E-2</v>
      </c>
      <c r="Q1237">
        <v>5.7956170040888988E-3</v>
      </c>
      <c r="R1237">
        <v>1.6560586941245514E-3</v>
      </c>
      <c r="S1237">
        <v>0.2739821592081389</v>
      </c>
      <c r="T1237">
        <v>1.3757906883785307</v>
      </c>
      <c r="U1237">
        <v>0.21797322827698201</v>
      </c>
      <c r="V1237">
        <v>0.24830903636974092</v>
      </c>
      <c r="W1237">
        <v>0.10422308237042684</v>
      </c>
      <c r="X1237">
        <v>1.7472000571098274E-2</v>
      </c>
      <c r="Y1237">
        <v>4.5072458458052297E-3</v>
      </c>
    </row>
    <row r="1238" spans="1:25" x14ac:dyDescent="0.2">
      <c r="A1238" s="1077"/>
      <c r="B1238" s="1444">
        <v>988</v>
      </c>
      <c r="C1238" s="1081">
        <v>1.0126354867396739</v>
      </c>
      <c r="D1238" s="1081">
        <v>0.99971694577227166</v>
      </c>
      <c r="E1238" s="1081">
        <v>1.0050381614159967</v>
      </c>
      <c r="F1238" s="1081">
        <v>0.98030775476739795</v>
      </c>
      <c r="G1238" s="1081">
        <v>1.0197639187272078</v>
      </c>
      <c r="H1238" s="1081">
        <v>0.98667982207932181</v>
      </c>
      <c r="I1238" s="1081">
        <v>0.98249016088048347</v>
      </c>
      <c r="K1238">
        <v>2.3690392994544056</v>
      </c>
      <c r="L1238">
        <v>0</v>
      </c>
      <c r="M1238">
        <v>1.5832052821493326E-3</v>
      </c>
      <c r="N1238">
        <v>0.14626845094722613</v>
      </c>
      <c r="O1238">
        <v>2.0728335255750328E-2</v>
      </c>
      <c r="P1238">
        <v>2.810757867122771E-2</v>
      </c>
      <c r="Q1238">
        <v>5.4516870254448018E-3</v>
      </c>
      <c r="R1238">
        <v>1.5620252213851772E-3</v>
      </c>
      <c r="S1238">
        <v>0.24989738416641818</v>
      </c>
      <c r="T1238">
        <v>1.344734830830064</v>
      </c>
      <c r="U1238">
        <v>0.20934543189655658</v>
      </c>
      <c r="V1238">
        <v>0.24810913998916936</v>
      </c>
      <c r="W1238">
        <v>9.5801701119107838E-2</v>
      </c>
      <c r="X1238">
        <v>1.636462188306809E-2</v>
      </c>
      <c r="Y1238">
        <v>4.2513177311346113E-3</v>
      </c>
    </row>
    <row r="1239" spans="1:25" x14ac:dyDescent="0.2">
      <c r="A1239" s="1077"/>
      <c r="B1239" s="1444">
        <v>989</v>
      </c>
      <c r="C1239" s="1081">
        <v>0.98501098501008799</v>
      </c>
      <c r="D1239" s="1081">
        <v>0.96507929845116558</v>
      </c>
      <c r="E1239" s="1081">
        <v>1.0236865937914967</v>
      </c>
      <c r="F1239" s="1081">
        <v>1.0222164025914244</v>
      </c>
      <c r="G1239" s="1081">
        <v>1.0045604027245938</v>
      </c>
      <c r="H1239" s="1081">
        <v>1.0421383807245581</v>
      </c>
      <c r="I1239" s="1081">
        <v>1.0280443641684796</v>
      </c>
      <c r="K1239">
        <v>2.4918031317051894</v>
      </c>
      <c r="L1239">
        <v>0</v>
      </c>
      <c r="M1239">
        <v>1.6665979972736009E-3</v>
      </c>
      <c r="N1239">
        <v>0.16300477457186083</v>
      </c>
      <c r="O1239">
        <v>2.1488305239977627E-2</v>
      </c>
      <c r="P1239">
        <v>2.9770440831948644E-2</v>
      </c>
      <c r="Q1239">
        <v>5.7576496702013286E-3</v>
      </c>
      <c r="R1239">
        <v>1.6454888017158335E-3</v>
      </c>
      <c r="S1239">
        <v>0.27876862168169225</v>
      </c>
      <c r="T1239">
        <v>1.4026363830202162</v>
      </c>
      <c r="U1239">
        <v>0.21528135393726089</v>
      </c>
      <c r="V1239">
        <v>0.24717537478548915</v>
      </c>
      <c r="W1239">
        <v>0.10559989223876748</v>
      </c>
      <c r="X1239">
        <v>1.7862966840298568E-2</v>
      </c>
      <c r="Y1239">
        <v>4.4784780830327978E-3</v>
      </c>
    </row>
    <row r="1240" spans="1:25" x14ac:dyDescent="0.2">
      <c r="A1240" s="1077"/>
      <c r="B1240" s="1444">
        <v>990</v>
      </c>
      <c r="C1240" s="1081">
        <v>0.96694340036326454</v>
      </c>
      <c r="D1240" s="1081">
        <v>0.98607886369449826</v>
      </c>
      <c r="E1240" s="1081">
        <v>1.0111596133536536</v>
      </c>
      <c r="F1240" s="1081">
        <v>0.99598290188869432</v>
      </c>
      <c r="G1240" s="1081">
        <v>1.0347170297528399</v>
      </c>
      <c r="H1240" s="1081">
        <v>1.011590171103067</v>
      </c>
      <c r="I1240" s="1081">
        <v>1.0183236534858564</v>
      </c>
      <c r="K1240">
        <v>2.4549272678463536</v>
      </c>
      <c r="L1240">
        <v>0</v>
      </c>
      <c r="M1240">
        <v>1.6834824690756317E-3</v>
      </c>
      <c r="N1240">
        <v>0.15848719570878361</v>
      </c>
      <c r="O1240">
        <v>2.1777752752861663E-2</v>
      </c>
      <c r="P1240">
        <v>2.9095426320877065E-2</v>
      </c>
      <c r="Q1240">
        <v>5.7628842867391379E-3</v>
      </c>
      <c r="R1240">
        <v>1.6615154961043194E-3</v>
      </c>
      <c r="S1240">
        <v>0.27542374067514414</v>
      </c>
      <c r="T1240">
        <v>1.3663692542346253</v>
      </c>
      <c r="U1240">
        <v>0.2192595389409854</v>
      </c>
      <c r="V1240">
        <v>0.25355160081249473</v>
      </c>
      <c r="W1240">
        <v>0.10343004793913096</v>
      </c>
      <c r="X1240">
        <v>1.7269695685724489E-2</v>
      </c>
      <c r="Y1240">
        <v>4.5220974619598689E-3</v>
      </c>
    </row>
    <row r="1241" spans="1:25" x14ac:dyDescent="0.2">
      <c r="A1241" s="1077"/>
      <c r="B1241" s="1444">
        <v>991</v>
      </c>
      <c r="C1241" s="1081">
        <v>0.98664311210054023</v>
      </c>
      <c r="D1241" s="1081">
        <v>0.9878790073198257</v>
      </c>
      <c r="E1241" s="1081">
        <v>1.0273685077351125</v>
      </c>
      <c r="F1241" s="1081">
        <v>1.0221600075225508</v>
      </c>
      <c r="G1241" s="1081">
        <v>0.99260435397852864</v>
      </c>
      <c r="H1241" s="1081">
        <v>0.98619192267058375</v>
      </c>
      <c r="I1241" s="1081">
        <v>0.9955740599411218</v>
      </c>
      <c r="K1241">
        <v>2.4557133170614169</v>
      </c>
      <c r="L1241">
        <v>0</v>
      </c>
      <c r="M1241">
        <v>1.554487054179249E-3</v>
      </c>
      <c r="N1241">
        <v>0.15362517487488536</v>
      </c>
      <c r="O1241">
        <v>2.1345331720125968E-2</v>
      </c>
      <c r="P1241">
        <v>2.9576584422220581E-2</v>
      </c>
      <c r="Q1241">
        <v>5.7402502470386418E-3</v>
      </c>
      <c r="R1241">
        <v>1.5336808964348035E-3</v>
      </c>
      <c r="S1241">
        <v>0.26160079479907611</v>
      </c>
      <c r="T1241">
        <v>1.4026408046962224</v>
      </c>
      <c r="U1241">
        <v>0.21493803610395668</v>
      </c>
      <c r="V1241">
        <v>0.24501748220539135</v>
      </c>
      <c r="W1241">
        <v>9.9310249714456456E-2</v>
      </c>
      <c r="X1241">
        <v>1.7765240613461158E-2</v>
      </c>
      <c r="Y1241">
        <v>4.1741738223239015E-3</v>
      </c>
    </row>
    <row r="1242" spans="1:25" x14ac:dyDescent="0.2">
      <c r="A1242" s="1077"/>
      <c r="B1242" s="1444">
        <v>992</v>
      </c>
      <c r="C1242" s="1081">
        <v>0.99576138101213607</v>
      </c>
      <c r="D1242" s="1081">
        <v>1.003784401252154</v>
      </c>
      <c r="E1242" s="1081">
        <v>0.9984249877213085</v>
      </c>
      <c r="F1242" s="1081">
        <v>1.011942348431472</v>
      </c>
      <c r="G1242" s="1081">
        <v>0.9738228361153215</v>
      </c>
      <c r="H1242" s="1081">
        <v>0.96414463038344356</v>
      </c>
      <c r="I1242" s="1081">
        <v>1.003608082955272</v>
      </c>
      <c r="K1242">
        <v>2.414249074134982</v>
      </c>
      <c r="L1242">
        <v>0</v>
      </c>
      <c r="M1242">
        <v>1.5935739735622244E-3</v>
      </c>
      <c r="N1242">
        <v>0.14426865259009267</v>
      </c>
      <c r="O1242">
        <v>2.10563694774639E-2</v>
      </c>
      <c r="P1242">
        <v>2.8612738596755307E-2</v>
      </c>
      <c r="Q1242">
        <v>5.5013060508584876E-3</v>
      </c>
      <c r="R1242">
        <v>1.5717569118688533E-3</v>
      </c>
      <c r="S1242">
        <v>0.25708155449094616</v>
      </c>
      <c r="T1242">
        <v>1.3879847194728696</v>
      </c>
      <c r="U1242">
        <v>0.21287027784877921</v>
      </c>
      <c r="V1242">
        <v>0.24133184708374866</v>
      </c>
      <c r="W1242">
        <v>9.4863512965346231E-2</v>
      </c>
      <c r="X1242">
        <v>1.6422108435235089E-2</v>
      </c>
      <c r="Y1242">
        <v>4.2778041845802717E-3</v>
      </c>
    </row>
    <row r="1243" spans="1:25" x14ac:dyDescent="0.2">
      <c r="A1243" s="1077"/>
      <c r="B1243" s="1444">
        <v>993</v>
      </c>
      <c r="C1243" s="1081">
        <v>1.0056234196218967</v>
      </c>
      <c r="D1243" s="1081">
        <v>0.98501328025083668</v>
      </c>
      <c r="E1243" s="1081">
        <v>0.98028506681558003</v>
      </c>
      <c r="F1243" s="1081">
        <v>1.0164220425039776</v>
      </c>
      <c r="G1243" s="1081">
        <v>0.97854075160464715</v>
      </c>
      <c r="H1243" s="1081">
        <v>1.0045211845016437</v>
      </c>
      <c r="I1243" s="1081">
        <v>0.98713393983140085</v>
      </c>
      <c r="K1243">
        <v>2.4216218752950147</v>
      </c>
      <c r="L1243">
        <v>0</v>
      </c>
      <c r="M1243">
        <v>1.7140637887996986E-3</v>
      </c>
      <c r="N1243">
        <v>0.14697687189616515</v>
      </c>
      <c r="O1243">
        <v>2.0924650960022682E-2</v>
      </c>
      <c r="P1243">
        <v>2.8262270417470477E-2</v>
      </c>
      <c r="Q1243">
        <v>5.3675334127046021E-3</v>
      </c>
      <c r="R1243">
        <v>1.6915403810834955E-3</v>
      </c>
      <c r="S1243">
        <v>0.256015441396096</v>
      </c>
      <c r="T1243">
        <v>1.3937311783772561</v>
      </c>
      <c r="U1243">
        <v>0.21072112720446171</v>
      </c>
      <c r="V1243">
        <v>0.2415870296850639</v>
      </c>
      <c r="W1243">
        <v>9.770080202067398E-2</v>
      </c>
      <c r="X1243">
        <v>1.5753678031643001E-2</v>
      </c>
      <c r="Y1243">
        <v>4.6038153011725121E-3</v>
      </c>
    </row>
    <row r="1244" spans="1:25" x14ac:dyDescent="0.2">
      <c r="A1244" s="1077"/>
      <c r="B1244" s="1444">
        <v>994</v>
      </c>
      <c r="C1244" s="1081">
        <v>0.96275972942036403</v>
      </c>
      <c r="D1244" s="1081">
        <v>1.0005274192498645</v>
      </c>
      <c r="E1244" s="1081">
        <v>1.0301106651645486</v>
      </c>
      <c r="F1244" s="1081">
        <v>1.0198211511782</v>
      </c>
      <c r="G1244" s="1081">
        <v>0.97187626023501694</v>
      </c>
      <c r="H1244" s="1081">
        <v>1.0258025449399695</v>
      </c>
      <c r="I1244" s="1081">
        <v>1.030180837687841</v>
      </c>
      <c r="K1244">
        <v>2.4917930546488938</v>
      </c>
      <c r="L1244">
        <v>0</v>
      </c>
      <c r="M1244">
        <v>1.6429900907191642E-3</v>
      </c>
      <c r="N1244">
        <v>0.16380534445502234</v>
      </c>
      <c r="O1244">
        <v>2.1815607940096248E-2</v>
      </c>
      <c r="P1244">
        <v>2.9885198625361258E-2</v>
      </c>
      <c r="Q1244">
        <v>5.8826565416756826E-3</v>
      </c>
      <c r="R1244">
        <v>1.6218485131790832E-3</v>
      </c>
      <c r="S1244">
        <v>0.27927280867681703</v>
      </c>
      <c r="T1244">
        <v>1.3994921730566023</v>
      </c>
      <c r="U1244">
        <v>0.22027982723002826</v>
      </c>
      <c r="V1244">
        <v>0.24304081114494686</v>
      </c>
      <c r="W1244">
        <v>0.10572258563126125</v>
      </c>
      <c r="X1244">
        <v>1.8203045913966241E-2</v>
      </c>
      <c r="Y1244">
        <v>4.4141370106547837E-3</v>
      </c>
    </row>
    <row r="1245" spans="1:25" x14ac:dyDescent="0.2">
      <c r="A1245" s="1077"/>
      <c r="B1245" s="1444">
        <v>995</v>
      </c>
      <c r="C1245" s="1081">
        <v>0.99056255734092191</v>
      </c>
      <c r="D1245" s="1081">
        <v>1.0055828472280768</v>
      </c>
      <c r="E1245" s="1081">
        <v>1.0055871828482734</v>
      </c>
      <c r="F1245" s="1081">
        <v>0.96304775372146734</v>
      </c>
      <c r="G1245" s="1081">
        <v>1.0124428587013063</v>
      </c>
      <c r="H1245" s="1081">
        <v>1.0306665250717677</v>
      </c>
      <c r="I1245" s="1081">
        <v>1.0048519553953863</v>
      </c>
      <c r="K1245">
        <v>2.3818931714976985</v>
      </c>
      <c r="L1245">
        <v>0</v>
      </c>
      <c r="M1245">
        <v>1.6865391017057746E-3</v>
      </c>
      <c r="N1245">
        <v>0.15616409259631678</v>
      </c>
      <c r="O1245">
        <v>2.1163340918958707E-2</v>
      </c>
      <c r="P1245">
        <v>2.8057904658572184E-2</v>
      </c>
      <c r="Q1245">
        <v>5.5691599087474026E-3</v>
      </c>
      <c r="R1245">
        <v>1.664939563698762E-3</v>
      </c>
      <c r="S1245">
        <v>0.26431086796960906</v>
      </c>
      <c r="T1245">
        <v>1.3210699132164161</v>
      </c>
      <c r="U1245">
        <v>0.2140122196115006</v>
      </c>
      <c r="V1245">
        <v>0.2482302050419824</v>
      </c>
      <c r="W1245">
        <v>0.10224983590958549</v>
      </c>
      <c r="X1245">
        <v>1.655581455880727E-2</v>
      </c>
      <c r="Y1245">
        <v>4.5314166452083641E-3</v>
      </c>
    </row>
    <row r="1246" spans="1:25" x14ac:dyDescent="0.2">
      <c r="A1246" s="1077"/>
      <c r="B1246" s="1444">
        <v>996</v>
      </c>
      <c r="C1246" s="1081">
        <v>0.99101673405777724</v>
      </c>
      <c r="D1246" s="1081">
        <v>0.9670601569631031</v>
      </c>
      <c r="E1246" s="1081">
        <v>1.0104531762954658</v>
      </c>
      <c r="F1246" s="1081">
        <v>1.020253427395392</v>
      </c>
      <c r="G1246" s="1081">
        <v>0.98635538398716271</v>
      </c>
      <c r="H1246" s="1081">
        <v>0.97375647296135615</v>
      </c>
      <c r="I1246" s="1081">
        <v>1.0098091328920231</v>
      </c>
      <c r="K1246">
        <v>2.4474264894487994</v>
      </c>
      <c r="L1246">
        <v>0</v>
      </c>
      <c r="M1246">
        <v>1.5902766281945774E-3</v>
      </c>
      <c r="N1246">
        <v>0.14931688925794689</v>
      </c>
      <c r="O1246">
        <v>2.1339498454729513E-2</v>
      </c>
      <c r="P1246">
        <v>2.9197236708224363E-2</v>
      </c>
      <c r="Q1246">
        <v>5.6429277540461084E-3</v>
      </c>
      <c r="R1246">
        <v>1.5687196175051519E-3</v>
      </c>
      <c r="S1246">
        <v>0.26579778534673515</v>
      </c>
      <c r="T1246">
        <v>1.399649886414235</v>
      </c>
      <c r="U1246">
        <v>0.21393094390855241</v>
      </c>
      <c r="V1246">
        <v>0.24373011489734331</v>
      </c>
      <c r="W1246">
        <v>9.7486005913682977E-2</v>
      </c>
      <c r="X1246">
        <v>1.7087220133423342E-2</v>
      </c>
      <c r="Y1246">
        <v>4.2695376705660943E-3</v>
      </c>
    </row>
    <row r="1247" spans="1:25" x14ac:dyDescent="0.2">
      <c r="A1247" s="1077"/>
      <c r="B1247" s="1444">
        <v>997</v>
      </c>
      <c r="C1247" s="1081">
        <v>1.0124511466928778</v>
      </c>
      <c r="D1247" s="1081">
        <v>1.0234180445441439</v>
      </c>
      <c r="E1247" s="1081">
        <v>1.0000484475640934</v>
      </c>
      <c r="F1247" s="1081">
        <v>1.0118061770600384</v>
      </c>
      <c r="G1247" s="1081">
        <v>0.99310246587242446</v>
      </c>
      <c r="H1247" s="1081">
        <v>1.0359855135033866</v>
      </c>
      <c r="I1247" s="1081">
        <v>1.0209238876573756</v>
      </c>
      <c r="K1247">
        <v>2.4294181744516945</v>
      </c>
      <c r="L1247">
        <v>0</v>
      </c>
      <c r="M1247">
        <v>1.6712899886959841E-3</v>
      </c>
      <c r="N1247">
        <v>0.15219474248027565</v>
      </c>
      <c r="O1247">
        <v>2.0622257838796891E-2</v>
      </c>
      <c r="P1247">
        <v>2.8679821835992887E-2</v>
      </c>
      <c r="Q1247">
        <v>5.3966908131538819E-3</v>
      </c>
      <c r="R1247">
        <v>1.6499956406802122E-3</v>
      </c>
      <c r="S1247">
        <v>0.2608591581421712</v>
      </c>
      <c r="T1247">
        <v>1.3878334679237769</v>
      </c>
      <c r="U1247">
        <v>0.20936669511477077</v>
      </c>
      <c r="V1247">
        <v>0.24358572491898381</v>
      </c>
      <c r="W1247">
        <v>9.9978720914263602E-2</v>
      </c>
      <c r="X1247">
        <v>1.6431444604508495E-2</v>
      </c>
      <c r="Y1247">
        <v>4.4907442130147704E-3</v>
      </c>
    </row>
    <row r="1248" spans="1:25" x14ac:dyDescent="0.2">
      <c r="A1248" s="1077"/>
      <c r="B1248" s="1444">
        <v>998</v>
      </c>
      <c r="C1248" s="1081">
        <v>0.99044277911767753</v>
      </c>
      <c r="D1248" s="1081">
        <v>0.9537528172791977</v>
      </c>
      <c r="E1248" s="1081">
        <v>0.99810717381124292</v>
      </c>
      <c r="F1248" s="1081">
        <v>0.9782411128397599</v>
      </c>
      <c r="G1248" s="1081">
        <v>0.97134582227134347</v>
      </c>
      <c r="H1248" s="1081">
        <v>0.96670342932364006</v>
      </c>
      <c r="I1248" s="1081">
        <v>1.004164517190075</v>
      </c>
      <c r="K1248">
        <v>2.382160284179248</v>
      </c>
      <c r="L1248">
        <v>0</v>
      </c>
      <c r="M1248">
        <v>1.6256252333374706E-3</v>
      </c>
      <c r="N1248">
        <v>0.1470344426818942</v>
      </c>
      <c r="O1248">
        <v>2.1408686920864183E-2</v>
      </c>
      <c r="P1248">
        <v>2.8106684535322848E-2</v>
      </c>
      <c r="Q1248">
        <v>5.5915662138633715E-3</v>
      </c>
      <c r="R1248">
        <v>1.6034282788765374E-3</v>
      </c>
      <c r="S1248">
        <v>0.2656161945389004</v>
      </c>
      <c r="T1248">
        <v>1.3417532298772834</v>
      </c>
      <c r="U1248">
        <v>0.21401227839677503</v>
      </c>
      <c r="V1248">
        <v>0.24124638757315556</v>
      </c>
      <c r="W1248">
        <v>9.6700440887266204E-2</v>
      </c>
      <c r="X1248">
        <v>1.6348566303269665E-2</v>
      </c>
      <c r="Y1248">
        <v>4.3640032051118598E-3</v>
      </c>
    </row>
    <row r="1249" spans="1:25" x14ac:dyDescent="0.2">
      <c r="A1249" s="1077"/>
      <c r="B1249" s="1444">
        <v>999</v>
      </c>
      <c r="C1249" s="1081">
        <v>0.98355130389381362</v>
      </c>
      <c r="D1249" s="1081">
        <v>0.99025826126317595</v>
      </c>
      <c r="E1249" s="1081">
        <v>1.0244961265044037</v>
      </c>
      <c r="F1249" s="1081">
        <v>1.025552062085076</v>
      </c>
      <c r="G1249" s="1081">
        <v>0.99383817215304526</v>
      </c>
      <c r="H1249" s="1081">
        <v>0.99005617853399308</v>
      </c>
      <c r="I1249" s="1081">
        <v>1.0273373542052153</v>
      </c>
      <c r="K1249">
        <v>2.4719637211540459</v>
      </c>
      <c r="L1249">
        <v>0</v>
      </c>
      <c r="M1249">
        <v>1.5740430055935324E-3</v>
      </c>
      <c r="N1249">
        <v>0.15422443619619</v>
      </c>
      <c r="O1249">
        <v>2.1399152140682085E-2</v>
      </c>
      <c r="P1249">
        <v>2.9721296913187836E-2</v>
      </c>
      <c r="Q1249">
        <v>5.7383676459117046E-3</v>
      </c>
      <c r="R1249">
        <v>1.5530573290893233E-3</v>
      </c>
      <c r="S1249">
        <v>0.27078753982871734</v>
      </c>
      <c r="T1249">
        <v>1.407231456085728</v>
      </c>
      <c r="U1249">
        <v>0.21560367512654649</v>
      </c>
      <c r="V1249">
        <v>0.24543678533798313</v>
      </c>
      <c r="W1249">
        <v>9.9864541115992606E-2</v>
      </c>
      <c r="X1249">
        <v>1.7750546355039604E-2</v>
      </c>
      <c r="Y1249">
        <v>4.2269100845701967E-3</v>
      </c>
    </row>
    <row r="1250" spans="1:25" x14ac:dyDescent="0.2">
      <c r="A1250" s="1077"/>
      <c r="B1250" s="1444">
        <v>1000</v>
      </c>
      <c r="C1250" s="1081">
        <v>1.0443972389254064</v>
      </c>
      <c r="D1250" s="1081">
        <v>1.0065806507705672</v>
      </c>
      <c r="E1250" s="1081">
        <v>0.98241699309912467</v>
      </c>
      <c r="F1250" s="1081">
        <v>0.99317224823732519</v>
      </c>
      <c r="G1250" s="1081">
        <v>0.97646269407520725</v>
      </c>
      <c r="H1250" s="1081">
        <v>0.99712707560413527</v>
      </c>
      <c r="I1250" s="1081">
        <v>0.97929723598845386</v>
      </c>
      <c r="K1250">
        <v>2.3505455969629567</v>
      </c>
      <c r="L1250">
        <v>0</v>
      </c>
      <c r="M1250">
        <v>1.623318294864184E-3</v>
      </c>
      <c r="N1250">
        <v>0.14008252157650145</v>
      </c>
      <c r="O1250">
        <v>2.005338395313767E-2</v>
      </c>
      <c r="P1250">
        <v>2.7540468881737577E-2</v>
      </c>
      <c r="Q1250">
        <v>5.1551886524648198E-3</v>
      </c>
      <c r="R1250">
        <v>1.6018291371879749E-3</v>
      </c>
      <c r="S1250">
        <v>0.24134231401219317</v>
      </c>
      <c r="T1250">
        <v>1.3618963761023579</v>
      </c>
      <c r="U1250">
        <v>0.2029049467446081</v>
      </c>
      <c r="V1250">
        <v>0.23892160650338531</v>
      </c>
      <c r="W1250">
        <v>9.2998213844926375E-2</v>
      </c>
      <c r="X1250">
        <v>1.5312414980727227E-2</v>
      </c>
      <c r="Y1250">
        <v>4.3596508685925075E-3</v>
      </c>
    </row>
    <row r="1251" spans="1:25" x14ac:dyDescent="0.2">
      <c r="A1251" s="1077"/>
      <c r="B1251" s="1444">
        <v>1001</v>
      </c>
      <c r="C1251" s="1081">
        <v>1.0098236357795405</v>
      </c>
      <c r="D1251" s="1081">
        <v>1.0288226056515626</v>
      </c>
      <c r="E1251" s="1081">
        <v>0.99262366085261988</v>
      </c>
      <c r="F1251" s="1081">
        <v>1.0195164176035612</v>
      </c>
      <c r="G1251" s="1081">
        <v>1.0194561048045985</v>
      </c>
      <c r="H1251" s="1081">
        <v>1.0385451547199349</v>
      </c>
      <c r="I1251" s="1081">
        <v>0.99070290818034845</v>
      </c>
      <c r="K1251">
        <v>2.4369210429747206</v>
      </c>
      <c r="L1251">
        <v>0</v>
      </c>
      <c r="M1251">
        <v>1.7038591887198343E-3</v>
      </c>
      <c r="N1251">
        <v>0.15172274400080596</v>
      </c>
      <c r="O1251">
        <v>2.0647125272984027E-2</v>
      </c>
      <c r="P1251">
        <v>2.8630234772427269E-2</v>
      </c>
      <c r="Q1251">
        <v>5.3629418365365366E-3</v>
      </c>
      <c r="R1251">
        <v>1.6822033735951795E-3</v>
      </c>
      <c r="S1251">
        <v>0.25328901138904075</v>
      </c>
      <c r="T1251">
        <v>1.3982455416537467</v>
      </c>
      <c r="U1251">
        <v>0.20988633860548611</v>
      </c>
      <c r="V1251">
        <v>0.24827398000479714</v>
      </c>
      <c r="W1251">
        <v>0.10011073830644414</v>
      </c>
      <c r="X1251">
        <v>1.6195639902840599E-2</v>
      </c>
      <c r="Y1251">
        <v>4.578403044733009E-3</v>
      </c>
    </row>
    <row r="1252" spans="1:25" x14ac:dyDescent="0.2">
      <c r="A1252" s="1077"/>
      <c r="B1252" s="1444">
        <v>1002</v>
      </c>
      <c r="C1252" s="1081">
        <v>1.022529805188777</v>
      </c>
      <c r="D1252" s="1081">
        <v>1.0241823001677812</v>
      </c>
      <c r="E1252" s="1081">
        <v>1.0035631867829438</v>
      </c>
      <c r="F1252" s="1081">
        <v>0.98431103945513443</v>
      </c>
      <c r="G1252" s="1081">
        <v>1.0242130025212028</v>
      </c>
      <c r="H1252" s="1081">
        <v>0.98241658378964725</v>
      </c>
      <c r="I1252" s="1081">
        <v>0.97764165124658464</v>
      </c>
      <c r="K1252">
        <v>2.3600535189352971</v>
      </c>
      <c r="L1252">
        <v>0</v>
      </c>
      <c r="M1252">
        <v>1.5575909611192889E-3</v>
      </c>
      <c r="N1252">
        <v>0.14325394675968114</v>
      </c>
      <c r="O1252">
        <v>2.0417909525277125E-2</v>
      </c>
      <c r="P1252">
        <v>2.8030829519962837E-2</v>
      </c>
      <c r="Q1252">
        <v>5.362106127000275E-3</v>
      </c>
      <c r="R1252">
        <v>1.5366631430300845E-3</v>
      </c>
      <c r="S1252">
        <v>0.24293956204921957</v>
      </c>
      <c r="T1252">
        <v>1.3501948993441284</v>
      </c>
      <c r="U1252">
        <v>0.2073148059475822</v>
      </c>
      <c r="V1252">
        <v>0.24827801569943536</v>
      </c>
      <c r="W1252">
        <v>9.3909296363640302E-2</v>
      </c>
      <c r="X1252">
        <v>1.6190784902996958E-2</v>
      </c>
      <c r="Y1252">
        <v>4.1822905144589312E-3</v>
      </c>
    </row>
    <row r="1253" spans="1:25" x14ac:dyDescent="0.2">
      <c r="A1253" s="1077"/>
      <c r="B1253" s="1444">
        <v>1003</v>
      </c>
      <c r="C1253" s="1081">
        <v>0.98969977635937978</v>
      </c>
      <c r="D1253" s="1081">
        <v>1.0334793865495981</v>
      </c>
      <c r="E1253" s="1081">
        <v>1.0139289893212895</v>
      </c>
      <c r="F1253" s="1081">
        <v>1.0015558196427001</v>
      </c>
      <c r="G1253" s="1081">
        <v>0.99873436517688019</v>
      </c>
      <c r="H1253" s="1081">
        <v>1.0122750083503174</v>
      </c>
      <c r="I1253" s="1081">
        <v>1.0014064781414977</v>
      </c>
      <c r="K1253">
        <v>2.4236031676862293</v>
      </c>
      <c r="L1253">
        <v>0</v>
      </c>
      <c r="M1253">
        <v>1.6196255485505624E-3</v>
      </c>
      <c r="N1253">
        <v>0.15375683534146214</v>
      </c>
      <c r="O1253">
        <v>2.1060219938373988E-2</v>
      </c>
      <c r="P1253">
        <v>2.885420923651396E-2</v>
      </c>
      <c r="Q1253">
        <v>5.5884367853908448E-3</v>
      </c>
      <c r="R1253">
        <v>1.5985061122424039E-3</v>
      </c>
      <c r="S1253">
        <v>0.25857998848803698</v>
      </c>
      <c r="T1253">
        <v>1.3740747693252409</v>
      </c>
      <c r="U1253">
        <v>0.2142276414455079</v>
      </c>
      <c r="V1253">
        <v>0.24591502219347947</v>
      </c>
      <c r="W1253">
        <v>0.10017957348656809</v>
      </c>
      <c r="X1253">
        <v>1.7036984191836246E-2</v>
      </c>
      <c r="Y1253">
        <v>4.3506066901255443E-3</v>
      </c>
    </row>
    <row r="1254" spans="1:25" x14ac:dyDescent="0.2">
      <c r="A1254" s="1077"/>
      <c r="B1254" s="1444">
        <v>1004</v>
      </c>
      <c r="C1254" s="1081">
        <v>1.0051914588924582</v>
      </c>
      <c r="D1254" s="1081">
        <v>0.97079622742623373</v>
      </c>
      <c r="E1254" s="1081">
        <v>1.021676399915717</v>
      </c>
      <c r="F1254" s="1081">
        <v>1.0016858053220743</v>
      </c>
      <c r="G1254" s="1081">
        <v>0.95350441321985757</v>
      </c>
      <c r="H1254" s="1081">
        <v>1.0183852327067917</v>
      </c>
      <c r="I1254" s="1081">
        <v>0.99713479146753792</v>
      </c>
      <c r="K1254">
        <v>2.418283600768901</v>
      </c>
      <c r="L1254">
        <v>0</v>
      </c>
      <c r="M1254">
        <v>1.6005259127985429E-3</v>
      </c>
      <c r="N1254">
        <v>0.15554964674014654</v>
      </c>
      <c r="O1254">
        <v>2.1028216804850602E-2</v>
      </c>
      <c r="P1254">
        <v>2.8906579329621117E-2</v>
      </c>
      <c r="Q1254">
        <v>5.623139965084005E-3</v>
      </c>
      <c r="R1254">
        <v>1.5797807505827789E-3</v>
      </c>
      <c r="S1254">
        <v>0.26213996048975435</v>
      </c>
      <c r="T1254">
        <v>1.3744215368112449</v>
      </c>
      <c r="U1254">
        <v>0.21095245248028754</v>
      </c>
      <c r="V1254">
        <v>0.23719665044195334</v>
      </c>
      <c r="W1254">
        <v>0.1008885462219522</v>
      </c>
      <c r="X1254">
        <v>1.7297974217721591E-2</v>
      </c>
      <c r="Y1254">
        <v>4.2996424285018549E-3</v>
      </c>
    </row>
    <row r="1255" spans="1:25" x14ac:dyDescent="0.2">
      <c r="A1255" s="1077"/>
      <c r="B1255" s="1444">
        <v>1005</v>
      </c>
      <c r="C1255" s="1081">
        <v>0.95914800053294258</v>
      </c>
      <c r="D1255" s="1081">
        <v>0.99760313724717198</v>
      </c>
      <c r="E1255" s="1081">
        <v>0.97960225494171749</v>
      </c>
      <c r="F1255" s="1081">
        <v>0.9967030230250814</v>
      </c>
      <c r="G1255" s="1081">
        <v>0.9829476061980269</v>
      </c>
      <c r="H1255" s="1081">
        <v>1.0156265704379031</v>
      </c>
      <c r="I1255" s="1081">
        <v>0.97499012132447416</v>
      </c>
      <c r="K1255">
        <v>2.4324031918302023</v>
      </c>
      <c r="L1255">
        <v>0</v>
      </c>
      <c r="M1255">
        <v>1.8144767488128366E-3</v>
      </c>
      <c r="N1255">
        <v>0.15528854374104534</v>
      </c>
      <c r="O1255">
        <v>2.1876868839494745E-2</v>
      </c>
      <c r="P1255">
        <v>2.8184351878807662E-2</v>
      </c>
      <c r="Q1255">
        <v>5.607900297612177E-3</v>
      </c>
      <c r="R1255">
        <v>1.7908945893573736E-3</v>
      </c>
      <c r="S1255">
        <v>0.26438970838922243</v>
      </c>
      <c r="T1255">
        <v>1.3666775428718787</v>
      </c>
      <c r="U1255">
        <v>0.22092917247512073</v>
      </c>
      <c r="V1255">
        <v>0.24534784802415688</v>
      </c>
      <c r="W1255">
        <v>0.1032684390886358</v>
      </c>
      <c r="X1255">
        <v>1.598217367969617E-2</v>
      </c>
      <c r="Y1255">
        <v>4.8742247039880535E-3</v>
      </c>
    </row>
    <row r="1256" spans="1:25" x14ac:dyDescent="0.2">
      <c r="A1256" s="1077"/>
      <c r="B1256" s="1444">
        <v>1006</v>
      </c>
      <c r="C1256" s="1081">
        <v>1.0127854470220008</v>
      </c>
      <c r="D1256" s="1081">
        <v>1.0310851956475877</v>
      </c>
      <c r="E1256" s="1081">
        <v>1.0341599967470143</v>
      </c>
      <c r="F1256" s="1081">
        <v>1.0202674440216706</v>
      </c>
      <c r="G1256" s="1081">
        <v>1.0199850488958804</v>
      </c>
      <c r="H1256" s="1081">
        <v>1.0329139431842789</v>
      </c>
      <c r="I1256" s="1081">
        <v>0.98767018385655203</v>
      </c>
      <c r="K1256">
        <v>2.4436653016183376</v>
      </c>
      <c r="L1256">
        <v>0</v>
      </c>
      <c r="M1256">
        <v>1.5491577790128655E-3</v>
      </c>
      <c r="N1256">
        <v>0.1563609698652762</v>
      </c>
      <c r="O1256">
        <v>2.0603888455028273E-2</v>
      </c>
      <c r="P1256">
        <v>2.9510053950317184E-2</v>
      </c>
      <c r="Q1256">
        <v>5.5781738811693403E-3</v>
      </c>
      <c r="R1256">
        <v>1.5293608543402778E-3</v>
      </c>
      <c r="S1256">
        <v>0.25136900081679686</v>
      </c>
      <c r="T1256">
        <v>1.4001945290255176</v>
      </c>
      <c r="U1256">
        <v>0.20941301626260553</v>
      </c>
      <c r="V1256">
        <v>0.24803242806189424</v>
      </c>
      <c r="W1256">
        <v>0.10068133058630689</v>
      </c>
      <c r="X1256">
        <v>1.7779291546252279E-2</v>
      </c>
      <c r="Y1256">
        <v>4.1624160918440978E-3</v>
      </c>
    </row>
    <row r="1257" spans="1:25" x14ac:dyDescent="0.2">
      <c r="A1257" s="1077"/>
      <c r="B1257" s="1444">
        <v>1007</v>
      </c>
      <c r="C1257" s="1081">
        <v>0.9728280312979849</v>
      </c>
      <c r="D1257" s="1081">
        <v>1.0253577189653893</v>
      </c>
      <c r="E1257" s="1081">
        <v>1.0322954707572827</v>
      </c>
      <c r="F1257" s="1081">
        <v>1.0211462090678665</v>
      </c>
      <c r="G1257" s="1081">
        <v>1.0115481970238225</v>
      </c>
      <c r="H1257" s="1081">
        <v>0.9909370488938597</v>
      </c>
      <c r="I1257" s="1081">
        <v>0.98844568689503365</v>
      </c>
      <c r="K1257">
        <v>2.4632465523540161</v>
      </c>
      <c r="L1257">
        <v>0</v>
      </c>
      <c r="M1257">
        <v>1.5551752001981768E-3</v>
      </c>
      <c r="N1257">
        <v>0.15600313821458106</v>
      </c>
      <c r="O1257">
        <v>2.1475192672759623E-2</v>
      </c>
      <c r="P1257">
        <v>2.972856534641255E-2</v>
      </c>
      <c r="Q1257">
        <v>5.8033764695833564E-3</v>
      </c>
      <c r="R1257">
        <v>1.534459506806321E-3</v>
      </c>
      <c r="S1257">
        <v>0.25899366190542356</v>
      </c>
      <c r="T1257">
        <v>1.4013590842420462</v>
      </c>
      <c r="U1257">
        <v>0.21800774986717164</v>
      </c>
      <c r="V1257">
        <v>0.24913129312852836</v>
      </c>
      <c r="W1257">
        <v>0.10055942453070142</v>
      </c>
      <c r="X1257">
        <v>1.8029488727113196E-2</v>
      </c>
      <c r="Y1257">
        <v>4.1762929430863328E-3</v>
      </c>
    </row>
    <row r="1258" spans="1:25" x14ac:dyDescent="0.2">
      <c r="A1258" s="1077"/>
      <c r="B1258" s="1444">
        <v>1008</v>
      </c>
      <c r="C1258" s="1081">
        <v>0.9925495605179554</v>
      </c>
      <c r="D1258" s="1081">
        <v>1.026688748393997</v>
      </c>
      <c r="E1258" s="1081">
        <v>1.0264608738889172</v>
      </c>
      <c r="F1258" s="1081">
        <v>1.0150255124815153</v>
      </c>
      <c r="G1258" s="1081">
        <v>1.0301645343899977</v>
      </c>
      <c r="H1258" s="1081">
        <v>0.96512018721971093</v>
      </c>
      <c r="I1258" s="1081">
        <v>1.0167712961420825</v>
      </c>
      <c r="K1258">
        <v>2.4376550776169879</v>
      </c>
      <c r="L1258">
        <v>0</v>
      </c>
      <c r="M1258">
        <v>1.5022916481641985E-3</v>
      </c>
      <c r="N1258">
        <v>0.14801724787320267</v>
      </c>
      <c r="O1258">
        <v>2.1038587521692929E-2</v>
      </c>
      <c r="P1258">
        <v>2.9445826143349552E-2</v>
      </c>
      <c r="Q1258">
        <v>5.652676239939522E-3</v>
      </c>
      <c r="R1258">
        <v>1.481745090493641E-3</v>
      </c>
      <c r="S1258">
        <v>0.25866635278019301</v>
      </c>
      <c r="T1258">
        <v>1.3928305911931185</v>
      </c>
      <c r="U1258">
        <v>0.21365584767030393</v>
      </c>
      <c r="V1258">
        <v>0.25105360091956419</v>
      </c>
      <c r="W1258">
        <v>9.5735580617812538E-2</v>
      </c>
      <c r="X1258">
        <v>1.7546491536296158E-2</v>
      </c>
      <c r="Y1258">
        <v>4.0328216791858844E-3</v>
      </c>
    </row>
    <row r="1259" spans="1:25" x14ac:dyDescent="0.2">
      <c r="A1259" s="1077"/>
      <c r="B1259" s="1444">
        <v>1009</v>
      </c>
      <c r="C1259" s="1081">
        <v>0.99336721572264819</v>
      </c>
      <c r="D1259" s="1081">
        <v>1.0392428985168454</v>
      </c>
      <c r="E1259" s="1081">
        <v>0.98413166801752405</v>
      </c>
      <c r="F1259" s="1081">
        <v>1.0062392620283447</v>
      </c>
      <c r="G1259" s="1081">
        <v>1.0015350566409251</v>
      </c>
      <c r="H1259" s="1081">
        <v>0.98842719700022408</v>
      </c>
      <c r="I1259" s="1081">
        <v>0.96271691584975094</v>
      </c>
      <c r="K1259">
        <v>2.4004607940296703</v>
      </c>
      <c r="L1259">
        <v>0</v>
      </c>
      <c r="M1259">
        <v>1.6740254514436277E-3</v>
      </c>
      <c r="N1259">
        <v>0.14519231424288767</v>
      </c>
      <c r="O1259">
        <v>2.0937074292317163E-2</v>
      </c>
      <c r="P1259">
        <v>2.8104777454609785E-2</v>
      </c>
      <c r="Q1259">
        <v>5.3917332220272994E-3</v>
      </c>
      <c r="R1259">
        <v>1.651669992591507E-3</v>
      </c>
      <c r="S1259">
        <v>0.24480987945746024</v>
      </c>
      <c r="T1259">
        <v>1.3798518249098879</v>
      </c>
      <c r="U1259">
        <v>0.21333421141777623</v>
      </c>
      <c r="V1259">
        <v>0.24626720739526303</v>
      </c>
      <c r="W1259">
        <v>9.6291022378897223E-2</v>
      </c>
      <c r="X1259">
        <v>1.5807803470427546E-2</v>
      </c>
      <c r="Y1259">
        <v>4.495301246967353E-3</v>
      </c>
    </row>
    <row r="1260" spans="1:25" x14ac:dyDescent="0.2">
      <c r="A1260" s="1077"/>
      <c r="B1260" s="1444">
        <v>1010</v>
      </c>
      <c r="C1260" s="1081">
        <v>1.0252122016077936</v>
      </c>
      <c r="D1260" s="1081">
        <v>1.0233835171018999</v>
      </c>
      <c r="E1260" s="1081">
        <v>0.99121688278853448</v>
      </c>
      <c r="F1260" s="1081">
        <v>0.99472002499495082</v>
      </c>
      <c r="G1260" s="1081">
        <v>1.0070761694540502</v>
      </c>
      <c r="H1260" s="1081">
        <v>0.98056934841975285</v>
      </c>
      <c r="I1260" s="1081">
        <v>0.99832304535444738</v>
      </c>
      <c r="K1260">
        <v>2.3711771239295216</v>
      </c>
      <c r="L1260">
        <v>0</v>
      </c>
      <c r="M1260">
        <v>1.5910746842595985E-3</v>
      </c>
      <c r="N1260">
        <v>0.14097105282842257</v>
      </c>
      <c r="O1260">
        <v>2.0360034692263673E-2</v>
      </c>
      <c r="P1260">
        <v>2.7973133760797575E-2</v>
      </c>
      <c r="Q1260">
        <v>5.2808658119226064E-3</v>
      </c>
      <c r="R1260">
        <v>1.5696567061396949E-3</v>
      </c>
      <c r="S1260">
        <v>0.24727735091823114</v>
      </c>
      <c r="T1260">
        <v>1.3642075896085153</v>
      </c>
      <c r="U1260">
        <v>0.206731233468221</v>
      </c>
      <c r="V1260">
        <v>0.24523725447041544</v>
      </c>
      <c r="W1260">
        <v>9.3094787141073429E-2</v>
      </c>
      <c r="X1260">
        <v>1.5793151090859086E-2</v>
      </c>
      <c r="Y1260">
        <v>4.2720881169181369E-3</v>
      </c>
    </row>
    <row r="1261" spans="1:25" x14ac:dyDescent="0.2">
      <c r="A1261" s="1077"/>
      <c r="B1261" s="1444">
        <v>1011</v>
      </c>
      <c r="C1261" s="1081">
        <v>1.0201719576277246</v>
      </c>
      <c r="D1261" s="1081">
        <v>1.0163708449964097</v>
      </c>
      <c r="E1261" s="1081">
        <v>0.99323877783651571</v>
      </c>
      <c r="F1261" s="1081">
        <v>1.0059254992142834</v>
      </c>
      <c r="G1261" s="1081">
        <v>0.98970488018602676</v>
      </c>
      <c r="H1261" s="1081">
        <v>0.9794867469111419</v>
      </c>
      <c r="I1261" s="1081">
        <v>0.97643545095019291</v>
      </c>
      <c r="K1261">
        <v>2.3835961154592202</v>
      </c>
      <c r="L1261">
        <v>0</v>
      </c>
      <c r="M1261">
        <v>1.5929015440972617E-3</v>
      </c>
      <c r="N1261">
        <v>0.14199602893323165</v>
      </c>
      <c r="O1261">
        <v>2.049290890855562E-2</v>
      </c>
      <c r="P1261">
        <v>2.8155531758536852E-2</v>
      </c>
      <c r="Q1261">
        <v>5.3261903426214353E-3</v>
      </c>
      <c r="R1261">
        <v>1.5714352740967643E-3</v>
      </c>
      <c r="S1261">
        <v>0.24381580817884352</v>
      </c>
      <c r="T1261">
        <v>1.3796192435700358</v>
      </c>
      <c r="U1261">
        <v>0.2077593725550933</v>
      </c>
      <c r="V1261">
        <v>0.24256340218560016</v>
      </c>
      <c r="W1261">
        <v>9.3658351848355442E-2</v>
      </c>
      <c r="X1261">
        <v>1.5953814655752487E-2</v>
      </c>
      <c r="Y1261">
        <v>4.2769287925925083E-3</v>
      </c>
    </row>
    <row r="1262" spans="1:25" x14ac:dyDescent="0.2">
      <c r="A1262" s="1077"/>
      <c r="B1262" s="1444">
        <v>1012</v>
      </c>
      <c r="C1262" s="1081">
        <v>0.99727511191117069</v>
      </c>
      <c r="D1262" s="1081">
        <v>1.0203012732079364</v>
      </c>
      <c r="E1262" s="1081">
        <v>0.97973180771183987</v>
      </c>
      <c r="F1262" s="1081">
        <v>0.95332104062172518</v>
      </c>
      <c r="G1262" s="1081">
        <v>0.97470425698442043</v>
      </c>
      <c r="H1262" s="1081">
        <v>0.98657540519991993</v>
      </c>
      <c r="I1262" s="1081">
        <v>0.9910738402565753</v>
      </c>
      <c r="K1262">
        <v>2.3277787505616812</v>
      </c>
      <c r="L1262">
        <v>0</v>
      </c>
      <c r="M1262">
        <v>1.6863682227171925E-3</v>
      </c>
      <c r="N1262">
        <v>0.14432522108562909</v>
      </c>
      <c r="O1262">
        <v>2.0936691110568607E-2</v>
      </c>
      <c r="P1262">
        <v>2.7070805241204986E-2</v>
      </c>
      <c r="Q1262">
        <v>5.3676027125240389E-3</v>
      </c>
      <c r="R1262">
        <v>1.6638056642944632E-3</v>
      </c>
      <c r="S1262">
        <v>0.25315286958899319</v>
      </c>
      <c r="T1262">
        <v>1.3071949000878162</v>
      </c>
      <c r="U1262">
        <v>0.21248320839652632</v>
      </c>
      <c r="V1262">
        <v>0.24145267667257822</v>
      </c>
      <c r="W1262">
        <v>9.5970209827615408E-2</v>
      </c>
      <c r="X1262">
        <v>1.5318797851828282E-2</v>
      </c>
      <c r="Y1262">
        <v>4.5283305448196995E-3</v>
      </c>
    </row>
    <row r="1263" spans="1:25" x14ac:dyDescent="0.2">
      <c r="A1263" s="1077"/>
      <c r="B1263" s="1444">
        <v>1013</v>
      </c>
      <c r="C1263" s="1081">
        <v>1.0016107041514037</v>
      </c>
      <c r="D1263" s="1081">
        <v>0.97876478606296269</v>
      </c>
      <c r="E1263" s="1081">
        <v>0.985395011913893</v>
      </c>
      <c r="F1263" s="1081">
        <v>0.98420023707577187</v>
      </c>
      <c r="G1263" s="1081">
        <v>0.99568066079426842</v>
      </c>
      <c r="H1263" s="1081">
        <v>0.9871763198961937</v>
      </c>
      <c r="I1263" s="1081">
        <v>0.98001493342683721</v>
      </c>
      <c r="K1263">
        <v>2.3776948452135316</v>
      </c>
      <c r="L1263">
        <v>0</v>
      </c>
      <c r="M1263">
        <v>1.6757765424467884E-3</v>
      </c>
      <c r="N1263">
        <v>0.14589812697375379</v>
      </c>
      <c r="O1263">
        <v>2.1041306279663226E-2</v>
      </c>
      <c r="P1263">
        <v>2.7812005770411676E-2</v>
      </c>
      <c r="Q1263">
        <v>5.4255189485910103E-3</v>
      </c>
      <c r="R1263">
        <v>1.6533693421566414E-3</v>
      </c>
      <c r="S1263">
        <v>0.25459658597262708</v>
      </c>
      <c r="T1263">
        <v>1.3496566074692828</v>
      </c>
      <c r="U1263">
        <v>0.21158272233921324</v>
      </c>
      <c r="V1263">
        <v>0.24474561219765323</v>
      </c>
      <c r="W1263">
        <v>9.6685609419322138E-2</v>
      </c>
      <c r="X1263">
        <v>1.5773230727012096E-2</v>
      </c>
      <c r="Y1263">
        <v>4.4999263162932178E-3</v>
      </c>
    </row>
    <row r="1264" spans="1:25" x14ac:dyDescent="0.2">
      <c r="A1264" s="1077"/>
      <c r="B1264" s="1444">
        <v>1014</v>
      </c>
      <c r="C1264" s="1081">
        <v>0.97923532402415092</v>
      </c>
      <c r="D1264" s="1081">
        <v>1.0093116616985403</v>
      </c>
      <c r="E1264" s="1081">
        <v>0.99808458739168349</v>
      </c>
      <c r="F1264" s="1081">
        <v>0.99035265932880145</v>
      </c>
      <c r="G1264" s="1081">
        <v>1.0428772013893124</v>
      </c>
      <c r="H1264" s="1081">
        <v>1.0129840665386178</v>
      </c>
      <c r="I1264" s="1081">
        <v>0.99403478434337644</v>
      </c>
      <c r="K1264">
        <v>2.4232554397389983</v>
      </c>
      <c r="L1264">
        <v>0</v>
      </c>
      <c r="M1264">
        <v>1.7016990882814918E-3</v>
      </c>
      <c r="N1264">
        <v>0.15400200182301962</v>
      </c>
      <c r="O1264">
        <v>2.1385645282424585E-2</v>
      </c>
      <c r="P1264">
        <v>2.8498575237629831E-2</v>
      </c>
      <c r="Q1264">
        <v>5.5854212066782762E-3</v>
      </c>
      <c r="R1264">
        <v>1.6795249694658199E-3</v>
      </c>
      <c r="S1264">
        <v>0.26241757428586432</v>
      </c>
      <c r="T1264">
        <v>1.3583649152003276</v>
      </c>
      <c r="U1264">
        <v>0.21646159344717639</v>
      </c>
      <c r="V1264">
        <v>0.2541835865124461</v>
      </c>
      <c r="W1264">
        <v>0.10128417136357773</v>
      </c>
      <c r="X1264">
        <v>1.6523016187038025E-2</v>
      </c>
      <c r="Y1264">
        <v>4.5711133116285762E-3</v>
      </c>
    </row>
    <row r="1265" spans="1:25" x14ac:dyDescent="0.2">
      <c r="A1265" s="1077"/>
      <c r="B1265" s="1444">
        <v>1015</v>
      </c>
      <c r="C1265" s="1081">
        <v>0.98968068774399964</v>
      </c>
      <c r="D1265" s="1081">
        <v>1.0032348595784641</v>
      </c>
      <c r="E1265" s="1081">
        <v>0.98122866874929004</v>
      </c>
      <c r="F1265" s="1081">
        <v>0.99595334678606029</v>
      </c>
      <c r="G1265" s="1081">
        <v>1.0091645914712148</v>
      </c>
      <c r="H1265" s="1081">
        <v>1.0171960950920163</v>
      </c>
      <c r="I1265" s="1081">
        <v>1.0184427108986662</v>
      </c>
      <c r="K1265">
        <v>2.4209425965747</v>
      </c>
      <c r="L1265">
        <v>0</v>
      </c>
      <c r="M1265">
        <v>1.753129704000515E-3</v>
      </c>
      <c r="N1265">
        <v>0.15078146862081701</v>
      </c>
      <c r="O1265">
        <v>2.1176789383289277E-2</v>
      </c>
      <c r="P1265">
        <v>2.8183149337959967E-2</v>
      </c>
      <c r="Q1265">
        <v>5.4374214634174047E-3</v>
      </c>
      <c r="R1265">
        <v>1.7303800088016305E-3</v>
      </c>
      <c r="S1265">
        <v>0.26705222074132962</v>
      </c>
      <c r="T1265">
        <v>1.3656844808252648</v>
      </c>
      <c r="U1265">
        <v>0.21411887554931452</v>
      </c>
      <c r="V1265">
        <v>0.2478152894515572</v>
      </c>
      <c r="W1265">
        <v>0.10017279665707453</v>
      </c>
      <c r="X1265">
        <v>1.5833330275534407E-2</v>
      </c>
      <c r="Y1265">
        <v>4.7095239643414411E-3</v>
      </c>
    </row>
    <row r="1266" spans="1:25" x14ac:dyDescent="0.2">
      <c r="A1266" s="1077"/>
      <c r="B1266" s="1444">
        <v>1016</v>
      </c>
      <c r="C1266" s="1081">
        <v>1.01813375466422</v>
      </c>
      <c r="D1266" s="1081">
        <v>1.0051015904951264</v>
      </c>
      <c r="E1266" s="1081">
        <v>1.0349665167225333</v>
      </c>
      <c r="F1266" s="1081">
        <v>0.99120930919237404</v>
      </c>
      <c r="G1266" s="1081">
        <v>1.0313011513046955</v>
      </c>
      <c r="H1266" s="1081">
        <v>1.0034990332039604</v>
      </c>
      <c r="I1266" s="1081">
        <v>0.99344695493649993</v>
      </c>
      <c r="K1266">
        <v>2.3971900355331623</v>
      </c>
      <c r="L1266">
        <v>0</v>
      </c>
      <c r="M1266">
        <v>1.5030357952519925E-3</v>
      </c>
      <c r="N1266">
        <v>0.15201721146463343</v>
      </c>
      <c r="O1266">
        <v>2.0611592078164653E-2</v>
      </c>
      <c r="P1266">
        <v>2.8988974862475841E-2</v>
      </c>
      <c r="Q1266">
        <v>5.5846998651530996E-3</v>
      </c>
      <c r="R1266">
        <v>1.4832652528833569E-3</v>
      </c>
      <c r="S1266">
        <v>0.25227716817012225</v>
      </c>
      <c r="T1266">
        <v>1.3603331348278733</v>
      </c>
      <c r="U1266">
        <v>0.20831568098939748</v>
      </c>
      <c r="V1266">
        <v>0.24963634609612706</v>
      </c>
      <c r="W1266">
        <v>9.7838718908424507E-2</v>
      </c>
      <c r="X1266">
        <v>1.75693197530685E-2</v>
      </c>
      <c r="Y1266">
        <v>4.0369590600892952E-3</v>
      </c>
    </row>
    <row r="1267" spans="1:25" x14ac:dyDescent="0.2">
      <c r="A1267" s="1077"/>
      <c r="B1267" s="1444">
        <v>1017</v>
      </c>
      <c r="C1267" s="1081">
        <v>1.0157277355152983</v>
      </c>
      <c r="D1267" s="1081">
        <v>0.96520554392642088</v>
      </c>
      <c r="E1267" s="1081">
        <v>1.0034747683773175</v>
      </c>
      <c r="F1267" s="1081">
        <v>1.0081829648344243</v>
      </c>
      <c r="G1267" s="1081">
        <v>1.0023047370012328</v>
      </c>
      <c r="H1267" s="1081">
        <v>0.97793085764012078</v>
      </c>
      <c r="I1267" s="1081">
        <v>0.97482115658608481</v>
      </c>
      <c r="K1267">
        <v>2.4037904742951901</v>
      </c>
      <c r="L1267">
        <v>0</v>
      </c>
      <c r="M1267">
        <v>1.5816518168793139E-3</v>
      </c>
      <c r="N1267">
        <v>0.14541893094623506</v>
      </c>
      <c r="O1267">
        <v>2.0824537528718212E-2</v>
      </c>
      <c r="P1267">
        <v>2.8559016977809989E-2</v>
      </c>
      <c r="Q1267">
        <v>5.468408783163797E-3</v>
      </c>
      <c r="R1267">
        <v>1.5603032388628801E-3</v>
      </c>
      <c r="S1267">
        <v>0.25087825292718602</v>
      </c>
      <c r="T1267">
        <v>1.382938464654756</v>
      </c>
      <c r="U1267">
        <v>0.20870284262750252</v>
      </c>
      <c r="V1267">
        <v>0.2449460607783028</v>
      </c>
      <c r="W1267">
        <v>9.5333535080069545E-2</v>
      </c>
      <c r="X1267">
        <v>1.6495141507096557E-2</v>
      </c>
      <c r="Y1267">
        <v>4.2466310623603034E-3</v>
      </c>
    </row>
    <row r="1268" spans="1:25" x14ac:dyDescent="0.2">
      <c r="A1268" s="1077"/>
      <c r="B1268" s="1444">
        <v>1018</v>
      </c>
      <c r="C1268" s="1081">
        <v>1.017065989452572</v>
      </c>
      <c r="D1268" s="1081">
        <v>0.983517599726765</v>
      </c>
      <c r="E1268" s="1081">
        <v>0.99883390874932432</v>
      </c>
      <c r="F1268" s="1081">
        <v>1.0012848746441068</v>
      </c>
      <c r="G1268" s="1081">
        <v>1.0108420282549133</v>
      </c>
      <c r="H1268" s="1081">
        <v>1.0286523327966408</v>
      </c>
      <c r="I1268" s="1081">
        <v>0.96719015796068475</v>
      </c>
      <c r="K1268">
        <v>2.4048659927480522</v>
      </c>
      <c r="L1268">
        <v>0</v>
      </c>
      <c r="M1268">
        <v>1.6706494383796852E-3</v>
      </c>
      <c r="N1268">
        <v>0.15156521872414519</v>
      </c>
      <c r="O1268">
        <v>2.0708282577478372E-2</v>
      </c>
      <c r="P1268">
        <v>2.8337483698529693E-2</v>
      </c>
      <c r="Q1268">
        <v>5.412588916174031E-3</v>
      </c>
      <c r="R1268">
        <v>1.6492115042529344E-3</v>
      </c>
      <c r="S1268">
        <v>0.25031486983083123</v>
      </c>
      <c r="T1268">
        <v>1.3733757332133874</v>
      </c>
      <c r="U1268">
        <v>0.20841263156219403</v>
      </c>
      <c r="V1268">
        <v>0.24633993891907971</v>
      </c>
      <c r="W1268">
        <v>9.9637107855555851E-2</v>
      </c>
      <c r="X1268">
        <v>1.6294965332653479E-2</v>
      </c>
      <c r="Y1268">
        <v>4.4886100521502213E-3</v>
      </c>
    </row>
    <row r="1269" spans="1:25" x14ac:dyDescent="0.2">
      <c r="A1269" s="1077"/>
      <c r="B1269" s="1444">
        <v>1019</v>
      </c>
      <c r="C1269" s="1081">
        <v>1.0002946208465386</v>
      </c>
      <c r="D1269" s="1081">
        <v>0.98700007877167961</v>
      </c>
      <c r="E1269" s="1081">
        <v>0.98516436099198634</v>
      </c>
      <c r="F1269" s="1081">
        <v>0.97932221519000173</v>
      </c>
      <c r="G1269" s="1081">
        <v>0.98510960598285668</v>
      </c>
      <c r="H1269" s="1081">
        <v>1.0388631317046917</v>
      </c>
      <c r="I1269" s="1081">
        <v>1.0000728840828466</v>
      </c>
      <c r="K1269">
        <v>2.3913643215814417</v>
      </c>
      <c r="L1269">
        <v>0</v>
      </c>
      <c r="M1269">
        <v>1.7634270286973092E-3</v>
      </c>
      <c r="N1269">
        <v>0.15352562546154222</v>
      </c>
      <c r="O1269">
        <v>2.1030035828586022E-2</v>
      </c>
      <c r="P1269">
        <v>2.7816913440431076E-2</v>
      </c>
      <c r="Q1269">
        <v>5.4213454877246351E-3</v>
      </c>
      <c r="R1269">
        <v>1.7410209747306781E-3</v>
      </c>
      <c r="S1269">
        <v>0.26345700112854836</v>
      </c>
      <c r="T1269">
        <v>1.3429623922498293</v>
      </c>
      <c r="U1269">
        <v>0.21186031447718734</v>
      </c>
      <c r="V1269">
        <v>0.24302240067762154</v>
      </c>
      <c r="W1269">
        <v>0.10175440769220648</v>
      </c>
      <c r="X1269">
        <v>1.5797806025926193E-2</v>
      </c>
      <c r="Y1269">
        <v>4.7384851658068342E-3</v>
      </c>
    </row>
    <row r="1270" spans="1:25" x14ac:dyDescent="0.2">
      <c r="A1270" s="1077"/>
      <c r="B1270" s="1444">
        <v>1020</v>
      </c>
      <c r="C1270" s="1081">
        <v>1.0225925909908711</v>
      </c>
      <c r="D1270" s="1081">
        <v>1.0359195412829589</v>
      </c>
      <c r="E1270" s="1081">
        <v>0.97000348924997515</v>
      </c>
      <c r="F1270" s="1081">
        <v>0.98762267873253651</v>
      </c>
      <c r="G1270" s="1081">
        <v>1.0058035318823595</v>
      </c>
      <c r="H1270" s="1081">
        <v>1.0024954620928612</v>
      </c>
      <c r="I1270" s="1081">
        <v>1.0046913360296785</v>
      </c>
      <c r="K1270">
        <v>2.3643123683094918</v>
      </c>
      <c r="L1270">
        <v>0</v>
      </c>
      <c r="M1270">
        <v>1.6993957138289842E-3</v>
      </c>
      <c r="N1270">
        <v>0.14125042061227808</v>
      </c>
      <c r="O1270">
        <v>2.0343971327039849E-2</v>
      </c>
      <c r="P1270">
        <v>2.7428534699924415E-2</v>
      </c>
      <c r="Q1270">
        <v>5.1641817731916074E-3</v>
      </c>
      <c r="R1270">
        <v>1.6770199267105378E-3</v>
      </c>
      <c r="S1270">
        <v>0.2496322731387639</v>
      </c>
      <c r="T1270">
        <v>1.3540226266281838</v>
      </c>
      <c r="U1270">
        <v>0.20719013502665376</v>
      </c>
      <c r="V1270">
        <v>0.24525436683576771</v>
      </c>
      <c r="W1270">
        <v>9.4481222000212833E-2</v>
      </c>
      <c r="X1270">
        <v>1.5002716643556768E-2</v>
      </c>
      <c r="Y1270">
        <v>4.5642954110358194E-3</v>
      </c>
    </row>
    <row r="1271" spans="1:25" x14ac:dyDescent="0.2">
      <c r="A1271" s="1077"/>
      <c r="B1271" s="1444">
        <v>1021</v>
      </c>
      <c r="C1271" s="1081">
        <v>1.0015733255033215</v>
      </c>
      <c r="D1271" s="1081">
        <v>0.99459350218336517</v>
      </c>
      <c r="E1271" s="1081">
        <v>1.0213795076171592</v>
      </c>
      <c r="F1271" s="1081">
        <v>0.97387515915780776</v>
      </c>
      <c r="G1271" s="1081">
        <v>1.0215589145766899</v>
      </c>
      <c r="H1271" s="1081">
        <v>1.0036189067306533</v>
      </c>
      <c r="I1271" s="1081">
        <v>0.98504042302980699</v>
      </c>
      <c r="K1271">
        <v>2.3810730392498223</v>
      </c>
      <c r="L1271">
        <v>0</v>
      </c>
      <c r="M1271">
        <v>1.575578233550452E-3</v>
      </c>
      <c r="N1271">
        <v>0.15295843737646603</v>
      </c>
      <c r="O1271">
        <v>2.0991841546977617E-2</v>
      </c>
      <c r="P1271">
        <v>2.8454046743736805E-2</v>
      </c>
      <c r="Q1271">
        <v>5.6117577012862437E-3</v>
      </c>
      <c r="R1271">
        <v>1.5548559621849228E-3</v>
      </c>
      <c r="S1271">
        <v>0.25551932411776251</v>
      </c>
      <c r="T1271">
        <v>1.336256034834822</v>
      </c>
      <c r="U1271">
        <v>0.21171349105361431</v>
      </c>
      <c r="V1271">
        <v>0.249036764466359</v>
      </c>
      <c r="W1271">
        <v>9.9225116727340412E-2</v>
      </c>
      <c r="X1271">
        <v>1.7095141581884334E-2</v>
      </c>
      <c r="Y1271">
        <v>4.2318053709371776E-3</v>
      </c>
    </row>
    <row r="1272" spans="1:25" x14ac:dyDescent="0.2">
      <c r="A1272" s="1077"/>
      <c r="B1272" s="1444">
        <v>1022</v>
      </c>
      <c r="C1272" s="1081">
        <v>0.97924602239318881</v>
      </c>
      <c r="D1272" s="1081">
        <v>0.99549529889716504</v>
      </c>
      <c r="E1272" s="1081">
        <v>1.0066280907349157</v>
      </c>
      <c r="F1272" s="1081">
        <v>1.0253927967642136</v>
      </c>
      <c r="G1272" s="1081">
        <v>0.99165615316800049</v>
      </c>
      <c r="H1272" s="1081">
        <v>0.96906614328263552</v>
      </c>
      <c r="I1272" s="1081">
        <v>1.0154121584193296</v>
      </c>
      <c r="K1272">
        <v>2.4586087422910827</v>
      </c>
      <c r="L1272">
        <v>0</v>
      </c>
      <c r="M1272">
        <v>1.6041554834938432E-3</v>
      </c>
      <c r="N1272">
        <v>0.14888059425762218</v>
      </c>
      <c r="O1272">
        <v>2.1456156523259041E-2</v>
      </c>
      <c r="P1272">
        <v>2.9272517074558541E-2</v>
      </c>
      <c r="Q1272">
        <v>5.652105484891065E-3</v>
      </c>
      <c r="R1272">
        <v>1.582305090226319E-3</v>
      </c>
      <c r="S1272">
        <v>0.26610375415410925</v>
      </c>
      <c r="T1272">
        <v>1.4066154317275346</v>
      </c>
      <c r="U1272">
        <v>0.21648906215368716</v>
      </c>
      <c r="V1272">
        <v>0.24540533016425525</v>
      </c>
      <c r="W1272">
        <v>9.7420901237698948E-2</v>
      </c>
      <c r="X1272">
        <v>1.7028227057868259E-2</v>
      </c>
      <c r="Y1272">
        <v>4.3065128488632334E-3</v>
      </c>
    </row>
    <row r="1273" spans="1:25" x14ac:dyDescent="0.2">
      <c r="A1273" s="1077"/>
      <c r="B1273" s="1444">
        <v>1023</v>
      </c>
      <c r="C1273" s="1081">
        <v>0.99746692265365178</v>
      </c>
      <c r="D1273" s="1081">
        <v>1.0089754721572082</v>
      </c>
      <c r="E1273" s="1081">
        <v>0.9990795585282839</v>
      </c>
      <c r="F1273" s="1081">
        <v>0.98119552276345512</v>
      </c>
      <c r="G1273" s="1081">
        <v>1.0346344841082566</v>
      </c>
      <c r="H1273" s="1081">
        <v>1.0167582175751368</v>
      </c>
      <c r="I1273" s="1081">
        <v>1.0342206585107789</v>
      </c>
      <c r="K1273">
        <v>2.4058102458107506</v>
      </c>
      <c r="L1273">
        <v>0</v>
      </c>
      <c r="M1273">
        <v>1.6734861006341957E-3</v>
      </c>
      <c r="N1273">
        <v>0.15191219098228956</v>
      </c>
      <c r="O1273">
        <v>2.0996960006729137E-2</v>
      </c>
      <c r="P1273">
        <v>2.8341606325688187E-2</v>
      </c>
      <c r="Q1273">
        <v>5.4893975120986266E-3</v>
      </c>
      <c r="R1273">
        <v>1.6517605577816494E-3</v>
      </c>
      <c r="S1273">
        <v>0.26842115198776068</v>
      </c>
      <c r="T1273">
        <v>1.3458261213166749</v>
      </c>
      <c r="U1273">
        <v>0.21250853945240172</v>
      </c>
      <c r="V1273">
        <v>0.25160758589488741</v>
      </c>
      <c r="W1273">
        <v>9.9850611798007666E-2</v>
      </c>
      <c r="X1273">
        <v>1.6382258341503142E-2</v>
      </c>
      <c r="Y1273">
        <v>4.4955477355601171E-3</v>
      </c>
    </row>
    <row r="1274" spans="1:25" x14ac:dyDescent="0.2">
      <c r="A1274" s="1077"/>
      <c r="B1274" s="1444">
        <v>1024</v>
      </c>
      <c r="C1274" s="1081">
        <v>0.98666938017065753</v>
      </c>
      <c r="D1274" s="1081">
        <v>0.98328112098039555</v>
      </c>
      <c r="E1274" s="1081">
        <v>0.99235333856640118</v>
      </c>
      <c r="F1274" s="1081">
        <v>1.0210345731745969</v>
      </c>
      <c r="G1274" s="1081">
        <v>0.9711961485704147</v>
      </c>
      <c r="H1274" s="1081">
        <v>1.0038648666264356</v>
      </c>
      <c r="I1274" s="1081">
        <v>0.9944497586513702</v>
      </c>
      <c r="K1274">
        <v>2.4478413568589441</v>
      </c>
      <c r="L1274">
        <v>0</v>
      </c>
      <c r="M1274">
        <v>1.7034386828351162E-3</v>
      </c>
      <c r="N1274">
        <v>0.15149399499515717</v>
      </c>
      <c r="O1274">
        <v>2.1343005668496732E-2</v>
      </c>
      <c r="P1274">
        <v>2.8761035361256425E-2</v>
      </c>
      <c r="Q1274">
        <v>5.5421793286469781E-3</v>
      </c>
      <c r="R1274">
        <v>1.6810402584678194E-3</v>
      </c>
      <c r="S1274">
        <v>0.26314370856789709</v>
      </c>
      <c r="T1274">
        <v>1.4003216999384511</v>
      </c>
      <c r="U1274">
        <v>0.21481082405486374</v>
      </c>
      <c r="V1274">
        <v>0.24148158374055978</v>
      </c>
      <c r="W1274">
        <v>9.9975960492122248E-2</v>
      </c>
      <c r="X1274">
        <v>1.6414525707081958E-2</v>
      </c>
      <c r="Y1274">
        <v>4.575237428777133E-3</v>
      </c>
    </row>
    <row r="1275" spans="1:25" x14ac:dyDescent="0.2">
      <c r="A1275" s="1077"/>
      <c r="B1275" s="1444">
        <v>1025</v>
      </c>
      <c r="C1275" s="1081">
        <v>1.0301999696365172</v>
      </c>
      <c r="D1275" s="1081">
        <v>1.0130330642852901</v>
      </c>
      <c r="E1275" s="1081">
        <v>1.0030596602706587</v>
      </c>
      <c r="F1275" s="1081">
        <v>1.008884798820783</v>
      </c>
      <c r="G1275" s="1081">
        <v>1.0193927681906998</v>
      </c>
      <c r="H1275" s="1081">
        <v>0.99641056127616379</v>
      </c>
      <c r="I1275" s="1081">
        <v>0.98802801036142918</v>
      </c>
      <c r="K1275">
        <v>2.3967700189200229</v>
      </c>
      <c r="L1275">
        <v>0</v>
      </c>
      <c r="M1275">
        <v>1.57343983105903E-3</v>
      </c>
      <c r="N1275">
        <v>0.1445193043570254</v>
      </c>
      <c r="O1275">
        <v>2.0314428155043373E-2</v>
      </c>
      <c r="P1275">
        <v>2.8486762608862723E-2</v>
      </c>
      <c r="Q1275">
        <v>5.3322355102268992E-3</v>
      </c>
      <c r="R1275">
        <v>1.5525959763987079E-3</v>
      </c>
      <c r="S1275">
        <v>0.246164700311756</v>
      </c>
      <c r="T1275">
        <v>1.3838921162228779</v>
      </c>
      <c r="U1275">
        <v>0.20576961010050393</v>
      </c>
      <c r="V1275">
        <v>0.24700246853665894</v>
      </c>
      <c r="W1275">
        <v>9.4767076783440846E-2</v>
      </c>
      <c r="X1275">
        <v>1.6316505753652604E-2</v>
      </c>
      <c r="Y1275">
        <v>4.2256544346312161E-3</v>
      </c>
    </row>
    <row r="1276" spans="1:25" x14ac:dyDescent="0.2">
      <c r="A1276" s="1077"/>
      <c r="B1276" s="1444">
        <v>1026</v>
      </c>
      <c r="C1276" s="1081">
        <v>0.99218926177485434</v>
      </c>
      <c r="D1276" s="1081">
        <v>1.0198794293730491</v>
      </c>
      <c r="E1276" s="1081">
        <v>0.97396416174540656</v>
      </c>
      <c r="F1276" s="1081">
        <v>1.0487349232790577</v>
      </c>
      <c r="G1276" s="1081">
        <v>1.0314367045476942</v>
      </c>
      <c r="H1276" s="1081">
        <v>0.9835407641870505</v>
      </c>
      <c r="I1276" s="1081">
        <v>0.98008427150018651</v>
      </c>
      <c r="K1276">
        <v>2.4697078965330577</v>
      </c>
      <c r="L1276">
        <v>0</v>
      </c>
      <c r="M1276">
        <v>1.710217523815478E-3</v>
      </c>
      <c r="N1276">
        <v>0.14382765476732148</v>
      </c>
      <c r="O1276">
        <v>2.1042097873696666E-2</v>
      </c>
      <c r="P1276">
        <v>2.8825945857765701E-2</v>
      </c>
      <c r="Q1276">
        <v>5.3630389411909764E-3</v>
      </c>
      <c r="R1276">
        <v>1.6872652769702647E-3</v>
      </c>
      <c r="S1276">
        <v>0.25138154921724909</v>
      </c>
      <c r="T1276">
        <v>1.4378963282410009</v>
      </c>
      <c r="U1276">
        <v>0.21355257720722762</v>
      </c>
      <c r="V1276">
        <v>0.25148908133232201</v>
      </c>
      <c r="W1276">
        <v>9.5973843894553948E-2</v>
      </c>
      <c r="X1276">
        <v>1.5786551570507065E-2</v>
      </c>
      <c r="Y1276">
        <v>4.5921798770639909E-3</v>
      </c>
    </row>
    <row r="1277" spans="1:25" x14ac:dyDescent="0.2">
      <c r="A1277" s="1077"/>
      <c r="B1277" s="1444">
        <v>1027</v>
      </c>
      <c r="C1277" s="1081">
        <v>0.98717317994385789</v>
      </c>
      <c r="D1277" s="1081">
        <v>0.9804292385204576</v>
      </c>
      <c r="E1277" s="1081">
        <v>1.0093640090833906</v>
      </c>
      <c r="F1277" s="1081">
        <v>1.0036172968692461</v>
      </c>
      <c r="G1277" s="1081">
        <v>0.97271454573325178</v>
      </c>
      <c r="H1277" s="1081">
        <v>0.9962161055853016</v>
      </c>
      <c r="I1277" s="1081">
        <v>1.0134948164816544</v>
      </c>
      <c r="K1277">
        <v>2.430930989574533</v>
      </c>
      <c r="L1277">
        <v>0</v>
      </c>
      <c r="M1277">
        <v>1.6320535173157977E-3</v>
      </c>
      <c r="N1277">
        <v>0.15278373620628255</v>
      </c>
      <c r="O1277">
        <v>2.1357236774844118E-2</v>
      </c>
      <c r="P1277">
        <v>2.8871697148368465E-2</v>
      </c>
      <c r="Q1277">
        <v>5.6414724585766851E-3</v>
      </c>
      <c r="R1277">
        <v>1.6104289684666785E-3</v>
      </c>
      <c r="S1277">
        <v>0.26791150885722165</v>
      </c>
      <c r="T1277">
        <v>1.3768036738748102</v>
      </c>
      <c r="U1277">
        <v>0.21476010584364461</v>
      </c>
      <c r="V1277">
        <v>0.24165021445418336</v>
      </c>
      <c r="W1277">
        <v>9.9813530701860456E-2</v>
      </c>
      <c r="X1277">
        <v>1.697638102918635E-2</v>
      </c>
      <c r="Y1277">
        <v>4.3830567743995226E-3</v>
      </c>
    </row>
    <row r="1278" spans="1:25" x14ac:dyDescent="0.2">
      <c r="A1278" s="1077"/>
      <c r="B1278" s="1444">
        <v>1028</v>
      </c>
      <c r="C1278" s="1081">
        <v>1.028541109058281</v>
      </c>
      <c r="D1278" s="1081">
        <v>0.95781233699396617</v>
      </c>
      <c r="E1278" s="1081">
        <v>0.9954335271918765</v>
      </c>
      <c r="F1278" s="1081">
        <v>1.0033613681515841</v>
      </c>
      <c r="G1278" s="1081">
        <v>1.0098775260198796</v>
      </c>
      <c r="H1278" s="1081">
        <v>1.0099720636183578</v>
      </c>
      <c r="I1278" s="1081">
        <v>0.99666123313978261</v>
      </c>
      <c r="K1278">
        <v>2.4041311828490226</v>
      </c>
      <c r="L1278">
        <v>0</v>
      </c>
      <c r="M1278">
        <v>1.6430312740306065E-3</v>
      </c>
      <c r="N1278">
        <v>0.14750035074676127</v>
      </c>
      <c r="O1278">
        <v>2.0594689537145022E-2</v>
      </c>
      <c r="P1278">
        <v>2.8349659761421044E-2</v>
      </c>
      <c r="Q1278">
        <v>5.3645023181237532E-3</v>
      </c>
      <c r="R1278">
        <v>1.6215577814104058E-3</v>
      </c>
      <c r="S1278">
        <v>0.25689590778918714</v>
      </c>
      <c r="T1278">
        <v>1.3761501306447419</v>
      </c>
      <c r="U1278">
        <v>0.20607613969814409</v>
      </c>
      <c r="V1278">
        <v>0.24550328596288115</v>
      </c>
      <c r="W1278">
        <v>9.7161523072880743E-2</v>
      </c>
      <c r="X1278">
        <v>1.6143121075737E-2</v>
      </c>
      <c r="Y1278">
        <v>4.413345734620145E-3</v>
      </c>
    </row>
    <row r="1279" spans="1:25" x14ac:dyDescent="0.2">
      <c r="A1279" s="1077"/>
      <c r="B1279" s="1444">
        <v>1029</v>
      </c>
      <c r="C1279" s="1081">
        <v>1.0029177675023437</v>
      </c>
      <c r="D1279" s="1081">
        <v>0.99393514129279892</v>
      </c>
      <c r="E1279" s="1081">
        <v>1.0041321652411015</v>
      </c>
      <c r="F1279" s="1081">
        <v>0.97654673777608636</v>
      </c>
      <c r="G1279" s="1081">
        <v>1.0199345097975578</v>
      </c>
      <c r="H1279" s="1081">
        <v>0.97877028319561621</v>
      </c>
      <c r="I1279" s="1081">
        <v>0.97716212904182553</v>
      </c>
      <c r="K1279">
        <v>2.3684366754185882</v>
      </c>
      <c r="L1279">
        <v>0</v>
      </c>
      <c r="M1279">
        <v>1.5907448002531496E-3</v>
      </c>
      <c r="N1279">
        <v>0.1465473599911663</v>
      </c>
      <c r="O1279">
        <v>2.0955304345390908E-2</v>
      </c>
      <c r="P1279">
        <v>2.8069500859385588E-2</v>
      </c>
      <c r="Q1279">
        <v>5.5063772072146706E-3</v>
      </c>
      <c r="R1279">
        <v>1.5692919028588873E-3</v>
      </c>
      <c r="S1279">
        <v>0.2510191339729676</v>
      </c>
      <c r="T1279">
        <v>1.339556511569582</v>
      </c>
      <c r="U1279">
        <v>0.21137078340381502</v>
      </c>
      <c r="V1279">
        <v>0.248738653858669</v>
      </c>
      <c r="W1279">
        <v>9.6035890946732969E-2</v>
      </c>
      <c r="X1279">
        <v>1.6387516918411581E-2</v>
      </c>
      <c r="Y1279">
        <v>4.2710952426451461E-3</v>
      </c>
    </row>
    <row r="1280" spans="1:25" x14ac:dyDescent="0.2">
      <c r="A1280" s="1077"/>
      <c r="B1280" s="1444">
        <v>1030</v>
      </c>
      <c r="C1280" s="1081">
        <v>0.97966807548930412</v>
      </c>
      <c r="D1280" s="1081">
        <v>1.0353310978729364</v>
      </c>
      <c r="E1280" s="1081">
        <v>1.0088719383712614</v>
      </c>
      <c r="F1280" s="1081">
        <v>1.0175905248221215</v>
      </c>
      <c r="G1280" s="1081">
        <v>1.0083860702342411</v>
      </c>
      <c r="H1280" s="1081">
        <v>0.99808920528089218</v>
      </c>
      <c r="I1280" s="1081">
        <v>1.0024001316235578</v>
      </c>
      <c r="K1280">
        <v>2.4498544013080821</v>
      </c>
      <c r="L1280">
        <v>0</v>
      </c>
      <c r="M1280">
        <v>1.629681130042271E-3</v>
      </c>
      <c r="N1280">
        <v>0.15233899943022355</v>
      </c>
      <c r="O1280">
        <v>2.1264091244972163E-2</v>
      </c>
      <c r="P1280">
        <v>2.9128373161468043E-2</v>
      </c>
      <c r="Q1280">
        <v>5.6141046849485839E-3</v>
      </c>
      <c r="R1280">
        <v>1.6081285385806858E-3</v>
      </c>
      <c r="S1280">
        <v>0.25998777140429674</v>
      </c>
      <c r="T1280">
        <v>1.3959618757739616</v>
      </c>
      <c r="U1280">
        <v>0.2164036345850871</v>
      </c>
      <c r="V1280">
        <v>0.24822631605691917</v>
      </c>
      <c r="W1280">
        <v>9.9551886506880322E-2</v>
      </c>
      <c r="X1280">
        <v>1.7022105288195696E-2</v>
      </c>
      <c r="Y1280">
        <v>4.3767957625863562E-3</v>
      </c>
    </row>
    <row r="1281" spans="1:25" x14ac:dyDescent="0.2">
      <c r="A1281" s="1077"/>
      <c r="B1281" s="1444">
        <v>1031</v>
      </c>
      <c r="C1281" s="1081">
        <v>0.98625398375775031</v>
      </c>
      <c r="D1281" s="1081">
        <v>0.99600458234860845</v>
      </c>
      <c r="E1281" s="1081">
        <v>1.0269082202881643</v>
      </c>
      <c r="F1281" s="1081">
        <v>1.0026409631198734</v>
      </c>
      <c r="G1281" s="1081">
        <v>0.98985317886992807</v>
      </c>
      <c r="H1281" s="1081">
        <v>1.0213721469694301</v>
      </c>
      <c r="I1281" s="1081">
        <v>0.96936822294441283</v>
      </c>
      <c r="K1281">
        <v>2.4318923254154843</v>
      </c>
      <c r="L1281">
        <v>0</v>
      </c>
      <c r="M1281">
        <v>1.6092173261806294E-3</v>
      </c>
      <c r="N1281">
        <v>0.15888764469105643</v>
      </c>
      <c r="O1281">
        <v>2.1314994076786293E-2</v>
      </c>
      <c r="P1281">
        <v>2.9120635624335964E-2</v>
      </c>
      <c r="Q1281">
        <v>5.7294796692317837E-3</v>
      </c>
      <c r="R1281">
        <v>1.5884205073787331E-3</v>
      </c>
      <c r="S1281">
        <v>0.25671006353749826</v>
      </c>
      <c r="T1281">
        <v>1.3758461104475277</v>
      </c>
      <c r="U1281">
        <v>0.2150212384557891</v>
      </c>
      <c r="V1281">
        <v>0.24457455428596278</v>
      </c>
      <c r="W1281">
        <v>0.10273965642561803</v>
      </c>
      <c r="X1281">
        <v>1.7645588022073794E-2</v>
      </c>
      <c r="Y1281">
        <v>4.3231569984053791E-3</v>
      </c>
    </row>
    <row r="1282" spans="1:25" x14ac:dyDescent="0.2">
      <c r="A1282" s="1077"/>
      <c r="B1282" s="1444">
        <v>1032</v>
      </c>
      <c r="C1282" s="1081">
        <v>1.0256380540752372</v>
      </c>
      <c r="D1282" s="1081">
        <v>1.0276134836490001</v>
      </c>
      <c r="E1282" s="1081">
        <v>0.99644926781480325</v>
      </c>
      <c r="F1282" s="1081">
        <v>0.97036865562234631</v>
      </c>
      <c r="G1282" s="1081">
        <v>1.0347431454714795</v>
      </c>
      <c r="H1282" s="1081">
        <v>1.0004230652318942</v>
      </c>
      <c r="I1282" s="1081">
        <v>1.0136685267485706</v>
      </c>
      <c r="K1282">
        <v>2.3526698683041949</v>
      </c>
      <c r="L1282">
        <v>0</v>
      </c>
      <c r="M1282">
        <v>1.6036602718969284E-3</v>
      </c>
      <c r="N1282">
        <v>0.144390241663304</v>
      </c>
      <c r="O1282">
        <v>2.0336483596290849E-2</v>
      </c>
      <c r="P1282">
        <v>2.7759195761988889E-2</v>
      </c>
      <c r="Q1282">
        <v>5.3026683030095089E-3</v>
      </c>
      <c r="R1282">
        <v>1.582501283873126E-3</v>
      </c>
      <c r="S1282">
        <v>0.25215806064064367</v>
      </c>
      <c r="T1282">
        <v>1.3309206099044302</v>
      </c>
      <c r="U1282">
        <v>0.20666281857730714</v>
      </c>
      <c r="V1282">
        <v>0.24991800141984216</v>
      </c>
      <c r="W1282">
        <v>9.5055243487796162E-2</v>
      </c>
      <c r="X1282">
        <v>1.5880657114311671E-2</v>
      </c>
      <c r="Y1282">
        <v>4.3070468232946219E-3</v>
      </c>
    </row>
    <row r="1283" spans="1:25" x14ac:dyDescent="0.2">
      <c r="A1283" s="1077"/>
      <c r="B1283" s="1444">
        <v>1033</v>
      </c>
      <c r="C1283" s="1081">
        <v>0.98726302915246078</v>
      </c>
      <c r="D1283" s="1081">
        <v>0.98237806691029139</v>
      </c>
      <c r="E1283" s="1081">
        <v>1.0043322338934537</v>
      </c>
      <c r="F1283" s="1081">
        <v>0.98509777406125154</v>
      </c>
      <c r="G1283" s="1081">
        <v>0.98249832618546773</v>
      </c>
      <c r="H1283" s="1081">
        <v>0.99700664073758483</v>
      </c>
      <c r="I1283" s="1081">
        <v>0.97732736645364326</v>
      </c>
      <c r="K1283">
        <v>2.3954898634574575</v>
      </c>
      <c r="L1283">
        <v>0</v>
      </c>
      <c r="M1283">
        <v>1.6496330652964423E-3</v>
      </c>
      <c r="N1283">
        <v>0.15210232353098913</v>
      </c>
      <c r="O1283">
        <v>2.1342566276850015E-2</v>
      </c>
      <c r="P1283">
        <v>2.8303109250093415E-2</v>
      </c>
      <c r="Q1283">
        <v>5.6092624350223864E-3</v>
      </c>
      <c r="R1283">
        <v>1.6277929201438349E-3</v>
      </c>
      <c r="S1283">
        <v>0.25809489532934859</v>
      </c>
      <c r="T1283">
        <v>1.3512904738144507</v>
      </c>
      <c r="U1283">
        <v>0.21472312066731516</v>
      </c>
      <c r="V1283">
        <v>0.24333222791475281</v>
      </c>
      <c r="W1283">
        <v>9.9664375397731111E-2</v>
      </c>
      <c r="X1283">
        <v>1.6619033259213413E-2</v>
      </c>
      <c r="Y1283">
        <v>4.4303157268396091E-3</v>
      </c>
    </row>
    <row r="1284" spans="1:25" x14ac:dyDescent="0.2">
      <c r="A1284" s="1077"/>
      <c r="B1284" s="1444">
        <v>1034</v>
      </c>
      <c r="C1284" s="1081">
        <v>1.0317191564316242</v>
      </c>
      <c r="D1284" s="1081">
        <v>1.0319632934510146</v>
      </c>
      <c r="E1284" s="1081">
        <v>1.0118882176814985</v>
      </c>
      <c r="F1284" s="1081">
        <v>1.0191523525818686</v>
      </c>
      <c r="G1284" s="1081">
        <v>1.0060872932798883</v>
      </c>
      <c r="H1284" s="1081">
        <v>1.0344135173481801</v>
      </c>
      <c r="I1284" s="1081">
        <v>1.0002110812743386</v>
      </c>
      <c r="K1284">
        <v>2.4221562202853031</v>
      </c>
      <c r="L1284">
        <v>0</v>
      </c>
      <c r="M1284">
        <v>1.5949043257336929E-3</v>
      </c>
      <c r="N1284">
        <v>0.15052272755762969</v>
      </c>
      <c r="O1284">
        <v>2.0207708637995699E-2</v>
      </c>
      <c r="P1284">
        <v>2.8882541562800342E-2</v>
      </c>
      <c r="Q1284">
        <v>5.3513081073337234E-3</v>
      </c>
      <c r="R1284">
        <v>1.5745523457313651E-3</v>
      </c>
      <c r="S1284">
        <v>0.2497306244882059</v>
      </c>
      <c r="T1284">
        <v>1.3981710626709554</v>
      </c>
      <c r="U1284">
        <v>0.20549590244111998</v>
      </c>
      <c r="V1284">
        <v>0.24460936944942183</v>
      </c>
      <c r="W1284">
        <v>9.8190225559789304E-2</v>
      </c>
      <c r="X1284">
        <v>1.672968935601275E-2</v>
      </c>
      <c r="Y1284">
        <v>4.2854124340395029E-3</v>
      </c>
    </row>
    <row r="1285" spans="1:25" x14ac:dyDescent="0.2">
      <c r="A1285" s="1077"/>
      <c r="B1285" s="1444">
        <v>1035</v>
      </c>
      <c r="C1285" s="1081">
        <v>1.0041032133766461</v>
      </c>
      <c r="D1285" s="1081">
        <v>0.98397351679794443</v>
      </c>
      <c r="E1285" s="1081">
        <v>1.014399491725668</v>
      </c>
      <c r="F1285" s="1081">
        <v>1.0029739049908408</v>
      </c>
      <c r="G1285" s="1081">
        <v>1.0148082740465802</v>
      </c>
      <c r="H1285" s="1081">
        <v>0.98561741136373326</v>
      </c>
      <c r="I1285" s="1081">
        <v>0.98559965891784274</v>
      </c>
      <c r="K1285">
        <v>2.4126620062435147</v>
      </c>
      <c r="L1285">
        <v>0</v>
      </c>
      <c r="M1285">
        <v>1.5696934860585112E-3</v>
      </c>
      <c r="N1285">
        <v>0.14917503690083006</v>
      </c>
      <c r="O1285">
        <v>2.0983819456047725E-2</v>
      </c>
      <c r="P1285">
        <v>2.8822441942274922E-2</v>
      </c>
      <c r="Q1285">
        <v>5.5707770197335593E-3</v>
      </c>
      <c r="R1285">
        <v>1.5486715501566283E-3</v>
      </c>
      <c r="S1285">
        <v>0.25483203143274624</v>
      </c>
      <c r="T1285">
        <v>1.3760305327927254</v>
      </c>
      <c r="U1285">
        <v>0.21115624150621407</v>
      </c>
      <c r="V1285">
        <v>0.24775268802147624</v>
      </c>
      <c r="W1285">
        <v>9.7167449374016668E-2</v>
      </c>
      <c r="X1285">
        <v>1.6977036293265461E-2</v>
      </c>
      <c r="Y1285">
        <v>4.2149734400870401E-3</v>
      </c>
    </row>
    <row r="1286" spans="1:25" x14ac:dyDescent="0.2">
      <c r="A1286" s="1077"/>
      <c r="B1286" s="1444">
        <v>1036</v>
      </c>
      <c r="C1286" s="1081">
        <v>0.99678255882671041</v>
      </c>
      <c r="D1286" s="1081">
        <v>0.99535440818885901</v>
      </c>
      <c r="E1286" s="1081">
        <v>0.9999190649145453</v>
      </c>
      <c r="F1286" s="1081">
        <v>0.98628919099393619</v>
      </c>
      <c r="G1286" s="1081">
        <v>0.99575161313417582</v>
      </c>
      <c r="H1286" s="1081">
        <v>1.0098704868738047</v>
      </c>
      <c r="I1286" s="1081">
        <v>0.98507753210008209</v>
      </c>
      <c r="K1286">
        <v>2.394243735474511</v>
      </c>
      <c r="L1286">
        <v>0</v>
      </c>
      <c r="M1286">
        <v>1.6653694082092798E-3</v>
      </c>
      <c r="N1286">
        <v>0.15154572624979648</v>
      </c>
      <c r="O1286">
        <v>2.1074857822862735E-2</v>
      </c>
      <c r="P1286">
        <v>2.8211212959140891E-2</v>
      </c>
      <c r="Q1286">
        <v>5.5144156297378321E-3</v>
      </c>
      <c r="R1286">
        <v>1.6436017795132694E-3</v>
      </c>
      <c r="S1286">
        <v>0.25701042549276853</v>
      </c>
      <c r="T1286">
        <v>1.3528305982058106</v>
      </c>
      <c r="U1286">
        <v>0.21265732070864918</v>
      </c>
      <c r="V1286">
        <v>0.24500729982713057</v>
      </c>
      <c r="W1286">
        <v>9.9560029413812187E-2</v>
      </c>
      <c r="X1286">
        <v>1.6380274562844847E-2</v>
      </c>
      <c r="Y1286">
        <v>4.4733422306541181E-3</v>
      </c>
    </row>
    <row r="1287" spans="1:25" x14ac:dyDescent="0.2">
      <c r="A1287" s="1077"/>
      <c r="B1287" s="1444">
        <v>1037</v>
      </c>
      <c r="C1287" s="1081">
        <v>1.026066683097631</v>
      </c>
      <c r="D1287" s="1081">
        <v>0.98833190292604522</v>
      </c>
      <c r="E1287" s="1081">
        <v>0.98741741673070049</v>
      </c>
      <c r="F1287" s="1081">
        <v>0.96437342737692533</v>
      </c>
      <c r="G1287" s="1081">
        <v>1.017665923735392</v>
      </c>
      <c r="H1287" s="1081">
        <v>1.0334912741962334</v>
      </c>
      <c r="I1287" s="1081">
        <v>0.98626328543944408</v>
      </c>
      <c r="K1287">
        <v>2.3499953532181963</v>
      </c>
      <c r="L1287">
        <v>0</v>
      </c>
      <c r="M1287">
        <v>1.7017828856102906E-3</v>
      </c>
      <c r="N1287">
        <v>0.14916182547050374</v>
      </c>
      <c r="O1287">
        <v>2.049719405850494E-2</v>
      </c>
      <c r="P1287">
        <v>2.7424371989179627E-2</v>
      </c>
      <c r="Q1287">
        <v>5.296055741459805E-3</v>
      </c>
      <c r="R1287">
        <v>1.6800476898560976E-3</v>
      </c>
      <c r="S1287">
        <v>0.25270055416658582</v>
      </c>
      <c r="T1287">
        <v>1.3225097090001345</v>
      </c>
      <c r="U1287">
        <v>0.20654643706028947</v>
      </c>
      <c r="V1287">
        <v>0.24700963674260451</v>
      </c>
      <c r="W1287">
        <v>9.8728410925354892E-2</v>
      </c>
      <c r="X1287">
        <v>1.5570357275114577E-2</v>
      </c>
      <c r="Y1287">
        <v>4.5725359842161799E-3</v>
      </c>
    </row>
    <row r="1288" spans="1:25" x14ac:dyDescent="0.2">
      <c r="A1288" s="1077"/>
      <c r="B1288" s="1444">
        <v>1038</v>
      </c>
      <c r="C1288" s="1081">
        <v>1.0245951275263303</v>
      </c>
      <c r="D1288" s="1081">
        <v>1.0481999879924371</v>
      </c>
      <c r="E1288" s="1081">
        <v>1.0029410870147824</v>
      </c>
      <c r="F1288" s="1081">
        <v>0.98889351187098828</v>
      </c>
      <c r="G1288" s="1081">
        <v>1.0056627151301787</v>
      </c>
      <c r="H1288" s="1081">
        <v>0.99062319538668919</v>
      </c>
      <c r="I1288" s="1081">
        <v>1.0224663716770206</v>
      </c>
      <c r="K1288">
        <v>2.3711803200046142</v>
      </c>
      <c r="L1288">
        <v>0</v>
      </c>
      <c r="M1288">
        <v>1.5614781377413685E-3</v>
      </c>
      <c r="N1288">
        <v>0.14335802899573838</v>
      </c>
      <c r="O1288">
        <v>2.0272705072608005E-2</v>
      </c>
      <c r="P1288">
        <v>2.8167879031697998E-2</v>
      </c>
      <c r="Q1288">
        <v>5.3206506808516282E-3</v>
      </c>
      <c r="R1288">
        <v>1.540671896307163E-3</v>
      </c>
      <c r="S1288">
        <v>0.25134145516114043</v>
      </c>
      <c r="T1288">
        <v>1.3564674344740182</v>
      </c>
      <c r="U1288">
        <v>0.20689483570793768</v>
      </c>
      <c r="V1288">
        <v>0.24498972634253346</v>
      </c>
      <c r="W1288">
        <v>9.4012191633712397E-2</v>
      </c>
      <c r="X1288">
        <v>1.6183018126417776E-2</v>
      </c>
      <c r="Y1288">
        <v>4.1932010193939774E-3</v>
      </c>
    </row>
    <row r="1289" spans="1:25" x14ac:dyDescent="0.2">
      <c r="A1289" s="1077"/>
      <c r="B1289" s="1444">
        <v>1039</v>
      </c>
      <c r="C1289" s="1081">
        <v>1.013436805432079</v>
      </c>
      <c r="D1289" s="1081">
        <v>1.0038470351326312</v>
      </c>
      <c r="E1289" s="1081">
        <v>1.0217139209210604</v>
      </c>
      <c r="F1289" s="1081">
        <v>1.0127699665535064</v>
      </c>
      <c r="G1289" s="1081">
        <v>0.97584840761099012</v>
      </c>
      <c r="H1289" s="1081">
        <v>1.0197711912803606</v>
      </c>
      <c r="I1289" s="1081">
        <v>1.0031789080845708</v>
      </c>
      <c r="K1289">
        <v>2.4263438530793984</v>
      </c>
      <c r="L1289">
        <v>0</v>
      </c>
      <c r="M1289">
        <v>1.5778760270588588E-3</v>
      </c>
      <c r="N1289">
        <v>0.15336847559154651</v>
      </c>
      <c r="O1289">
        <v>2.0704101991929673E-2</v>
      </c>
      <c r="P1289">
        <v>2.9073914550709595E-2</v>
      </c>
      <c r="Q1289">
        <v>5.5366749903832052E-3</v>
      </c>
      <c r="R1289">
        <v>1.5574522360686895E-3</v>
      </c>
      <c r="S1289">
        <v>0.25735133319295339</v>
      </c>
      <c r="T1289">
        <v>1.3896310332456596</v>
      </c>
      <c r="U1289">
        <v>0.20923626516086716</v>
      </c>
      <c r="V1289">
        <v>0.2405047381577744</v>
      </c>
      <c r="W1289">
        <v>9.9471671305374806E-2</v>
      </c>
      <c r="X1289">
        <v>1.7247197110602963E-2</v>
      </c>
      <c r="Y1289">
        <v>4.2388715725873351E-3</v>
      </c>
    </row>
    <row r="1290" spans="1:25" x14ac:dyDescent="0.2">
      <c r="A1290" s="1077"/>
      <c r="B1290" s="1444">
        <v>1040</v>
      </c>
      <c r="C1290" s="1081">
        <v>0.97128020946532745</v>
      </c>
      <c r="D1290" s="1081">
        <v>1.0027950113387796</v>
      </c>
      <c r="E1290" s="1081">
        <v>0.98132563591112154</v>
      </c>
      <c r="F1290" s="1081">
        <v>0.98851149848264219</v>
      </c>
      <c r="G1290" s="1081">
        <v>0.9805496893420409</v>
      </c>
      <c r="H1290" s="1081">
        <v>0.9757353877474243</v>
      </c>
      <c r="I1290" s="1081">
        <v>1.0128878303067892</v>
      </c>
      <c r="K1290">
        <v>2.4056152115014982</v>
      </c>
      <c r="L1290">
        <v>0</v>
      </c>
      <c r="M1290">
        <v>1.713352718440767E-3</v>
      </c>
      <c r="N1290">
        <v>0.14732125793449463</v>
      </c>
      <c r="O1290">
        <v>2.1580122255600482E-2</v>
      </c>
      <c r="P1290">
        <v>2.8052314266735923E-2</v>
      </c>
      <c r="Q1290">
        <v>5.5415282691201112E-3</v>
      </c>
      <c r="R1290">
        <v>1.6901744525706973E-3</v>
      </c>
      <c r="S1290">
        <v>0.2670137479170081</v>
      </c>
      <c r="T1290">
        <v>1.3554820351193066</v>
      </c>
      <c r="U1290">
        <v>0.21817560412353423</v>
      </c>
      <c r="V1290">
        <v>0.24411974553648111</v>
      </c>
      <c r="W1290">
        <v>9.7868255144087937E-2</v>
      </c>
      <c r="X1290">
        <v>1.5883681506960533E-2</v>
      </c>
      <c r="Y1290">
        <v>4.6000976940388898E-3</v>
      </c>
    </row>
    <row r="1291" spans="1:25" x14ac:dyDescent="0.2">
      <c r="A1291" s="1077"/>
      <c r="B1291" s="1444">
        <v>1041</v>
      </c>
      <c r="C1291" s="1081">
        <v>1.0320711324426239</v>
      </c>
      <c r="D1291" s="1081">
        <v>1.0106881463427575</v>
      </c>
      <c r="E1291" s="1081">
        <v>1.0135380475440976</v>
      </c>
      <c r="F1291" s="1081">
        <v>1.0088151165198029</v>
      </c>
      <c r="G1291" s="1081">
        <v>0.96907163867520352</v>
      </c>
      <c r="H1291" s="1081">
        <v>1.0298494548674784</v>
      </c>
      <c r="I1291" s="1081">
        <v>1.0144187827995677</v>
      </c>
      <c r="K1291">
        <v>2.4074984027549511</v>
      </c>
      <c r="L1291">
        <v>0</v>
      </c>
      <c r="M1291">
        <v>1.5891585866654046E-3</v>
      </c>
      <c r="N1291">
        <v>0.15072056775294637</v>
      </c>
      <c r="O1291">
        <v>2.0294669697560722E-2</v>
      </c>
      <c r="P1291">
        <v>2.871320518540307E-2</v>
      </c>
      <c r="Q1291">
        <v>5.3831942878638092E-3</v>
      </c>
      <c r="R1291">
        <v>1.5687900554094134E-3</v>
      </c>
      <c r="S1291">
        <v>0.25544824509331332</v>
      </c>
      <c r="T1291">
        <v>1.3840255379451267</v>
      </c>
      <c r="U1291">
        <v>0.20543129539049954</v>
      </c>
      <c r="V1291">
        <v>0.23826399160554945</v>
      </c>
      <c r="W1291">
        <v>9.8223881392297346E-2</v>
      </c>
      <c r="X1291">
        <v>1.6744453556322481E-2</v>
      </c>
      <c r="Y1291">
        <v>4.2697293793216452E-3</v>
      </c>
    </row>
    <row r="1292" spans="1:25" x14ac:dyDescent="0.2">
      <c r="A1292" s="1077"/>
      <c r="B1292" s="1444">
        <v>1042</v>
      </c>
      <c r="C1292" s="1081">
        <v>1.0013660312724468</v>
      </c>
      <c r="D1292" s="1081">
        <v>0.99768394148937412</v>
      </c>
      <c r="E1292" s="1081">
        <v>1.0017491930745497</v>
      </c>
      <c r="F1292" s="1081">
        <v>1.0264263993358906</v>
      </c>
      <c r="G1292" s="1081">
        <v>0.96320324278528635</v>
      </c>
      <c r="H1292" s="1081">
        <v>0.97641207955604281</v>
      </c>
      <c r="I1292" s="1081">
        <v>0.9845658608068012</v>
      </c>
      <c r="K1292">
        <v>2.4293102871930512</v>
      </c>
      <c r="L1292">
        <v>0</v>
      </c>
      <c r="M1292">
        <v>1.5959282661907449E-3</v>
      </c>
      <c r="N1292">
        <v>0.14596559390220892</v>
      </c>
      <c r="O1292">
        <v>2.0968821148448794E-2</v>
      </c>
      <c r="P1292">
        <v>2.8849315593732962E-2</v>
      </c>
      <c r="Q1292">
        <v>5.4967681720701168E-3</v>
      </c>
      <c r="R1292">
        <v>1.5743534829263009E-3</v>
      </c>
      <c r="S1292">
        <v>0.25261704328222695</v>
      </c>
      <c r="T1292">
        <v>1.4079249075529614</v>
      </c>
      <c r="U1292">
        <v>0.21169018949296681</v>
      </c>
      <c r="V1292">
        <v>0.23915622232259756</v>
      </c>
      <c r="W1292">
        <v>9.5789904055982464E-2</v>
      </c>
      <c r="X1292">
        <v>1.6588225258080042E-2</v>
      </c>
      <c r="Y1292">
        <v>4.2848711950392243E-3</v>
      </c>
    </row>
    <row r="1293" spans="1:25" x14ac:dyDescent="0.2">
      <c r="A1293" s="1077"/>
      <c r="B1293" s="1444">
        <v>1043</v>
      </c>
      <c r="C1293" s="1081">
        <v>0.95987253229266678</v>
      </c>
      <c r="D1293" s="1081">
        <v>1.0150349840707458</v>
      </c>
      <c r="E1293" s="1081">
        <v>0.98388749612854487</v>
      </c>
      <c r="F1293" s="1081">
        <v>1.0204122939696467</v>
      </c>
      <c r="G1293" s="1081">
        <v>1.032197678687381</v>
      </c>
      <c r="H1293" s="1081">
        <v>1.0219944030044597</v>
      </c>
      <c r="I1293" s="1081">
        <v>1.0084403505856361</v>
      </c>
      <c r="K1293">
        <v>2.4825505002021142</v>
      </c>
      <c r="L1293">
        <v>0</v>
      </c>
      <c r="M1293">
        <v>1.8014967841604329E-3</v>
      </c>
      <c r="N1293">
        <v>0.15620226741466978</v>
      </c>
      <c r="O1293">
        <v>2.1780148577913664E-2</v>
      </c>
      <c r="P1293">
        <v>2.8922044429214554E-2</v>
      </c>
      <c r="Q1293">
        <v>5.6074537243117695E-3</v>
      </c>
      <c r="R1293">
        <v>1.7782292054234644E-3</v>
      </c>
      <c r="S1293">
        <v>0.27150776224163681</v>
      </c>
      <c r="T1293">
        <v>1.3992818750816769</v>
      </c>
      <c r="U1293">
        <v>0.22077762617675348</v>
      </c>
      <c r="V1293">
        <v>0.25369796206453693</v>
      </c>
      <c r="W1293">
        <v>0.10360800990960284</v>
      </c>
      <c r="X1293">
        <v>1.6348864456469863E-2</v>
      </c>
      <c r="Y1293">
        <v>4.8397537040626446E-3</v>
      </c>
    </row>
    <row r="1294" spans="1:25" x14ac:dyDescent="0.2">
      <c r="A1294" s="1077"/>
      <c r="B1294" s="1444">
        <v>1044</v>
      </c>
      <c r="C1294" s="1081">
        <v>0.99610786704466092</v>
      </c>
      <c r="D1294" s="1081">
        <v>1.015304434238427</v>
      </c>
      <c r="E1294" s="1081">
        <v>1.029744013774293</v>
      </c>
      <c r="F1294" s="1081">
        <v>0.99553066611485586</v>
      </c>
      <c r="G1294" s="1081">
        <v>1.0053342752666814</v>
      </c>
      <c r="H1294" s="1081">
        <v>1.0321939707171672</v>
      </c>
      <c r="I1294" s="1081">
        <v>0.99322952999874492</v>
      </c>
      <c r="K1294">
        <v>2.4234142088194894</v>
      </c>
      <c r="L1294">
        <v>0</v>
      </c>
      <c r="M1294">
        <v>1.5939512661928192E-3</v>
      </c>
      <c r="N1294">
        <v>0.15875345603899141</v>
      </c>
      <c r="O1294">
        <v>2.1017110568897712E-2</v>
      </c>
      <c r="P1294">
        <v>2.9074296478629389E-2</v>
      </c>
      <c r="Q1294">
        <v>5.6652847204837244E-3</v>
      </c>
      <c r="R1294">
        <v>1.5735677107240075E-3</v>
      </c>
      <c r="S1294">
        <v>0.25888812474230632</v>
      </c>
      <c r="T1294">
        <v>1.3661505997657586</v>
      </c>
      <c r="U1294">
        <v>0.2129039383404587</v>
      </c>
      <c r="V1294">
        <v>0.24658028266882273</v>
      </c>
      <c r="W1294">
        <v>0.10248382693943163</v>
      </c>
      <c r="X1294">
        <v>1.763493952904369E-2</v>
      </c>
      <c r="Y1294">
        <v>4.2827325821343191E-3</v>
      </c>
    </row>
    <row r="1295" spans="1:25" x14ac:dyDescent="0.2">
      <c r="A1295" s="1077"/>
      <c r="B1295" s="1444">
        <v>1045</v>
      </c>
      <c r="C1295" s="1081">
        <v>0.99745053286543095</v>
      </c>
      <c r="D1295" s="1081">
        <v>0.98361820073243744</v>
      </c>
      <c r="E1295" s="1081">
        <v>1.0122654731610128</v>
      </c>
      <c r="F1295" s="1081">
        <v>0.98903323354367934</v>
      </c>
      <c r="G1295" s="1081">
        <v>1.0157594764153155</v>
      </c>
      <c r="H1295" s="1081">
        <v>1.011950055091156</v>
      </c>
      <c r="I1295" s="1081">
        <v>1.0159220770415154</v>
      </c>
      <c r="K1295">
        <v>2.4155699382929656</v>
      </c>
      <c r="L1295">
        <v>0</v>
      </c>
      <c r="M1295">
        <v>1.6297217481508672E-3</v>
      </c>
      <c r="N1295">
        <v>0.15393977031251879</v>
      </c>
      <c r="O1295">
        <v>2.1124025394932123E-2</v>
      </c>
      <c r="P1295">
        <v>2.8704586453805702E-2</v>
      </c>
      <c r="Q1295">
        <v>5.5960702706034735E-3</v>
      </c>
      <c r="R1295">
        <v>1.6084638363350397E-3</v>
      </c>
      <c r="S1295">
        <v>0.26674494499567036</v>
      </c>
      <c r="T1295">
        <v>1.3568588522082963</v>
      </c>
      <c r="U1295">
        <v>0.21255725881239887</v>
      </c>
      <c r="V1295">
        <v>0.24833729804249141</v>
      </c>
      <c r="W1295">
        <v>0.10039695890791528</v>
      </c>
      <c r="X1295">
        <v>1.6953722473603102E-2</v>
      </c>
      <c r="Y1295">
        <v>4.3777083325428337E-3</v>
      </c>
    </row>
    <row r="1296" spans="1:25" x14ac:dyDescent="0.2">
      <c r="A1296" s="1077"/>
      <c r="B1296" s="1444">
        <v>1046</v>
      </c>
      <c r="C1296" s="1081">
        <v>0.95851318770295546</v>
      </c>
      <c r="D1296" s="1081">
        <v>0.99135373600557153</v>
      </c>
      <c r="E1296" s="1081">
        <v>1.0082841888613672</v>
      </c>
      <c r="F1296" s="1081">
        <v>0.99367293803533641</v>
      </c>
      <c r="G1296" s="1081">
        <v>0.98043201824081605</v>
      </c>
      <c r="H1296" s="1081">
        <v>1.0038654221954408</v>
      </c>
      <c r="I1296" s="1081">
        <v>1.0115997331927093</v>
      </c>
      <c r="K1296">
        <v>2.4433565334627168</v>
      </c>
      <c r="L1296">
        <v>0</v>
      </c>
      <c r="M1296">
        <v>1.6934288431641358E-3</v>
      </c>
      <c r="N1296">
        <v>0.15802951437229748</v>
      </c>
      <c r="O1296">
        <v>2.1941521711569965E-2</v>
      </c>
      <c r="P1296">
        <v>2.8884453658715795E-2</v>
      </c>
      <c r="Q1296">
        <v>5.7895533302616733E-3</v>
      </c>
      <c r="R1296">
        <v>1.6711620499677915E-3</v>
      </c>
      <c r="S1296">
        <v>0.27455439784518454</v>
      </c>
      <c r="T1296">
        <v>1.3631383438463842</v>
      </c>
      <c r="U1296">
        <v>0.22117767726789395</v>
      </c>
      <c r="V1296">
        <v>0.24486160650131403</v>
      </c>
      <c r="W1296">
        <v>0.10330641445251468</v>
      </c>
      <c r="X1296">
        <v>1.7146965068184205E-2</v>
      </c>
      <c r="Y1296">
        <v>4.5483522015906143E-3</v>
      </c>
    </row>
    <row r="1297" spans="1:25" x14ac:dyDescent="0.2">
      <c r="A1297" s="1077"/>
      <c r="B1297" s="1444">
        <v>1047</v>
      </c>
      <c r="C1297" s="1081">
        <v>0.97610244201598029</v>
      </c>
      <c r="D1297" s="1081">
        <v>1.0029161064793155</v>
      </c>
      <c r="E1297" s="1081">
        <v>0.98147846165453134</v>
      </c>
      <c r="F1297" s="1081">
        <v>1.0285712747825999</v>
      </c>
      <c r="G1297" s="1081">
        <v>1.0098871533962768</v>
      </c>
      <c r="H1297" s="1081">
        <v>0.99321242654499375</v>
      </c>
      <c r="I1297" s="1081">
        <v>0.99975808403328748</v>
      </c>
      <c r="K1297">
        <v>2.4650649170749741</v>
      </c>
      <c r="L1297">
        <v>0</v>
      </c>
      <c r="M1297">
        <v>1.734831093047846E-3</v>
      </c>
      <c r="N1297">
        <v>0.14927305506252567</v>
      </c>
      <c r="O1297">
        <v>2.1473043214204967E-2</v>
      </c>
      <c r="P1297">
        <v>2.8799653563042385E-2</v>
      </c>
      <c r="Q1297">
        <v>5.5148875003891455E-3</v>
      </c>
      <c r="R1297">
        <v>1.7117752359785616E-3</v>
      </c>
      <c r="S1297">
        <v>0.2637567042008282</v>
      </c>
      <c r="T1297">
        <v>1.4104168083210789</v>
      </c>
      <c r="U1297">
        <v>0.21709828619134994</v>
      </c>
      <c r="V1297">
        <v>0.24881455387723866</v>
      </c>
      <c r="W1297">
        <v>9.9155729997619846E-2</v>
      </c>
      <c r="X1297">
        <v>1.6126363097986846E-2</v>
      </c>
      <c r="Y1297">
        <v>4.6588879057787597E-3</v>
      </c>
    </row>
    <row r="1298" spans="1:25" x14ac:dyDescent="0.2">
      <c r="A1298" s="1077"/>
      <c r="B1298" s="1444">
        <v>1048</v>
      </c>
      <c r="C1298" s="1081">
        <v>0.99770016888385116</v>
      </c>
      <c r="D1298" s="1081">
        <v>1.0143834759370489</v>
      </c>
      <c r="E1298" s="1081">
        <v>1.0028720271912843</v>
      </c>
      <c r="F1298" s="1081">
        <v>0.97957236649648127</v>
      </c>
      <c r="G1298" s="1081">
        <v>0.98868321998728637</v>
      </c>
      <c r="H1298" s="1081">
        <v>0.98678779070364975</v>
      </c>
      <c r="I1298" s="1081">
        <v>0.99299585059822604</v>
      </c>
      <c r="K1298">
        <v>2.3741585197032213</v>
      </c>
      <c r="L1298">
        <v>0</v>
      </c>
      <c r="M1298">
        <v>1.6091587867771678E-3</v>
      </c>
      <c r="N1298">
        <v>0.14769698298170308</v>
      </c>
      <c r="O1298">
        <v>2.0969893775385606E-2</v>
      </c>
      <c r="P1298">
        <v>2.8093554614056465E-2</v>
      </c>
      <c r="Q1298">
        <v>5.5032491596195303E-3</v>
      </c>
      <c r="R1298">
        <v>1.5876338763926581E-3</v>
      </c>
      <c r="S1298">
        <v>0.25447785926441768</v>
      </c>
      <c r="T1298">
        <v>1.3436801345996554</v>
      </c>
      <c r="U1298">
        <v>0.21247185378761865</v>
      </c>
      <c r="V1298">
        <v>0.24373225048297825</v>
      </c>
      <c r="W1298">
        <v>9.6861583539140941E-2</v>
      </c>
      <c r="X1298">
        <v>1.637166636085757E-2</v>
      </c>
      <c r="Y1298">
        <v>4.3210160481741205E-3</v>
      </c>
    </row>
    <row r="1299" spans="1:25" x14ac:dyDescent="0.2">
      <c r="A1299" s="1077"/>
      <c r="B1299" s="1444">
        <v>1049</v>
      </c>
      <c r="C1299" s="1081">
        <v>0.98363322311039059</v>
      </c>
      <c r="D1299" s="1081">
        <v>1.0089542623955483</v>
      </c>
      <c r="E1299" s="1081">
        <v>1.0024356686821427</v>
      </c>
      <c r="F1299" s="1081">
        <v>0.99033891719554423</v>
      </c>
      <c r="G1299" s="1081">
        <v>0.99061814110932289</v>
      </c>
      <c r="H1299" s="1081">
        <v>1.014226837499828</v>
      </c>
      <c r="I1299" s="1081">
        <v>0.97161317030933847</v>
      </c>
      <c r="K1299">
        <v>2.4060292075399716</v>
      </c>
      <c r="L1299">
        <v>0</v>
      </c>
      <c r="M1299">
        <v>1.6810595536478805E-3</v>
      </c>
      <c r="N1299">
        <v>0.15414969058768063</v>
      </c>
      <c r="O1299">
        <v>2.1294617474946667E-2</v>
      </c>
      <c r="P1299">
        <v>2.8358963003641331E-2</v>
      </c>
      <c r="Q1299">
        <v>5.5860211841109435E-3</v>
      </c>
      <c r="R1299">
        <v>1.6591812210988185E-3</v>
      </c>
      <c r="S1299">
        <v>0.25553607357260932</v>
      </c>
      <c r="T1299">
        <v>1.3584392686143398</v>
      </c>
      <c r="U1299">
        <v>0.21550889826907066</v>
      </c>
      <c r="V1299">
        <v>0.24495857708703558</v>
      </c>
      <c r="W1299">
        <v>0.10111951913169027</v>
      </c>
      <c r="X1299">
        <v>1.6583712612504221E-2</v>
      </c>
      <c r="Y1299">
        <v>4.5157443348884437E-3</v>
      </c>
    </row>
    <row r="1300" spans="1:25" x14ac:dyDescent="0.2">
      <c r="A1300" s="1077"/>
      <c r="B1300" s="1444">
        <v>1050</v>
      </c>
      <c r="C1300" s="1081">
        <v>1.0263118069881969</v>
      </c>
      <c r="D1300" s="1081">
        <v>1.0222300668347084</v>
      </c>
      <c r="E1300" s="1081">
        <v>1.0069261022967706</v>
      </c>
      <c r="F1300" s="1081">
        <v>0.99440626957359013</v>
      </c>
      <c r="G1300" s="1081">
        <v>1.0097011638218789</v>
      </c>
      <c r="H1300" s="1081">
        <v>1.0245205666899153</v>
      </c>
      <c r="I1300" s="1081">
        <v>1.0122045632044221</v>
      </c>
      <c r="K1300">
        <v>2.3927337348716251</v>
      </c>
      <c r="L1300">
        <v>0</v>
      </c>
      <c r="M1300">
        <v>1.6077754301317704E-3</v>
      </c>
      <c r="N1300">
        <v>0.14946253381201283</v>
      </c>
      <c r="O1300">
        <v>2.0353375268459498E-2</v>
      </c>
      <c r="P1300">
        <v>2.8401213211565725E-2</v>
      </c>
      <c r="Q1300">
        <v>5.3632047626879622E-3</v>
      </c>
      <c r="R1300">
        <v>1.5870610985019421E-3</v>
      </c>
      <c r="S1300">
        <v>0.25438310712461315</v>
      </c>
      <c r="T1300">
        <v>1.3641150880720556</v>
      </c>
      <c r="U1300">
        <v>0.20656205191026236</v>
      </c>
      <c r="V1300">
        <v>0.24556296285289264</v>
      </c>
      <c r="W1300">
        <v>9.7784467926116933E-2</v>
      </c>
      <c r="X1300">
        <v>1.6446987127017948E-2</v>
      </c>
      <c r="Y1300">
        <v>4.3194571355717705E-3</v>
      </c>
    </row>
    <row r="1301" spans="1:25" x14ac:dyDescent="0.2">
      <c r="A1301" s="1077"/>
      <c r="B1301" s="1444">
        <v>1051</v>
      </c>
      <c r="C1301" s="1081">
        <v>1.0221061951663151</v>
      </c>
      <c r="D1301" s="1081">
        <v>0.98833737459163473</v>
      </c>
      <c r="E1301" s="1081">
        <v>0.97118092204104689</v>
      </c>
      <c r="F1301" s="1081">
        <v>0.97762153569479426</v>
      </c>
      <c r="G1301" s="1081">
        <v>0.98980047134578508</v>
      </c>
      <c r="H1301" s="1081">
        <v>0.99714142922737092</v>
      </c>
      <c r="I1301" s="1081">
        <v>1.0137022076079265</v>
      </c>
      <c r="K1301">
        <v>2.3576655644437086</v>
      </c>
      <c r="L1301">
        <v>0</v>
      </c>
      <c r="M1301">
        <v>1.7045600008113713E-3</v>
      </c>
      <c r="N1301">
        <v>0.14217546591451585</v>
      </c>
      <c r="O1301">
        <v>2.056605737660356E-2</v>
      </c>
      <c r="P1301">
        <v>2.7341197898214157E-2</v>
      </c>
      <c r="Q1301">
        <v>5.2268411006626946E-3</v>
      </c>
      <c r="R1301">
        <v>1.6819957067553339E-3</v>
      </c>
      <c r="S1301">
        <v>0.25753134809279943</v>
      </c>
      <c r="T1301">
        <v>1.3403358845432249</v>
      </c>
      <c r="U1301">
        <v>0.20729265070371389</v>
      </c>
      <c r="V1301">
        <v>0.24254388928227683</v>
      </c>
      <c r="W1301">
        <v>9.5031882481218369E-2</v>
      </c>
      <c r="X1301">
        <v>1.5065073500481672E-2</v>
      </c>
      <c r="Y1301">
        <v>4.577837844052305E-3</v>
      </c>
    </row>
    <row r="1302" spans="1:25" x14ac:dyDescent="0.2">
      <c r="A1302" s="1077"/>
      <c r="B1302" s="1444">
        <v>1052</v>
      </c>
      <c r="C1302" s="1081">
        <v>1.0250163172182583</v>
      </c>
      <c r="D1302" s="1081">
        <v>1.0123176488894139</v>
      </c>
      <c r="E1302" s="1081">
        <v>0.98812800942851775</v>
      </c>
      <c r="F1302" s="1081">
        <v>0.98612371383819919</v>
      </c>
      <c r="G1302" s="1081">
        <v>1.0164789631374445</v>
      </c>
      <c r="H1302" s="1081">
        <v>1.0057007172663075</v>
      </c>
      <c r="I1302" s="1081">
        <v>0.99102933161786666</v>
      </c>
      <c r="K1302">
        <v>2.3686655921866198</v>
      </c>
      <c r="L1302">
        <v>0</v>
      </c>
      <c r="M1302">
        <v>1.6465726814006562E-3</v>
      </c>
      <c r="N1302">
        <v>0.14458137889407841</v>
      </c>
      <c r="O1302">
        <v>2.0410699362705641E-2</v>
      </c>
      <c r="P1302">
        <v>2.7792147360613452E-2</v>
      </c>
      <c r="Q1302">
        <v>5.2775011323737027E-3</v>
      </c>
      <c r="R1302">
        <v>1.6249615071927896E-3</v>
      </c>
      <c r="S1302">
        <v>0.24889332308584261</v>
      </c>
      <c r="T1302">
        <v>1.3523524476902506</v>
      </c>
      <c r="U1302">
        <v>0.20676045665400342</v>
      </c>
      <c r="V1302">
        <v>0.24686651368850415</v>
      </c>
      <c r="W1302">
        <v>9.5655868548543618E-2</v>
      </c>
      <c r="X1302">
        <v>1.567425738974872E-2</v>
      </c>
      <c r="Y1302">
        <v>4.4226095541618909E-3</v>
      </c>
    </row>
    <row r="1303" spans="1:25" x14ac:dyDescent="0.2">
      <c r="A1303" s="1077"/>
      <c r="B1303" s="1444">
        <v>1053</v>
      </c>
      <c r="C1303" s="1081">
        <v>1.0222419229930866</v>
      </c>
      <c r="D1303" s="1081">
        <v>0.99871196666810491</v>
      </c>
      <c r="E1303" s="1081">
        <v>1.0266697713339765</v>
      </c>
      <c r="F1303" s="1081">
        <v>0.9783270797293061</v>
      </c>
      <c r="G1303" s="1081">
        <v>1.0146066583120659</v>
      </c>
      <c r="H1303" s="1081">
        <v>1.0010842627388781</v>
      </c>
      <c r="I1303" s="1081">
        <v>1.004166043340591</v>
      </c>
      <c r="K1303">
        <v>2.3739812360735399</v>
      </c>
      <c r="L1303">
        <v>0</v>
      </c>
      <c r="M1303">
        <v>1.5215727842553309E-3</v>
      </c>
      <c r="N1303">
        <v>0.15008616322434334</v>
      </c>
      <c r="O1303">
        <v>2.0552168489727147E-2</v>
      </c>
      <c r="P1303">
        <v>2.8543067773239901E-2</v>
      </c>
      <c r="Q1303">
        <v>5.5231272731556553E-3</v>
      </c>
      <c r="R1303">
        <v>1.5015101333779087E-3</v>
      </c>
      <c r="S1303">
        <v>0.25451685668152996</v>
      </c>
      <c r="T1303">
        <v>1.3424769899277462</v>
      </c>
      <c r="U1303">
        <v>0.20745063362203456</v>
      </c>
      <c r="V1303">
        <v>0.24657127654393809</v>
      </c>
      <c r="W1303">
        <v>9.7061925248066394E-2</v>
      </c>
      <c r="X1303">
        <v>1.713247433026463E-2</v>
      </c>
      <c r="Y1303">
        <v>4.0866156103722259E-3</v>
      </c>
    </row>
    <row r="1304" spans="1:25" x14ac:dyDescent="0.2">
      <c r="A1304" s="1077"/>
      <c r="B1304" s="1444">
        <v>1054</v>
      </c>
      <c r="C1304" s="1081">
        <v>1.0075833578418398</v>
      </c>
      <c r="D1304" s="1081">
        <v>1.0011620958453675</v>
      </c>
      <c r="E1304" s="1081">
        <v>0.99707457901629337</v>
      </c>
      <c r="F1304" s="1081">
        <v>1.00278942130552</v>
      </c>
      <c r="G1304" s="1081">
        <v>0.97072128869404473</v>
      </c>
      <c r="H1304" s="1081">
        <v>1.0037758480428371</v>
      </c>
      <c r="I1304" s="1081">
        <v>0.97111700177684657</v>
      </c>
      <c r="K1304">
        <v>2.3964539092986192</v>
      </c>
      <c r="L1304">
        <v>0</v>
      </c>
      <c r="M1304">
        <v>1.645156090001364E-3</v>
      </c>
      <c r="N1304">
        <v>0.14841323847513488</v>
      </c>
      <c r="O1304">
        <v>2.082040499467204E-2</v>
      </c>
      <c r="P1304">
        <v>2.8256745315884315E-2</v>
      </c>
      <c r="Q1304">
        <v>5.432268649026295E-3</v>
      </c>
      <c r="R1304">
        <v>1.6235221019254707E-3</v>
      </c>
      <c r="S1304">
        <v>0.24940185245271956</v>
      </c>
      <c r="T1304">
        <v>1.3754012478939714</v>
      </c>
      <c r="U1304">
        <v>0.2103680909542166</v>
      </c>
      <c r="V1304">
        <v>0.24007167587465891</v>
      </c>
      <c r="W1304">
        <v>9.7667272145690195E-2</v>
      </c>
      <c r="X1304">
        <v>1.6224054563197119E-2</v>
      </c>
      <c r="Y1304">
        <v>4.4186919675240676E-3</v>
      </c>
    </row>
    <row r="1305" spans="1:25" x14ac:dyDescent="0.2">
      <c r="A1305" s="1077"/>
      <c r="B1305" s="1444">
        <v>1055</v>
      </c>
      <c r="C1305" s="1081">
        <v>0.96355896814545661</v>
      </c>
      <c r="D1305" s="1081">
        <v>1.0009215622550225</v>
      </c>
      <c r="E1305" s="1081">
        <v>1.0212663206475081</v>
      </c>
      <c r="F1305" s="1081">
        <v>1.002606987662322</v>
      </c>
      <c r="G1305" s="1081">
        <v>0.98847296403124973</v>
      </c>
      <c r="H1305" s="1081">
        <v>1.0313168272565778</v>
      </c>
      <c r="I1305" s="1081">
        <v>1.0125241335963897</v>
      </c>
      <c r="K1305">
        <v>2.4644398935408751</v>
      </c>
      <c r="L1305">
        <v>0</v>
      </c>
      <c r="M1305">
        <v>1.6809856973750939E-3</v>
      </c>
      <c r="N1305">
        <v>0.16319416429927225</v>
      </c>
      <c r="O1305">
        <v>2.1789509730684137E-2</v>
      </c>
      <c r="P1305">
        <v>2.9334584285746625E-2</v>
      </c>
      <c r="Q1305">
        <v>5.8243437283068047E-3</v>
      </c>
      <c r="R1305">
        <v>1.6594708567760693E-3</v>
      </c>
      <c r="S1305">
        <v>0.27462095122473729</v>
      </c>
      <c r="T1305">
        <v>1.3756765689324784</v>
      </c>
      <c r="U1305">
        <v>0.22006561522579099</v>
      </c>
      <c r="V1305">
        <v>0.24584893026675342</v>
      </c>
      <c r="W1305">
        <v>0.105872101626884</v>
      </c>
      <c r="X1305">
        <v>1.7718106433091102E-2</v>
      </c>
      <c r="Y1305">
        <v>4.5165326277235443E-3</v>
      </c>
    </row>
    <row r="1306" spans="1:25" x14ac:dyDescent="0.2">
      <c r="A1306" s="1077"/>
      <c r="B1306" s="1444">
        <v>1056</v>
      </c>
      <c r="C1306" s="1081">
        <v>1.0013641639122959</v>
      </c>
      <c r="D1306" s="1081">
        <v>1.025226924899562</v>
      </c>
      <c r="E1306" s="1081">
        <v>1.023247363836814</v>
      </c>
      <c r="F1306" s="1081">
        <v>0.99826303824039786</v>
      </c>
      <c r="G1306" s="1081">
        <v>0.99239945075662328</v>
      </c>
      <c r="H1306" s="1081">
        <v>1.026272123538168</v>
      </c>
      <c r="I1306" s="1081">
        <v>0.98451050045418897</v>
      </c>
      <c r="K1306">
        <v>2.4125689364016436</v>
      </c>
      <c r="L1306">
        <v>0</v>
      </c>
      <c r="M1306">
        <v>1.5945479715407899E-3</v>
      </c>
      <c r="N1306">
        <v>0.15572043073496572</v>
      </c>
      <c r="O1306">
        <v>2.085780499044505E-2</v>
      </c>
      <c r="P1306">
        <v>2.8861648622420893E-2</v>
      </c>
      <c r="Q1306">
        <v>5.5862761131671079E-3</v>
      </c>
      <c r="R1306">
        <v>1.5740391231129135E-3</v>
      </c>
      <c r="S1306">
        <v>0.25349653270979416</v>
      </c>
      <c r="T1306">
        <v>1.3697591969398821</v>
      </c>
      <c r="U1306">
        <v>0.21176411079101348</v>
      </c>
      <c r="V1306">
        <v>0.2440666754696092</v>
      </c>
      <c r="W1306">
        <v>0.10090670942372908</v>
      </c>
      <c r="X1306">
        <v>1.7286043843789296E-2</v>
      </c>
      <c r="Y1306">
        <v>4.2840156112558701E-3</v>
      </c>
    </row>
    <row r="1307" spans="1:25" x14ac:dyDescent="0.2">
      <c r="A1307" s="1077"/>
      <c r="B1307" s="1444">
        <v>1057</v>
      </c>
      <c r="C1307" s="1081">
        <v>0.98749995825460801</v>
      </c>
      <c r="D1307" s="1081">
        <v>0.99388251782810388</v>
      </c>
      <c r="E1307" s="1081">
        <v>0.97702261148289082</v>
      </c>
      <c r="F1307" s="1081">
        <v>1.0137791428083267</v>
      </c>
      <c r="G1307" s="1081">
        <v>0.98131619596398145</v>
      </c>
      <c r="H1307" s="1081">
        <v>0.96014544874067409</v>
      </c>
      <c r="I1307" s="1081">
        <v>0.98916315824737067</v>
      </c>
      <c r="K1307">
        <v>2.4161977449255998</v>
      </c>
      <c r="L1307">
        <v>0</v>
      </c>
      <c r="M1307">
        <v>1.676393209954158E-3</v>
      </c>
      <c r="N1307">
        <v>0.14224702221915372</v>
      </c>
      <c r="O1307">
        <v>2.1264509902930877E-2</v>
      </c>
      <c r="P1307">
        <v>2.8219618344627689E-2</v>
      </c>
      <c r="Q1307">
        <v>5.4366419558035065E-3</v>
      </c>
      <c r="R1307">
        <v>1.6533467044302678E-3</v>
      </c>
      <c r="S1307">
        <v>0.25626731201429798</v>
      </c>
      <c r="T1307">
        <v>1.3900359815881667</v>
      </c>
      <c r="U1307">
        <v>0.21457721111107683</v>
      </c>
      <c r="V1307">
        <v>0.24321121118760852</v>
      </c>
      <c r="W1307">
        <v>9.4743355781427299E-2</v>
      </c>
      <c r="X1307">
        <v>1.5718062622163177E-2</v>
      </c>
      <c r="Y1307">
        <v>4.499864703864551E-3</v>
      </c>
    </row>
    <row r="1308" spans="1:25" x14ac:dyDescent="0.2">
      <c r="A1308" s="1077"/>
      <c r="B1308" s="1444">
        <v>1058</v>
      </c>
      <c r="C1308" s="1081">
        <v>1.0381248852478671</v>
      </c>
      <c r="D1308" s="1081">
        <v>0.99613857817427087</v>
      </c>
      <c r="E1308" s="1081">
        <v>1.0115288443928194</v>
      </c>
      <c r="F1308" s="1081">
        <v>1.0168798793386391</v>
      </c>
      <c r="G1308" s="1081">
        <v>1.0385197134005726</v>
      </c>
      <c r="H1308" s="1081">
        <v>0.98970988341213018</v>
      </c>
      <c r="I1308" s="1081">
        <v>1.002166096396343</v>
      </c>
      <c r="K1308">
        <v>2.4118155848711029</v>
      </c>
      <c r="L1308">
        <v>0</v>
      </c>
      <c r="M1308">
        <v>1.5295383318774042E-3</v>
      </c>
      <c r="N1308">
        <v>0.14411296522891498</v>
      </c>
      <c r="O1308">
        <v>2.0239501372956908E-2</v>
      </c>
      <c r="P1308">
        <v>2.8880790407671348E-2</v>
      </c>
      <c r="Q1308">
        <v>5.3578040189068395E-3</v>
      </c>
      <c r="R1308">
        <v>1.5091388716296002E-3</v>
      </c>
      <c r="S1308">
        <v>0.24939187026666856</v>
      </c>
      <c r="T1308">
        <v>1.3950455434446165</v>
      </c>
      <c r="U1308">
        <v>0.20422670864315254</v>
      </c>
      <c r="V1308">
        <v>0.24977416765182547</v>
      </c>
      <c r="W1308">
        <v>9.4028853707633878E-2</v>
      </c>
      <c r="X1308">
        <v>1.6670401067923404E-2</v>
      </c>
      <c r="Y1308">
        <v>4.107378521080441E-3</v>
      </c>
    </row>
    <row r="1309" spans="1:25" x14ac:dyDescent="0.2">
      <c r="A1309" s="1077"/>
      <c r="B1309" s="1444">
        <v>1059</v>
      </c>
      <c r="C1309" s="1081">
        <v>1.0003152380712352</v>
      </c>
      <c r="D1309" s="1081">
        <v>0.99323494224429731</v>
      </c>
      <c r="E1309" s="1081">
        <v>1.0384827142310971</v>
      </c>
      <c r="F1309" s="1081">
        <v>0.97395225964070486</v>
      </c>
      <c r="G1309" s="1081">
        <v>0.99695413386414045</v>
      </c>
      <c r="H1309" s="1081">
        <v>1.0141621203135065</v>
      </c>
      <c r="I1309" s="1081">
        <v>1.005676827871631</v>
      </c>
      <c r="K1309">
        <v>2.3919399111188842</v>
      </c>
      <c r="L1309">
        <v>0</v>
      </c>
      <c r="M1309">
        <v>1.5387824400635763E-3</v>
      </c>
      <c r="N1309">
        <v>0.15731230740888646</v>
      </c>
      <c r="O1309">
        <v>2.1035979866199379E-2</v>
      </c>
      <c r="P1309">
        <v>2.8858895448957037E-2</v>
      </c>
      <c r="Q1309">
        <v>5.7194634610277595E-3</v>
      </c>
      <c r="R1309">
        <v>1.5187545105267465E-3</v>
      </c>
      <c r="S1309">
        <v>0.26242556591033167</v>
      </c>
      <c r="T1309">
        <v>1.336724196969874</v>
      </c>
      <c r="U1309">
        <v>0.21203846898841636</v>
      </c>
      <c r="V1309">
        <v>0.24485671060684353</v>
      </c>
      <c r="W1309">
        <v>0.10104130204980256</v>
      </c>
      <c r="X1309">
        <v>1.7813499217719152E-2</v>
      </c>
      <c r="Y1309">
        <v>4.1335491203639638E-3</v>
      </c>
    </row>
    <row r="1310" spans="1:25" x14ac:dyDescent="0.2">
      <c r="A1310" s="1077"/>
      <c r="B1310" s="1444">
        <v>1060</v>
      </c>
      <c r="C1310" s="1081">
        <v>0.99436171352447444</v>
      </c>
      <c r="D1310" s="1081">
        <v>0.96691694353010305</v>
      </c>
      <c r="E1310" s="1081">
        <v>1.0273593481318377</v>
      </c>
      <c r="F1310" s="1081">
        <v>1.0333939978902715</v>
      </c>
      <c r="G1310" s="1081">
        <v>1.0100666638434237</v>
      </c>
      <c r="H1310" s="1081">
        <v>0.97195596987869781</v>
      </c>
      <c r="I1310" s="1081">
        <v>0.99197996751543327</v>
      </c>
      <c r="K1310">
        <v>2.4661849022432984</v>
      </c>
      <c r="L1310">
        <v>0</v>
      </c>
      <c r="M1310">
        <v>1.527374196020882E-3</v>
      </c>
      <c r="N1310">
        <v>0.1509115337727078</v>
      </c>
      <c r="O1310">
        <v>2.1279807033144735E-2</v>
      </c>
      <c r="P1310">
        <v>2.9783361506897317E-2</v>
      </c>
      <c r="Q1310">
        <v>5.722577253608788E-3</v>
      </c>
      <c r="R1310">
        <v>1.5066315060613203E-3</v>
      </c>
      <c r="S1310">
        <v>0.26023152324327448</v>
      </c>
      <c r="T1310">
        <v>1.4180562414163447</v>
      </c>
      <c r="U1310">
        <v>0.21326957637926283</v>
      </c>
      <c r="V1310">
        <v>0.24750620966230374</v>
      </c>
      <c r="W1310">
        <v>9.7556549350230823E-2</v>
      </c>
      <c r="X1310">
        <v>1.7787711016927464E-2</v>
      </c>
      <c r="Y1310">
        <v>4.1005542985564202E-3</v>
      </c>
    </row>
    <row r="1311" spans="1:25" x14ac:dyDescent="0.2">
      <c r="A1311" s="1077"/>
      <c r="B1311" s="1444">
        <v>1061</v>
      </c>
      <c r="C1311" s="1081">
        <v>0.99283340531587616</v>
      </c>
      <c r="D1311" s="1081">
        <v>0.97280999078003716</v>
      </c>
      <c r="E1311" s="1081">
        <v>1.0101082086311957</v>
      </c>
      <c r="F1311" s="1081">
        <v>1.0306801985841867</v>
      </c>
      <c r="G1311" s="1081">
        <v>0.9887841686524198</v>
      </c>
      <c r="H1311" s="1081">
        <v>1.041230708929104</v>
      </c>
      <c r="I1311" s="1081">
        <v>0.97712544893471553</v>
      </c>
      <c r="K1311">
        <v>2.4743498205747705</v>
      </c>
      <c r="L1311">
        <v>0</v>
      </c>
      <c r="M1311">
        <v>1.6963628651529017E-3</v>
      </c>
      <c r="N1311">
        <v>0.1592536122572743</v>
      </c>
      <c r="O1311">
        <v>2.1272457942088287E-2</v>
      </c>
      <c r="P1311">
        <v>2.9327860457707598E-2</v>
      </c>
      <c r="Q1311">
        <v>5.6232606648937136E-3</v>
      </c>
      <c r="R1311">
        <v>1.6748579364532197E-3</v>
      </c>
      <c r="S1311">
        <v>0.26163591758074289</v>
      </c>
      <c r="T1311">
        <v>1.4139463023372458</v>
      </c>
      <c r="U1311">
        <v>0.21353830678565597</v>
      </c>
      <c r="V1311">
        <v>0.2440307405178265</v>
      </c>
      <c r="W1311">
        <v>0.10399464098731452</v>
      </c>
      <c r="X1311">
        <v>1.718981478646503E-2</v>
      </c>
      <c r="Y1311">
        <v>4.558411186255296E-3</v>
      </c>
    </row>
    <row r="1312" spans="1:25" x14ac:dyDescent="0.2">
      <c r="A1312" s="1077"/>
      <c r="B1312" s="1444">
        <v>1062</v>
      </c>
      <c r="C1312" s="1081">
        <v>0.99066190491712902</v>
      </c>
      <c r="D1312" s="1081">
        <v>0.99525771298067678</v>
      </c>
      <c r="E1312" s="1081">
        <v>0.973858723554758</v>
      </c>
      <c r="F1312" s="1081">
        <v>0.97130267740709919</v>
      </c>
      <c r="G1312" s="1081">
        <v>1.0132557283166728</v>
      </c>
      <c r="H1312" s="1081">
        <v>1.0231939916990349</v>
      </c>
      <c r="I1312" s="1081">
        <v>0.97017305429240297</v>
      </c>
      <c r="K1312">
        <v>2.3751561328544857</v>
      </c>
      <c r="L1312">
        <v>0</v>
      </c>
      <c r="M1312">
        <v>1.791907322196509E-3</v>
      </c>
      <c r="N1312">
        <v>0.15072901915225881</v>
      </c>
      <c r="O1312">
        <v>2.1188078551180753E-2</v>
      </c>
      <c r="P1312">
        <v>2.7423728821415944E-2</v>
      </c>
      <c r="Q1312">
        <v>5.3996646469225366E-3</v>
      </c>
      <c r="R1312">
        <v>1.7687907316158438E-3</v>
      </c>
      <c r="S1312">
        <v>0.25559874722055742</v>
      </c>
      <c r="T1312">
        <v>1.3317285541707318</v>
      </c>
      <c r="U1312">
        <v>0.21388146045390119</v>
      </c>
      <c r="V1312">
        <v>0.24847931379748214</v>
      </c>
      <c r="W1312">
        <v>0.1005854462509322</v>
      </c>
      <c r="X1312">
        <v>1.5351171089930216E-2</v>
      </c>
      <c r="Y1312">
        <v>4.8140652897503558E-3</v>
      </c>
    </row>
    <row r="1313" spans="1:25" x14ac:dyDescent="0.2">
      <c r="A1313" s="1077"/>
      <c r="B1313" s="1444">
        <v>1063</v>
      </c>
      <c r="C1313" s="1081">
        <v>1.0100129996860974</v>
      </c>
      <c r="D1313" s="1081">
        <v>0.96556060573033309</v>
      </c>
      <c r="E1313" s="1081">
        <v>0.98257490073647868</v>
      </c>
      <c r="F1313" s="1081">
        <v>1.0261152475555742</v>
      </c>
      <c r="G1313" s="1081">
        <v>0.99602754617164946</v>
      </c>
      <c r="H1313" s="1081">
        <v>1.0193132688574502</v>
      </c>
      <c r="I1313" s="1081">
        <v>1.0024356934537686</v>
      </c>
      <c r="K1313">
        <v>2.4481635104723223</v>
      </c>
      <c r="L1313">
        <v>0</v>
      </c>
      <c r="M1313">
        <v>1.7311429442979777E-3</v>
      </c>
      <c r="N1313">
        <v>0.14950215353244292</v>
      </c>
      <c r="O1313">
        <v>2.0926845750676694E-2</v>
      </c>
      <c r="P1313">
        <v>2.8605948609931757E-2</v>
      </c>
      <c r="Q1313">
        <v>5.3805946204239759E-3</v>
      </c>
      <c r="R1313">
        <v>1.7087252227347563E-3</v>
      </c>
      <c r="S1313">
        <v>0.26274402872233094</v>
      </c>
      <c r="T1313">
        <v>1.4070732519938483</v>
      </c>
      <c r="U1313">
        <v>0.20981304642797727</v>
      </c>
      <c r="V1313">
        <v>0.24429702452161769</v>
      </c>
      <c r="W1313">
        <v>9.924229019735599E-2</v>
      </c>
      <c r="X1313">
        <v>1.5950157042114388E-2</v>
      </c>
      <c r="Y1313">
        <v>4.650586775165718E-3</v>
      </c>
    </row>
    <row r="1314" spans="1:25" x14ac:dyDescent="0.2">
      <c r="A1314" s="1077"/>
      <c r="B1314" s="1444">
        <v>1064</v>
      </c>
      <c r="C1314" s="1081">
        <v>1.016329686052746</v>
      </c>
      <c r="D1314" s="1081">
        <v>0.98702745461478469</v>
      </c>
      <c r="E1314" s="1081">
        <v>1.0144039009490702</v>
      </c>
      <c r="F1314" s="1081">
        <v>1.0132110293947123</v>
      </c>
      <c r="G1314" s="1081">
        <v>1.01510032246405</v>
      </c>
      <c r="H1314" s="1081">
        <v>1.0187077521337993</v>
      </c>
      <c r="I1314" s="1081">
        <v>1.0016311225756287</v>
      </c>
      <c r="K1314">
        <v>2.4320035046379136</v>
      </c>
      <c r="L1314">
        <v>0</v>
      </c>
      <c r="M1314">
        <v>1.6017686303829337E-3</v>
      </c>
      <c r="N1314">
        <v>0.15229242788936209</v>
      </c>
      <c r="O1314">
        <v>2.0717257609728562E-2</v>
      </c>
      <c r="P1314">
        <v>2.9018671896094448E-2</v>
      </c>
      <c r="Q1314">
        <v>5.5000344576657673E-3</v>
      </c>
      <c r="R1314">
        <v>1.5810139336731575E-3</v>
      </c>
      <c r="S1314">
        <v>0.25824564704207753</v>
      </c>
      <c r="T1314">
        <v>1.3900754574564504</v>
      </c>
      <c r="U1314">
        <v>0.20861604126661887</v>
      </c>
      <c r="V1314">
        <v>0.24705482016399219</v>
      </c>
      <c r="W1314">
        <v>9.9197752807379913E-2</v>
      </c>
      <c r="X1314">
        <v>1.7003149998894716E-2</v>
      </c>
      <c r="Y1314">
        <v>4.302998746355171E-3</v>
      </c>
    </row>
    <row r="1315" spans="1:25" x14ac:dyDescent="0.2">
      <c r="A1315" s="1077"/>
      <c r="B1315" s="1444">
        <v>1065</v>
      </c>
      <c r="C1315" s="1081">
        <v>1.0075096017354679</v>
      </c>
      <c r="D1315" s="1081">
        <v>1.0352995007138783</v>
      </c>
      <c r="E1315" s="1081">
        <v>0.9779405257368321</v>
      </c>
      <c r="F1315" s="1081">
        <v>1.0144859628909657</v>
      </c>
      <c r="G1315" s="1081">
        <v>1.0106710140941604</v>
      </c>
      <c r="H1315" s="1081">
        <v>0.9617637070370082</v>
      </c>
      <c r="I1315" s="1081">
        <v>0.97448392682588558</v>
      </c>
      <c r="K1315">
        <v>2.3955004637624668</v>
      </c>
      <c r="L1315">
        <v>0</v>
      </c>
      <c r="M1315">
        <v>1.628059797376227E-3</v>
      </c>
      <c r="N1315">
        <v>0.13853331181077785</v>
      </c>
      <c r="O1315">
        <v>2.0656418828180929E-2</v>
      </c>
      <c r="P1315">
        <v>2.8061896485089086E-2</v>
      </c>
      <c r="Q1315">
        <v>5.28610926469538E-3</v>
      </c>
      <c r="R1315">
        <v>1.60571542368518E-3</v>
      </c>
      <c r="S1315">
        <v>0.24256253180735068</v>
      </c>
      <c r="T1315">
        <v>1.3910251795667643</v>
      </c>
      <c r="U1315">
        <v>0.21031870356768964</v>
      </c>
      <c r="V1315">
        <v>0.2469696093273282</v>
      </c>
      <c r="W1315">
        <v>9.2218616803581219E-2</v>
      </c>
      <c r="X1315">
        <v>1.5520202615373225E-2</v>
      </c>
      <c r="Y1315">
        <v>4.3702280593239011E-3</v>
      </c>
    </row>
    <row r="1316" spans="1:25" x14ac:dyDescent="0.2">
      <c r="A1316" s="1077"/>
      <c r="B1316" s="1444">
        <v>1066</v>
      </c>
      <c r="C1316" s="1081">
        <v>1.0422672488434588</v>
      </c>
      <c r="D1316" s="1081">
        <v>0.97589278567454674</v>
      </c>
      <c r="E1316" s="1081">
        <v>1.0277244529812284</v>
      </c>
      <c r="F1316" s="1081">
        <v>1.0060748300885514</v>
      </c>
      <c r="G1316" s="1081">
        <v>0.96064526270333594</v>
      </c>
      <c r="H1316" s="1081">
        <v>0.99708808743828437</v>
      </c>
      <c r="I1316" s="1081">
        <v>0.96480816406741232</v>
      </c>
      <c r="K1316">
        <v>2.3809349003075888</v>
      </c>
      <c r="L1316">
        <v>0</v>
      </c>
      <c r="M1316">
        <v>1.4906804385122841E-3</v>
      </c>
      <c r="N1316">
        <v>0.1474994172919521</v>
      </c>
      <c r="O1316">
        <v>2.0260733932071954E-2</v>
      </c>
      <c r="P1316">
        <v>2.8725864585126739E-2</v>
      </c>
      <c r="Q1316">
        <v>5.4504973687152496E-3</v>
      </c>
      <c r="R1316">
        <v>1.4709463422091197E-3</v>
      </c>
      <c r="S1316">
        <v>0.24233533613864561</v>
      </c>
      <c r="T1316">
        <v>1.3805759942536835</v>
      </c>
      <c r="U1316">
        <v>0.20346830897582688</v>
      </c>
      <c r="V1316">
        <v>0.23618632381240826</v>
      </c>
      <c r="W1316">
        <v>9.5330546442049025E-2</v>
      </c>
      <c r="X1316">
        <v>1.7118180557248456E-2</v>
      </c>
      <c r="Y1316">
        <v>4.0034310461618339E-3</v>
      </c>
    </row>
    <row r="1317" spans="1:25" x14ac:dyDescent="0.2">
      <c r="A1317" s="1077"/>
      <c r="B1317" s="1444">
        <v>1067</v>
      </c>
      <c r="C1317" s="1081">
        <v>1.0088902579007257</v>
      </c>
      <c r="D1317" s="1081">
        <v>1.0044489161114267</v>
      </c>
      <c r="E1317" s="1081">
        <v>1.0086442574345411</v>
      </c>
      <c r="F1317" s="1081">
        <v>0.98497009125393042</v>
      </c>
      <c r="G1317" s="1081">
        <v>0.98428986072813107</v>
      </c>
      <c r="H1317" s="1081">
        <v>1.0189884580567192</v>
      </c>
      <c r="I1317" s="1081">
        <v>1.0145969216808588</v>
      </c>
      <c r="K1317">
        <v>2.3918238934273162</v>
      </c>
      <c r="L1317">
        <v>0</v>
      </c>
      <c r="M1317">
        <v>1.6271825025157571E-3</v>
      </c>
      <c r="N1317">
        <v>0.15204268891677472</v>
      </c>
      <c r="O1317">
        <v>2.0786053135596731E-2</v>
      </c>
      <c r="P1317">
        <v>2.835756417732925E-2</v>
      </c>
      <c r="Q1317">
        <v>5.4866442261615597E-3</v>
      </c>
      <c r="R1317">
        <v>1.6061043171681224E-3</v>
      </c>
      <c r="S1317">
        <v>0.26120018157465419</v>
      </c>
      <c r="T1317">
        <v>1.3512073062348218</v>
      </c>
      <c r="U1317">
        <v>0.21013480033123114</v>
      </c>
      <c r="V1317">
        <v>0.24226820688543307</v>
      </c>
      <c r="W1317">
        <v>9.9371604393968693E-2</v>
      </c>
      <c r="X1317">
        <v>1.6618635237506785E-2</v>
      </c>
      <c r="Y1317">
        <v>4.3712864991857668E-3</v>
      </c>
    </row>
    <row r="1318" spans="1:25" x14ac:dyDescent="0.2">
      <c r="A1318" s="1077"/>
      <c r="B1318" s="1444">
        <v>1068</v>
      </c>
      <c r="C1318" s="1081">
        <v>0.98618360171550912</v>
      </c>
      <c r="D1318" s="1081">
        <v>0.99006549247897246</v>
      </c>
      <c r="E1318" s="1081">
        <v>1.0161877415398941</v>
      </c>
      <c r="F1318" s="1081">
        <v>0.95972563864314786</v>
      </c>
      <c r="G1318" s="1081">
        <v>1.0138644013293225</v>
      </c>
      <c r="H1318" s="1081">
        <v>0.99279724177961515</v>
      </c>
      <c r="I1318" s="1081">
        <v>0.95456166736825221</v>
      </c>
      <c r="K1318">
        <v>2.3604567542923092</v>
      </c>
      <c r="L1318">
        <v>0</v>
      </c>
      <c r="M1318">
        <v>1.6017073529787599E-3</v>
      </c>
      <c r="N1318">
        <v>0.15305616362160954</v>
      </c>
      <c r="O1318">
        <v>2.1337327098196628E-2</v>
      </c>
      <c r="P1318">
        <v>2.8056511327794419E-2</v>
      </c>
      <c r="Q1318">
        <v>5.6747316936438868E-3</v>
      </c>
      <c r="R1318">
        <v>1.5804118047093401E-3</v>
      </c>
      <c r="S1318">
        <v>0.25111839170476891</v>
      </c>
      <c r="T1318">
        <v>1.3167332843134398</v>
      </c>
      <c r="U1318">
        <v>0.21499930364986869</v>
      </c>
      <c r="V1318">
        <v>0.24871453450996797</v>
      </c>
      <c r="W1318">
        <v>9.9590845366320138E-2</v>
      </c>
      <c r="X1318">
        <v>1.6895596605158852E-2</v>
      </c>
      <c r="Y1318">
        <v>4.3013599498074187E-3</v>
      </c>
    </row>
    <row r="1319" spans="1:25" x14ac:dyDescent="0.2">
      <c r="A1319" s="1077"/>
      <c r="B1319" s="1444">
        <v>1069</v>
      </c>
      <c r="C1319" s="1081">
        <v>1.0013647536434969</v>
      </c>
      <c r="D1319" s="1081">
        <v>1.0096401915397268</v>
      </c>
      <c r="E1319" s="1081">
        <v>0.95869593318698776</v>
      </c>
      <c r="F1319" s="1081">
        <v>1.0016457322234891</v>
      </c>
      <c r="G1319" s="1081">
        <v>1.0216462011200742</v>
      </c>
      <c r="H1319" s="1081">
        <v>0.96544748664172042</v>
      </c>
      <c r="I1319" s="1081">
        <v>1.0232685085610183</v>
      </c>
      <c r="K1319">
        <v>2.3979762025618081</v>
      </c>
      <c r="L1319">
        <v>0</v>
      </c>
      <c r="M1319">
        <v>1.7204221570321723E-3</v>
      </c>
      <c r="N1319">
        <v>0.13811227344612362</v>
      </c>
      <c r="O1319">
        <v>2.0885581445209259E-2</v>
      </c>
      <c r="P1319">
        <v>2.7685724884292037E-2</v>
      </c>
      <c r="Q1319">
        <v>5.2405547391116162E-3</v>
      </c>
      <c r="R1319">
        <v>1.6969002467445247E-3</v>
      </c>
      <c r="S1319">
        <v>0.25967646071109307</v>
      </c>
      <c r="T1319">
        <v>1.3730049872602423</v>
      </c>
      <c r="U1319">
        <v>0.21154396567952569</v>
      </c>
      <c r="V1319">
        <v>0.24929820900654925</v>
      </c>
      <c r="W1319">
        <v>9.3023006189610513E-2</v>
      </c>
      <c r="X1319">
        <v>1.4910558021713982E-2</v>
      </c>
      <c r="Y1319">
        <v>4.6184030886225955E-3</v>
      </c>
    </row>
    <row r="1320" spans="1:25" x14ac:dyDescent="0.2">
      <c r="A1320" s="1077"/>
      <c r="B1320" s="1444">
        <v>1070</v>
      </c>
      <c r="C1320" s="1081">
        <v>1.042190914327908</v>
      </c>
      <c r="D1320" s="1081">
        <v>0.97838661712649933</v>
      </c>
      <c r="E1320" s="1081">
        <v>0.99897001882710457</v>
      </c>
      <c r="F1320" s="1081">
        <v>1.0090952282374386</v>
      </c>
      <c r="G1320" s="1081">
        <v>0.98158202311106912</v>
      </c>
      <c r="H1320" s="1081">
        <v>0.99770411139687198</v>
      </c>
      <c r="I1320" s="1081">
        <v>0.97725111568552914</v>
      </c>
      <c r="K1320">
        <v>2.3844051979807297</v>
      </c>
      <c r="L1320">
        <v>0</v>
      </c>
      <c r="M1320">
        <v>1.5826959411102239E-3</v>
      </c>
      <c r="N1320">
        <v>0.14358701372183127</v>
      </c>
      <c r="O1320">
        <v>2.0232407332777393E-2</v>
      </c>
      <c r="P1320">
        <v>2.825705928048252E-2</v>
      </c>
      <c r="Q1320">
        <v>5.2889319032136421E-3</v>
      </c>
      <c r="R1320">
        <v>1.5617566514295974E-3</v>
      </c>
      <c r="S1320">
        <v>0.24498925934605487</v>
      </c>
      <c r="T1320">
        <v>1.3840914886636726</v>
      </c>
      <c r="U1320">
        <v>0.20338870891697977</v>
      </c>
      <c r="V1320">
        <v>0.23986362115528923</v>
      </c>
      <c r="W1320">
        <v>9.4384691848686225E-2</v>
      </c>
      <c r="X1320">
        <v>1.6092368329171068E-2</v>
      </c>
      <c r="Y1320">
        <v>4.2505867722495852E-3</v>
      </c>
    </row>
    <row r="1321" spans="1:25" x14ac:dyDescent="0.2">
      <c r="A1321" s="1077"/>
      <c r="B1321" s="1444">
        <v>1071</v>
      </c>
      <c r="C1321" s="1081">
        <v>0.9901566729458271</v>
      </c>
      <c r="D1321" s="1081">
        <v>1.0065929304253241</v>
      </c>
      <c r="E1321" s="1081">
        <v>0.98137563867216326</v>
      </c>
      <c r="F1321" s="1081">
        <v>0.99878001723444143</v>
      </c>
      <c r="G1321" s="1081">
        <v>0.99546995570883146</v>
      </c>
      <c r="H1321" s="1081">
        <v>0.99640868495696622</v>
      </c>
      <c r="I1321" s="1081">
        <v>0.99714655692164711</v>
      </c>
      <c r="K1321">
        <v>2.4086951779756096</v>
      </c>
      <c r="L1321">
        <v>0</v>
      </c>
      <c r="M1321">
        <v>1.7146945094820773E-3</v>
      </c>
      <c r="N1321">
        <v>0.1475008919908955</v>
      </c>
      <c r="O1321">
        <v>2.1151152207054744E-2</v>
      </c>
      <c r="P1321">
        <v>2.8098621069591281E-2</v>
      </c>
      <c r="Q1321">
        <v>5.4316495097828411E-3</v>
      </c>
      <c r="R1321">
        <v>1.6919793666847985E-3</v>
      </c>
      <c r="S1321">
        <v>0.25913131263032924</v>
      </c>
      <c r="T1321">
        <v>1.3695636683246444</v>
      </c>
      <c r="U1321">
        <v>0.21401645080329348</v>
      </c>
      <c r="V1321">
        <v>0.24544457234222761</v>
      </c>
      <c r="W1321">
        <v>9.7984634079604963E-2</v>
      </c>
      <c r="X1321">
        <v>1.5789930085712715E-2</v>
      </c>
      <c r="Y1321">
        <v>4.6050100752676954E-3</v>
      </c>
    </row>
    <row r="1322" spans="1:25" x14ac:dyDescent="0.2">
      <c r="A1322" s="1077"/>
      <c r="B1322" s="1444">
        <v>1072</v>
      </c>
      <c r="C1322" s="1081">
        <v>1.0374734952425484</v>
      </c>
      <c r="D1322" s="1081">
        <v>1.0344129314368804</v>
      </c>
      <c r="E1322" s="1081">
        <v>1.0232677457397903</v>
      </c>
      <c r="F1322" s="1081">
        <v>0.99186457331471867</v>
      </c>
      <c r="G1322" s="1081">
        <v>1.0116691144967191</v>
      </c>
      <c r="H1322" s="1081">
        <v>0.97589702054544147</v>
      </c>
      <c r="I1322" s="1081">
        <v>0.95973097707036303</v>
      </c>
      <c r="K1322">
        <v>2.353529677082014</v>
      </c>
      <c r="L1322">
        <v>0</v>
      </c>
      <c r="M1322">
        <v>1.4605734132544731E-3</v>
      </c>
      <c r="N1322">
        <v>0.14254956732343399</v>
      </c>
      <c r="O1322">
        <v>2.0092392426136627E-2</v>
      </c>
      <c r="P1322">
        <v>2.8376147742485768E-2</v>
      </c>
      <c r="Q1322">
        <v>5.3813870716525975E-3</v>
      </c>
      <c r="R1322">
        <v>1.4408180228201296E-3</v>
      </c>
      <c r="S1322">
        <v>0.23352784725785536</v>
      </c>
      <c r="T1322">
        <v>1.3609800301540256</v>
      </c>
      <c r="U1322">
        <v>0.20439371476744914</v>
      </c>
      <c r="V1322">
        <v>0.24518570168394788</v>
      </c>
      <c r="W1322">
        <v>9.2370902236311919E-2</v>
      </c>
      <c r="X1322">
        <v>1.6770310116564085E-2</v>
      </c>
      <c r="Y1322">
        <v>3.9214316925828205E-3</v>
      </c>
    </row>
    <row r="1323" spans="1:25" x14ac:dyDescent="0.2">
      <c r="A1323" s="1077"/>
      <c r="B1323" s="1444">
        <v>1073</v>
      </c>
      <c r="C1323" s="1081">
        <v>1.0006209560751562</v>
      </c>
      <c r="D1323" s="1081">
        <v>0.99130283023958887</v>
      </c>
      <c r="E1323" s="1081">
        <v>1.0281112709803844</v>
      </c>
      <c r="F1323" s="1081">
        <v>1.0124623957056227</v>
      </c>
      <c r="G1323" s="1081">
        <v>1.0217047389857314</v>
      </c>
      <c r="H1323" s="1081">
        <v>0.97973926039126247</v>
      </c>
      <c r="I1323" s="1081">
        <v>1.0245475711955232</v>
      </c>
      <c r="K1323">
        <v>2.4403463120255191</v>
      </c>
      <c r="L1323">
        <v>0</v>
      </c>
      <c r="M1323">
        <v>1.5192321736616514E-3</v>
      </c>
      <c r="N1323">
        <v>0.15046421394160456</v>
      </c>
      <c r="O1323">
        <v>2.1031636568251098E-2</v>
      </c>
      <c r="P1323">
        <v>2.9461883721876556E-2</v>
      </c>
      <c r="Q1323">
        <v>5.6600505916381983E-3</v>
      </c>
      <c r="R1323">
        <v>1.4987639640452919E-3</v>
      </c>
      <c r="S1323">
        <v>0.26443396096050042</v>
      </c>
      <c r="T1323">
        <v>1.3893497830312616</v>
      </c>
      <c r="U1323">
        <v>0.21193807820001806</v>
      </c>
      <c r="V1323">
        <v>0.24909677132840727</v>
      </c>
      <c r="W1323">
        <v>9.7224859266032651E-2</v>
      </c>
      <c r="X1323">
        <v>1.7626401182823267E-2</v>
      </c>
      <c r="Y1323">
        <v>4.0791414427233195E-3</v>
      </c>
    </row>
    <row r="1324" spans="1:25" x14ac:dyDescent="0.2">
      <c r="A1324" s="1077"/>
      <c r="B1324" s="1444">
        <v>1074</v>
      </c>
      <c r="C1324" s="1081">
        <v>0.97560082624958933</v>
      </c>
      <c r="D1324" s="1081">
        <v>1.0076787553208322</v>
      </c>
      <c r="E1324" s="1081">
        <v>1.0318008954152653</v>
      </c>
      <c r="F1324" s="1081">
        <v>1.0100255297490512</v>
      </c>
      <c r="G1324" s="1081">
        <v>0.9753551477266732</v>
      </c>
      <c r="H1324" s="1081">
        <v>1.0069466965833098</v>
      </c>
      <c r="I1324" s="1081">
        <v>1.0084814686913699</v>
      </c>
      <c r="K1324">
        <v>2.4534085918687447</v>
      </c>
      <c r="L1324">
        <v>0</v>
      </c>
      <c r="M1324">
        <v>1.5834818676397635E-3</v>
      </c>
      <c r="N1324">
        <v>0.15864007600442198</v>
      </c>
      <c r="O1324">
        <v>2.149591288439328E-2</v>
      </c>
      <c r="P1324">
        <v>2.9521721397988164E-2</v>
      </c>
      <c r="Q1324">
        <v>5.8061392103838181E-3</v>
      </c>
      <c r="R1324">
        <v>1.5627244735086105E-3</v>
      </c>
      <c r="S1324">
        <v>0.2671943101830333</v>
      </c>
      <c r="T1324">
        <v>1.3860868676409306</v>
      </c>
      <c r="U1324">
        <v>0.21738639993386971</v>
      </c>
      <c r="V1324">
        <v>0.24277536057165994</v>
      </c>
      <c r="W1324">
        <v>0.10228850582842354</v>
      </c>
      <c r="X1324">
        <v>1.798083474286305E-2</v>
      </c>
      <c r="Y1324">
        <v>4.2532208649061955E-3</v>
      </c>
    </row>
    <row r="1325" spans="1:25" x14ac:dyDescent="0.2">
      <c r="A1325" s="1077"/>
      <c r="B1325" s="1444">
        <v>1075</v>
      </c>
      <c r="C1325" s="1081">
        <v>1.0178590009191242</v>
      </c>
      <c r="D1325" s="1081">
        <v>0.9670516445374604</v>
      </c>
      <c r="E1325" s="1081">
        <v>1.0227735807399532</v>
      </c>
      <c r="F1325" s="1081">
        <v>0.97690607424383225</v>
      </c>
      <c r="G1325" s="1081">
        <v>0.9559934137136763</v>
      </c>
      <c r="H1325" s="1081">
        <v>1.0078598325425141</v>
      </c>
      <c r="I1325" s="1081">
        <v>0.9710542421553513</v>
      </c>
      <c r="K1325">
        <v>2.3641753824748486</v>
      </c>
      <c r="L1325">
        <v>0</v>
      </c>
      <c r="M1325">
        <v>1.5620301259991552E-3</v>
      </c>
      <c r="N1325">
        <v>0.1522907144559684</v>
      </c>
      <c r="O1325">
        <v>2.0784901698558608E-2</v>
      </c>
      <c r="P1325">
        <v>2.8272715441588155E-2</v>
      </c>
      <c r="Q1325">
        <v>5.5641336356844042E-3</v>
      </c>
      <c r="R1325">
        <v>1.5415724881179722E-3</v>
      </c>
      <c r="S1325">
        <v>0.251744849137788</v>
      </c>
      <c r="T1325">
        <v>1.3404443421440004</v>
      </c>
      <c r="U1325">
        <v>0.20833078686455977</v>
      </c>
      <c r="V1325">
        <v>0.23684504246313132</v>
      </c>
      <c r="W1325">
        <v>9.8711549369044707E-2</v>
      </c>
      <c r="X1325">
        <v>1.7011152768980273E-2</v>
      </c>
      <c r="Y1325">
        <v>4.1956521334229908E-3</v>
      </c>
    </row>
    <row r="1326" spans="1:25" x14ac:dyDescent="0.2">
      <c r="A1326" s="1077"/>
      <c r="B1326" s="1444">
        <v>1076</v>
      </c>
      <c r="C1326" s="1081">
        <v>0.96382655749645152</v>
      </c>
      <c r="D1326" s="1081">
        <v>1.007883507159838</v>
      </c>
      <c r="E1326" s="1081">
        <v>1.0174316442047333</v>
      </c>
      <c r="F1326" s="1081">
        <v>1.0159028118061655</v>
      </c>
      <c r="G1326" s="1081">
        <v>1.0278913380778114</v>
      </c>
      <c r="H1326" s="1081">
        <v>1.0081149058484544</v>
      </c>
      <c r="I1326" s="1081">
        <v>1.016815877271589</v>
      </c>
      <c r="K1326">
        <v>2.479943009569054</v>
      </c>
      <c r="L1326">
        <v>0</v>
      </c>
      <c r="M1326">
        <v>1.6533463707421783E-3</v>
      </c>
      <c r="N1326">
        <v>0.15861728689574231</v>
      </c>
      <c r="O1326">
        <v>2.1747623780548366E-2</v>
      </c>
      <c r="P1326">
        <v>2.95678685303443E-2</v>
      </c>
      <c r="Q1326">
        <v>5.7910208670637056E-3</v>
      </c>
      <c r="R1326">
        <v>1.6316982586206162E-3</v>
      </c>
      <c r="S1326">
        <v>0.2726463679868858</v>
      </c>
      <c r="T1326">
        <v>1.3938351855113529</v>
      </c>
      <c r="U1326">
        <v>0.21999087792364644</v>
      </c>
      <c r="V1326">
        <v>0.25257230697298305</v>
      </c>
      <c r="W1326">
        <v>0.1031340947610981</v>
      </c>
      <c r="X1326">
        <v>1.7621079680728537E-2</v>
      </c>
      <c r="Y1326">
        <v>4.4409447707789238E-3</v>
      </c>
    </row>
    <row r="1327" spans="1:25" x14ac:dyDescent="0.2">
      <c r="A1327" s="1077"/>
      <c r="B1327" s="1444">
        <v>1077</v>
      </c>
      <c r="C1327" s="1081">
        <v>1.0118444955759407</v>
      </c>
      <c r="D1327" s="1081">
        <v>0.97113907759525153</v>
      </c>
      <c r="E1327" s="1081">
        <v>0.99852790470210562</v>
      </c>
      <c r="F1327" s="1081">
        <v>1.0079861985319545</v>
      </c>
      <c r="G1327" s="1081">
        <v>1.0115691858317171</v>
      </c>
      <c r="H1327" s="1081">
        <v>1.0199830530073382</v>
      </c>
      <c r="I1327" s="1081">
        <v>1.0072291876524637</v>
      </c>
      <c r="K1327">
        <v>2.4286453151945144</v>
      </c>
      <c r="L1327">
        <v>0</v>
      </c>
      <c r="M1327">
        <v>1.6708243413555343E-3</v>
      </c>
      <c r="N1327">
        <v>0.15142426848021234</v>
      </c>
      <c r="O1327">
        <v>2.0873025034876872E-2</v>
      </c>
      <c r="P1327">
        <v>2.8649129243379909E-2</v>
      </c>
      <c r="Q1327">
        <v>5.453969105938445E-3</v>
      </c>
      <c r="R1327">
        <v>1.6492019334507387E-3</v>
      </c>
      <c r="S1327">
        <v>0.26294940211182738</v>
      </c>
      <c r="T1327">
        <v>1.3825606893133493</v>
      </c>
      <c r="U1327">
        <v>0.20948708470926586</v>
      </c>
      <c r="V1327">
        <v>0.24678180557168569</v>
      </c>
      <c r="W1327">
        <v>9.9562573770118346E-2</v>
      </c>
      <c r="X1327">
        <v>1.6436406258184672E-2</v>
      </c>
      <c r="Y1327">
        <v>4.4885840035816605E-3</v>
      </c>
    </row>
    <row r="1328" spans="1:25" x14ac:dyDescent="0.2">
      <c r="A1328" s="1077"/>
      <c r="B1328" s="1444">
        <v>1078</v>
      </c>
      <c r="C1328" s="1081">
        <v>0.95550266589116262</v>
      </c>
      <c r="D1328" s="1081">
        <v>0.98867948093900304</v>
      </c>
      <c r="E1328" s="1081">
        <v>0.99733068438089378</v>
      </c>
      <c r="F1328" s="1081">
        <v>1.0220371456730986</v>
      </c>
      <c r="G1328" s="1081">
        <v>1.0316317409177582</v>
      </c>
      <c r="H1328" s="1081">
        <v>0.98399144823959317</v>
      </c>
      <c r="I1328" s="1081">
        <v>1.0207684475031003</v>
      </c>
      <c r="K1328">
        <v>2.4875394611383679</v>
      </c>
      <c r="L1328">
        <v>0</v>
      </c>
      <c r="M1328">
        <v>1.704428991296997E-3</v>
      </c>
      <c r="N1328">
        <v>0.1538381951707293</v>
      </c>
      <c r="O1328">
        <v>2.201610689087298E-2</v>
      </c>
      <c r="P1328">
        <v>2.93330522455021E-2</v>
      </c>
      <c r="Q1328">
        <v>5.745721427608823E-3</v>
      </c>
      <c r="R1328">
        <v>1.681564907295134E-3</v>
      </c>
      <c r="S1328">
        <v>0.27638579081855291</v>
      </c>
      <c r="T1328">
        <v>1.4018066100954187</v>
      </c>
      <c r="U1328">
        <v>0.22183534392521995</v>
      </c>
      <c r="V1328">
        <v>0.25384841270719838</v>
      </c>
      <c r="W1328">
        <v>0.10122186620013958</v>
      </c>
      <c r="X1328">
        <v>1.6954560391189262E-2</v>
      </c>
      <c r="Y1328">
        <v>4.5766653499346452E-3</v>
      </c>
    </row>
    <row r="1329" spans="1:25" x14ac:dyDescent="0.2">
      <c r="A1329" s="1077"/>
      <c r="B1329" s="1444">
        <v>1079</v>
      </c>
      <c r="C1329" s="1081">
        <v>1.0030391800889933</v>
      </c>
      <c r="D1329" s="1081">
        <v>1.008555777733537</v>
      </c>
      <c r="E1329" s="1081">
        <v>1.0352407940006538</v>
      </c>
      <c r="F1329" s="1081">
        <v>1.0120758147742044</v>
      </c>
      <c r="G1329" s="1081">
        <v>0.96938484036113504</v>
      </c>
      <c r="H1329" s="1081">
        <v>1.001761533753567</v>
      </c>
      <c r="I1329" s="1081">
        <v>1.0120965981459698</v>
      </c>
      <c r="K1329">
        <v>2.4316233042125668</v>
      </c>
      <c r="L1329">
        <v>0</v>
      </c>
      <c r="M1329">
        <v>1.5209938641733076E-3</v>
      </c>
      <c r="N1329">
        <v>0.1539571322273213</v>
      </c>
      <c r="O1329">
        <v>2.0906169566596352E-2</v>
      </c>
      <c r="P1329">
        <v>2.9416967625029402E-2</v>
      </c>
      <c r="Q1329">
        <v>5.6660474746119968E-3</v>
      </c>
      <c r="R1329">
        <v>1.5009524054265199E-3</v>
      </c>
      <c r="S1329">
        <v>0.26028729216751978</v>
      </c>
      <c r="T1329">
        <v>1.3889763185267865</v>
      </c>
      <c r="U1329">
        <v>0.21145152963497824</v>
      </c>
      <c r="V1329">
        <v>0.23999490639448942</v>
      </c>
      <c r="W1329">
        <v>9.9071545999548968E-2</v>
      </c>
      <c r="X1329">
        <v>1.7830338395687571E-2</v>
      </c>
      <c r="Y1329">
        <v>4.0850976587435165E-3</v>
      </c>
    </row>
    <row r="1330" spans="1:25" x14ac:dyDescent="0.2">
      <c r="A1330" s="1077"/>
      <c r="B1330" s="1444">
        <v>1080</v>
      </c>
      <c r="C1330" s="1081">
        <v>1.0081922222001487</v>
      </c>
      <c r="D1330" s="1081">
        <v>1.0189644304937795</v>
      </c>
      <c r="E1330" s="1081">
        <v>0.99312031258872802</v>
      </c>
      <c r="F1330" s="1081">
        <v>1.0172367362981003</v>
      </c>
      <c r="G1330" s="1081">
        <v>1.0047108541294498</v>
      </c>
      <c r="H1330" s="1081">
        <v>0.97348709777999942</v>
      </c>
      <c r="I1330" s="1081">
        <v>1.0408456383896516</v>
      </c>
      <c r="K1330">
        <v>2.4254381646343619</v>
      </c>
      <c r="L1330">
        <v>0</v>
      </c>
      <c r="M1330">
        <v>1.6014512155004274E-3</v>
      </c>
      <c r="N1330">
        <v>0.14269504705438288</v>
      </c>
      <c r="O1330">
        <v>2.0724712812052192E-2</v>
      </c>
      <c r="P1330">
        <v>2.8690387826047697E-2</v>
      </c>
      <c r="Q1330">
        <v>5.3857933194998535E-3</v>
      </c>
      <c r="R1330">
        <v>1.5797367205907355E-3</v>
      </c>
      <c r="S1330">
        <v>0.26212644674307634</v>
      </c>
      <c r="T1330">
        <v>1.3951299172580653</v>
      </c>
      <c r="U1330">
        <v>0.2102276496907271</v>
      </c>
      <c r="V1330">
        <v>0.24585355579338949</v>
      </c>
      <c r="W1330">
        <v>9.4126076146885243E-2</v>
      </c>
      <c r="X1330">
        <v>1.6200769891764846E-2</v>
      </c>
      <c r="Y1330">
        <v>4.2995225933779961E-3</v>
      </c>
    </row>
    <row r="1331" spans="1:25" x14ac:dyDescent="0.2">
      <c r="A1331" s="1077"/>
      <c r="B1331" s="1444">
        <v>1081</v>
      </c>
      <c r="C1331" s="1081">
        <v>0.98408251828368598</v>
      </c>
      <c r="D1331" s="1081">
        <v>0.97662676157797224</v>
      </c>
      <c r="E1331" s="1081">
        <v>0.99003171692538017</v>
      </c>
      <c r="F1331" s="1081">
        <v>0.98300068210176872</v>
      </c>
      <c r="G1331" s="1081">
        <v>1.029096736202822</v>
      </c>
      <c r="H1331" s="1081">
        <v>0.98170839027260071</v>
      </c>
      <c r="I1331" s="1081">
        <v>1.004297575989163</v>
      </c>
      <c r="K1331">
        <v>2.4026823275777498</v>
      </c>
      <c r="L1331">
        <v>0</v>
      </c>
      <c r="M1331">
        <v>1.6807815231079317E-3</v>
      </c>
      <c r="N1331">
        <v>0.14838889266876468</v>
      </c>
      <c r="O1331">
        <v>2.1429530684289946E-2</v>
      </c>
      <c r="P1331">
        <v>2.8178204868095417E-2</v>
      </c>
      <c r="Q1331">
        <v>5.551613285652064E-3</v>
      </c>
      <c r="R1331">
        <v>1.6581822234453373E-3</v>
      </c>
      <c r="S1331">
        <v>0.26540736587014824</v>
      </c>
      <c r="T1331">
        <v>1.3481099615610097</v>
      </c>
      <c r="U1331">
        <v>0.21536744522514509</v>
      </c>
      <c r="V1331">
        <v>0.25154635027016148</v>
      </c>
      <c r="W1331">
        <v>9.8062961542762103E-2</v>
      </c>
      <c r="X1331">
        <v>1.6149575508788875E-2</v>
      </c>
      <c r="Y1331">
        <v>4.5130253925951581E-3</v>
      </c>
    </row>
    <row r="1332" spans="1:25" x14ac:dyDescent="0.2">
      <c r="A1332" s="1077"/>
      <c r="B1332" s="1444">
        <v>1082</v>
      </c>
      <c r="C1332" s="1081">
        <v>0.98873060055078188</v>
      </c>
      <c r="D1332" s="1081">
        <v>0.99045221560036412</v>
      </c>
      <c r="E1332" s="1081">
        <v>0.97752137085496438</v>
      </c>
      <c r="F1332" s="1081">
        <v>1.0223335781196774</v>
      </c>
      <c r="G1332" s="1081">
        <v>0.97989401641020213</v>
      </c>
      <c r="H1332" s="1081">
        <v>1.0231813643879943</v>
      </c>
      <c r="I1332" s="1081">
        <v>0.99495225322179948</v>
      </c>
      <c r="K1332">
        <v>2.4507950225396411</v>
      </c>
      <c r="L1332">
        <v>0</v>
      </c>
      <c r="M1332">
        <v>1.7837468878401769E-3</v>
      </c>
      <c r="N1332">
        <v>0.15171510878872529</v>
      </c>
      <c r="O1332">
        <v>2.1254537224216035E-2</v>
      </c>
      <c r="P1332">
        <v>2.8474377043444205E-2</v>
      </c>
      <c r="Q1332">
        <v>5.4368519014887512E-3</v>
      </c>
      <c r="R1332">
        <v>1.760735287365741E-3</v>
      </c>
      <c r="S1332">
        <v>0.26330419681788381</v>
      </c>
      <c r="T1332">
        <v>1.4017763104304837</v>
      </c>
      <c r="U1332">
        <v>0.21431185150328397</v>
      </c>
      <c r="V1332">
        <v>0.24288779778755187</v>
      </c>
      <c r="W1332">
        <v>0.10101906301048559</v>
      </c>
      <c r="X1332">
        <v>1.5845798606571038E-2</v>
      </c>
      <c r="Y1332">
        <v>4.7921410259780606E-3</v>
      </c>
    </row>
    <row r="1333" spans="1:25" x14ac:dyDescent="0.2">
      <c r="A1333" s="1077"/>
      <c r="B1333" s="1444">
        <v>1083</v>
      </c>
      <c r="C1333" s="1081">
        <v>1.014041208134647</v>
      </c>
      <c r="D1333" s="1081">
        <v>1.0154815702685089</v>
      </c>
      <c r="E1333" s="1081">
        <v>1.0055448944065879</v>
      </c>
      <c r="F1333" s="1081">
        <v>1.0081755495665492</v>
      </c>
      <c r="G1333" s="1081">
        <v>0.99099221408267157</v>
      </c>
      <c r="H1333" s="1081">
        <v>1.0396762308767453</v>
      </c>
      <c r="I1333" s="1081">
        <v>0.98580266225276481</v>
      </c>
      <c r="K1333">
        <v>2.4177451283400919</v>
      </c>
      <c r="L1333">
        <v>0</v>
      </c>
      <c r="M1333">
        <v>1.658459498284124E-3</v>
      </c>
      <c r="N1333">
        <v>0.15356172989447545</v>
      </c>
      <c r="O1333">
        <v>2.0628803027614374E-2</v>
      </c>
      <c r="P1333">
        <v>2.8609577709557195E-2</v>
      </c>
      <c r="Q1333">
        <v>5.4282655496284086E-3</v>
      </c>
      <c r="R1333">
        <v>1.6374036388270986E-3</v>
      </c>
      <c r="S1333">
        <v>0.25280953309132881</v>
      </c>
      <c r="T1333">
        <v>1.3829734731293051</v>
      </c>
      <c r="U1333">
        <v>0.20905693494802099</v>
      </c>
      <c r="V1333">
        <v>0.24310924459379735</v>
      </c>
      <c r="W1333">
        <v>0.10054843173395824</v>
      </c>
      <c r="X1333">
        <v>1.6583717586940494E-2</v>
      </c>
      <c r="Y1333">
        <v>4.4564729349228886E-3</v>
      </c>
    </row>
    <row r="1334" spans="1:25" x14ac:dyDescent="0.2">
      <c r="A1334" s="1077"/>
      <c r="B1334" s="1444">
        <v>1084</v>
      </c>
      <c r="C1334" s="1081">
        <v>1.0190891109913831</v>
      </c>
      <c r="D1334" s="1081">
        <v>1.0112581763071133</v>
      </c>
      <c r="E1334" s="1081">
        <v>0.98094425218784964</v>
      </c>
      <c r="F1334" s="1081">
        <v>1.040226376838268</v>
      </c>
      <c r="G1334" s="1081">
        <v>0.97764422507625626</v>
      </c>
      <c r="H1334" s="1081">
        <v>1.0208332752277636</v>
      </c>
      <c r="I1334" s="1081">
        <v>0.99708615181947935</v>
      </c>
      <c r="K1334">
        <v>2.4470404620747379</v>
      </c>
      <c r="L1334">
        <v>0</v>
      </c>
      <c r="M1334">
        <v>1.7066383468348121E-3</v>
      </c>
      <c r="N1334">
        <v>0.14666350589817817</v>
      </c>
      <c r="O1334">
        <v>2.0529486187544299E-2</v>
      </c>
      <c r="P1334">
        <v>2.862727381835712E-2</v>
      </c>
      <c r="Q1334">
        <v>5.2696951201398473E-3</v>
      </c>
      <c r="R1334">
        <v>1.6845708587821552E-3</v>
      </c>
      <c r="S1334">
        <v>0.25320098527236545</v>
      </c>
      <c r="T1334">
        <v>1.4263867638004397</v>
      </c>
      <c r="U1334">
        <v>0.20793897655837562</v>
      </c>
      <c r="V1334">
        <v>0.24061192604692561</v>
      </c>
      <c r="W1334">
        <v>9.7453717921209326E-2</v>
      </c>
      <c r="X1334">
        <v>1.5795352380283539E-2</v>
      </c>
      <c r="Y1334">
        <v>4.5848465589706745E-3</v>
      </c>
    </row>
    <row r="1335" spans="1:25" x14ac:dyDescent="0.2">
      <c r="A1335" s="1077"/>
      <c r="B1335" s="1444">
        <v>1085</v>
      </c>
      <c r="C1335" s="1081">
        <v>0.99584601123485328</v>
      </c>
      <c r="D1335" s="1081">
        <v>0.96199868578302361</v>
      </c>
      <c r="E1335" s="1081">
        <v>0.96786585322329732</v>
      </c>
      <c r="F1335" s="1081">
        <v>0.96236809149722702</v>
      </c>
      <c r="G1335" s="1081">
        <v>0.97396620378673926</v>
      </c>
      <c r="H1335" s="1081">
        <v>0.98368251340543089</v>
      </c>
      <c r="I1335" s="1081">
        <v>0.9737838870355362</v>
      </c>
      <c r="K1335">
        <v>2.344141857026079</v>
      </c>
      <c r="L1335">
        <v>0</v>
      </c>
      <c r="M1335">
        <v>1.7481032850466783E-3</v>
      </c>
      <c r="N1335">
        <v>0.14432457364384485</v>
      </c>
      <c r="O1335">
        <v>2.1231969861329608E-2</v>
      </c>
      <c r="P1335">
        <v>2.7033433629661822E-2</v>
      </c>
      <c r="Q1335">
        <v>5.3778248239625039E-3</v>
      </c>
      <c r="R1335">
        <v>1.7246459670050385E-3</v>
      </c>
      <c r="S1335">
        <v>0.25624122202102956</v>
      </c>
      <c r="T1335">
        <v>1.3193545889303453</v>
      </c>
      <c r="U1335">
        <v>0.21274757810709458</v>
      </c>
      <c r="V1335">
        <v>0.24145843966498723</v>
      </c>
      <c r="W1335">
        <v>9.6663284199405938E-2</v>
      </c>
      <c r="X1335">
        <v>1.5038481669659745E-2</v>
      </c>
      <c r="Y1335">
        <v>4.6939177927974871E-3</v>
      </c>
    </row>
    <row r="1336" spans="1:25" x14ac:dyDescent="0.2">
      <c r="A1336" s="1077"/>
      <c r="B1336" s="1444">
        <v>1086</v>
      </c>
      <c r="C1336" s="1081">
        <v>1.0280938174009124</v>
      </c>
      <c r="D1336" s="1081">
        <v>1.0070778826503373</v>
      </c>
      <c r="E1336" s="1081">
        <v>0.97055153732290633</v>
      </c>
      <c r="F1336" s="1081">
        <v>1.0100652216721429</v>
      </c>
      <c r="G1336" s="1081">
        <v>0.96507121042605726</v>
      </c>
      <c r="H1336" s="1081">
        <v>1.0163135541582999</v>
      </c>
      <c r="I1336" s="1081">
        <v>0.9906499762284755</v>
      </c>
      <c r="K1336">
        <v>2.3906048053186395</v>
      </c>
      <c r="L1336">
        <v>0</v>
      </c>
      <c r="M1336">
        <v>1.7223292386985578E-3</v>
      </c>
      <c r="N1336">
        <v>0.14342037351857947</v>
      </c>
      <c r="O1336">
        <v>2.0361556802124665E-2</v>
      </c>
      <c r="P1336">
        <v>2.7736064335214413E-2</v>
      </c>
      <c r="Q1336">
        <v>5.1715412938627978E-3</v>
      </c>
      <c r="R1336">
        <v>1.6999598212032014E-3</v>
      </c>
      <c r="S1336">
        <v>0.24942644813604647</v>
      </c>
      <c r="T1336">
        <v>1.3848030681460042</v>
      </c>
      <c r="U1336">
        <v>0.20608329484744048</v>
      </c>
      <c r="V1336">
        <v>0.23796427271468643</v>
      </c>
      <c r="W1336">
        <v>9.5900698356811448E-2</v>
      </c>
      <c r="X1336">
        <v>1.5133126343654326E-2</v>
      </c>
      <c r="Y1336">
        <v>4.6267302417106635E-3</v>
      </c>
    </row>
    <row r="1337" spans="1:25" x14ac:dyDescent="0.2">
      <c r="A1337" s="1077"/>
      <c r="B1337" s="1444">
        <v>1087</v>
      </c>
      <c r="C1337" s="1081">
        <v>0.97892257026813589</v>
      </c>
      <c r="D1337" s="1081">
        <v>0.9904616411508067</v>
      </c>
      <c r="E1337" s="1081">
        <v>1.0274564679032894</v>
      </c>
      <c r="F1337" s="1081">
        <v>1.0427935310961898</v>
      </c>
      <c r="G1337" s="1081">
        <v>0.98595370223832879</v>
      </c>
      <c r="H1337" s="1081">
        <v>1.0220161128006964</v>
      </c>
      <c r="I1337" s="1081">
        <v>0.98851868843858315</v>
      </c>
      <c r="K1337">
        <v>2.5003869910259939</v>
      </c>
      <c r="L1337">
        <v>0</v>
      </c>
      <c r="M1337">
        <v>1.6224305965531103E-3</v>
      </c>
      <c r="N1337">
        <v>0.16045862219928625</v>
      </c>
      <c r="O1337">
        <v>2.1501383636602381E-2</v>
      </c>
      <c r="P1337">
        <v>3.0028439517885211E-2</v>
      </c>
      <c r="Q1337">
        <v>5.782719785256114E-3</v>
      </c>
      <c r="R1337">
        <v>1.6014762267804292E-3</v>
      </c>
      <c r="S1337">
        <v>0.26453871510948374</v>
      </c>
      <c r="T1337">
        <v>1.4309567831516199</v>
      </c>
      <c r="U1337">
        <v>0.21663351240066198</v>
      </c>
      <c r="V1337">
        <v>0.244381275393901</v>
      </c>
      <c r="W1337">
        <v>0.10372239178111677</v>
      </c>
      <c r="X1337">
        <v>1.8045412057151926E-2</v>
      </c>
      <c r="Y1337">
        <v>4.3586903628000514E-3</v>
      </c>
    </row>
    <row r="1338" spans="1:25" x14ac:dyDescent="0.2">
      <c r="A1338" s="1077"/>
      <c r="B1338" s="1444">
        <v>1088</v>
      </c>
      <c r="C1338" s="1081">
        <v>0.99482475076931298</v>
      </c>
      <c r="D1338" s="1081">
        <v>0.97979271007348134</v>
      </c>
      <c r="E1338" s="1081">
        <v>1.0101713862324977</v>
      </c>
      <c r="F1338" s="1081">
        <v>0.98857437219756528</v>
      </c>
      <c r="G1338" s="1081">
        <v>0.99139483260904382</v>
      </c>
      <c r="H1338" s="1081">
        <v>0.97976760234468696</v>
      </c>
      <c r="I1338" s="1081">
        <v>1.0265510046106241</v>
      </c>
      <c r="K1338">
        <v>2.4047109677154825</v>
      </c>
      <c r="L1338">
        <v>0</v>
      </c>
      <c r="M1338">
        <v>1.5903191902232824E-3</v>
      </c>
      <c r="N1338">
        <v>0.14920649014072002</v>
      </c>
      <c r="O1338">
        <v>2.1196540338893101E-2</v>
      </c>
      <c r="P1338">
        <v>2.8619972714880985E-2</v>
      </c>
      <c r="Q1338">
        <v>5.6035461041230583E-3</v>
      </c>
      <c r="R1338">
        <v>1.5688938639978681E-3</v>
      </c>
      <c r="S1338">
        <v>0.26791989270371774</v>
      </c>
      <c r="T1338">
        <v>1.3561844645294199</v>
      </c>
      <c r="U1338">
        <v>0.21311108355710895</v>
      </c>
      <c r="V1338">
        <v>0.24435040352614446</v>
      </c>
      <c r="W1338">
        <v>9.7430112676497357E-2</v>
      </c>
      <c r="X1338">
        <v>1.6839874838123173E-2</v>
      </c>
      <c r="Y1338">
        <v>4.2700119120789269E-3</v>
      </c>
    </row>
    <row r="1339" spans="1:25" x14ac:dyDescent="0.2">
      <c r="A1339" s="1077"/>
      <c r="B1339" s="1444">
        <v>1089</v>
      </c>
      <c r="C1339" s="1081">
        <v>0.99307872005650255</v>
      </c>
      <c r="D1339" s="1081">
        <v>1.0433614229833716</v>
      </c>
      <c r="E1339" s="1081">
        <v>0.99999367964437325</v>
      </c>
      <c r="F1339" s="1081">
        <v>0.973828444254486</v>
      </c>
      <c r="G1339" s="1081">
        <v>1.0372604717767968</v>
      </c>
      <c r="H1339" s="1081">
        <v>0.99009715844720847</v>
      </c>
      <c r="I1339" s="1081">
        <v>0.99850355177717698</v>
      </c>
      <c r="K1339">
        <v>2.3748363598769822</v>
      </c>
      <c r="L1339">
        <v>0</v>
      </c>
      <c r="M1339">
        <v>1.6217044455491777E-3</v>
      </c>
      <c r="N1339">
        <v>0.14756652023486824</v>
      </c>
      <c r="O1339">
        <v>2.0935430023477784E-2</v>
      </c>
      <c r="P1339">
        <v>2.8045828609484274E-2</v>
      </c>
      <c r="Q1339">
        <v>5.4783440380135173E-3</v>
      </c>
      <c r="R1339">
        <v>1.600084225416631E-3</v>
      </c>
      <c r="S1339">
        <v>0.25375401476403187</v>
      </c>
      <c r="T1339">
        <v>1.3357405503502282</v>
      </c>
      <c r="U1339">
        <v>0.21345071549413877</v>
      </c>
      <c r="V1339">
        <v>0.25232900730383118</v>
      </c>
      <c r="W1339">
        <v>9.6941536511499643E-2</v>
      </c>
      <c r="X1339">
        <v>1.6261130973579122E-2</v>
      </c>
      <c r="Y1339">
        <v>4.3549017939609217E-3</v>
      </c>
    </row>
    <row r="1340" spans="1:25" x14ac:dyDescent="0.2">
      <c r="A1340" s="1077"/>
      <c r="B1340" s="1444">
        <v>1090</v>
      </c>
      <c r="C1340" s="1081">
        <v>0.98507120491011246</v>
      </c>
      <c r="D1340" s="1081">
        <v>1.0120650651699872</v>
      </c>
      <c r="E1340" s="1081">
        <v>0.97564400743817925</v>
      </c>
      <c r="F1340" s="1081">
        <v>1.0365031996304486</v>
      </c>
      <c r="G1340" s="1081">
        <v>0.99202830020364496</v>
      </c>
      <c r="H1340" s="1081">
        <v>1.0054360691468112</v>
      </c>
      <c r="I1340" s="1081">
        <v>1.0138781036902742</v>
      </c>
      <c r="K1340">
        <v>2.4700093515283585</v>
      </c>
      <c r="L1340">
        <v>0</v>
      </c>
      <c r="M1340">
        <v>1.7577938567117991E-3</v>
      </c>
      <c r="N1340">
        <v>0.14862635647011713</v>
      </c>
      <c r="O1340">
        <v>2.1231164670413642E-2</v>
      </c>
      <c r="P1340">
        <v>2.8755914790591985E-2</v>
      </c>
      <c r="Q1340">
        <v>5.4205005404337567E-3</v>
      </c>
      <c r="R1340">
        <v>1.7347168381372242E-3</v>
      </c>
      <c r="S1340">
        <v>0.26486267416992632</v>
      </c>
      <c r="T1340">
        <v>1.4211631549074497</v>
      </c>
      <c r="U1340">
        <v>0.21510149882990529</v>
      </c>
      <c r="V1340">
        <v>0.24520242997225131</v>
      </c>
      <c r="W1340">
        <v>9.9074978033507427E-2</v>
      </c>
      <c r="X1340">
        <v>1.5872428778176708E-2</v>
      </c>
      <c r="Y1340">
        <v>4.7213273841575192E-3</v>
      </c>
    </row>
    <row r="1341" spans="1:25" x14ac:dyDescent="0.2">
      <c r="A1341" s="1077"/>
      <c r="B1341" s="1444">
        <v>1091</v>
      </c>
      <c r="C1341" s="1081">
        <v>0.97637335383107982</v>
      </c>
      <c r="D1341" s="1081">
        <v>0.99338121336807406</v>
      </c>
      <c r="E1341" s="1081">
        <v>1.0022561882554748</v>
      </c>
      <c r="F1341" s="1081">
        <v>0.99227438780079746</v>
      </c>
      <c r="G1341" s="1081">
        <v>0.96559750729535176</v>
      </c>
      <c r="H1341" s="1081">
        <v>0.99851435634043828</v>
      </c>
      <c r="I1341" s="1081">
        <v>0.96533010259729291</v>
      </c>
      <c r="K1341">
        <v>2.4064239652369359</v>
      </c>
      <c r="L1341">
        <v>0</v>
      </c>
      <c r="M1341">
        <v>1.6736612007777648E-3</v>
      </c>
      <c r="N1341">
        <v>0.15335626664213248</v>
      </c>
      <c r="O1341">
        <v>2.1526373221435378E-2</v>
      </c>
      <c r="P1341">
        <v>2.8373759538675398E-2</v>
      </c>
      <c r="Q1341">
        <v>5.6457982090889263E-3</v>
      </c>
      <c r="R1341">
        <v>1.6515363956939181E-3</v>
      </c>
      <c r="S1341">
        <v>0.25644089642963308</v>
      </c>
      <c r="T1341">
        <v>1.361090283110439</v>
      </c>
      <c r="U1341">
        <v>0.21711069607817812</v>
      </c>
      <c r="V1341">
        <v>0.24115834487020504</v>
      </c>
      <c r="W1341">
        <v>0.10060975876082021</v>
      </c>
      <c r="X1341">
        <v>1.6638975541160124E-2</v>
      </c>
      <c r="Y1341">
        <v>4.4949376402523243E-3</v>
      </c>
    </row>
    <row r="1342" spans="1:25" x14ac:dyDescent="0.2">
      <c r="A1342" s="1077"/>
      <c r="B1342" s="1444">
        <v>1092</v>
      </c>
      <c r="C1342" s="1081">
        <v>0.96679908894946076</v>
      </c>
      <c r="D1342" s="1081">
        <v>0.96169934384799727</v>
      </c>
      <c r="E1342" s="1081">
        <v>1.019776658945525</v>
      </c>
      <c r="F1342" s="1081">
        <v>1.0066721428282002</v>
      </c>
      <c r="G1342" s="1081">
        <v>1.0094276326599865</v>
      </c>
      <c r="H1342" s="1081">
        <v>0.99308748109928247</v>
      </c>
      <c r="I1342" s="1081">
        <v>0.95564641470208689</v>
      </c>
      <c r="K1342">
        <v>2.4490871449329625</v>
      </c>
      <c r="L1342">
        <v>0</v>
      </c>
      <c r="M1342">
        <v>1.6325520668689277E-3</v>
      </c>
      <c r="N1342">
        <v>0.15770272677305616</v>
      </c>
      <c r="O1342">
        <v>2.1907275643546987E-2</v>
      </c>
      <c r="P1342">
        <v>2.921719556650685E-2</v>
      </c>
      <c r="Q1342">
        <v>5.847159390439176E-3</v>
      </c>
      <c r="R1342">
        <v>1.6108527654610748E-3</v>
      </c>
      <c r="S1342">
        <v>0.26028809058417918</v>
      </c>
      <c r="T1342">
        <v>1.3812218017306406</v>
      </c>
      <c r="U1342">
        <v>0.21932280615075225</v>
      </c>
      <c r="V1342">
        <v>0.24921341491780655</v>
      </c>
      <c r="W1342">
        <v>0.1023987035519697</v>
      </c>
      <c r="X1342">
        <v>1.7605459715358953E-2</v>
      </c>
      <c r="Y1342">
        <v>4.3842102101136248E-3</v>
      </c>
    </row>
    <row r="1343" spans="1:25" x14ac:dyDescent="0.2">
      <c r="A1343" s="1077"/>
      <c r="B1343" s="1444">
        <v>1093</v>
      </c>
      <c r="C1343" s="1081">
        <v>1.0416765582107523</v>
      </c>
      <c r="D1343" s="1081">
        <v>0.99482337650460329</v>
      </c>
      <c r="E1343" s="1081">
        <v>1.0135396038347839</v>
      </c>
      <c r="F1343" s="1081">
        <v>1.0220582273548811</v>
      </c>
      <c r="G1343" s="1081">
        <v>0.98038569911754514</v>
      </c>
      <c r="H1343" s="1081">
        <v>0.9897067459179496</v>
      </c>
      <c r="I1343" s="1081">
        <v>1.0334055721813387</v>
      </c>
      <c r="K1343">
        <v>2.4148784696615895</v>
      </c>
      <c r="L1343">
        <v>0</v>
      </c>
      <c r="M1343">
        <v>1.5184028934186709E-3</v>
      </c>
      <c r="N1343">
        <v>0.14393472355182588</v>
      </c>
      <c r="O1343">
        <v>2.0177641916889203E-2</v>
      </c>
      <c r="P1343">
        <v>2.8970637714651078E-2</v>
      </c>
      <c r="Q1343">
        <v>5.3521607881426908E-3</v>
      </c>
      <c r="R1343">
        <v>1.4981518823702718E-3</v>
      </c>
      <c r="S1343">
        <v>0.2564752980220964</v>
      </c>
      <c r="T1343">
        <v>1.4021942173158359</v>
      </c>
      <c r="U1343">
        <v>0.20353699364019739</v>
      </c>
      <c r="V1343">
        <v>0.23963778693914228</v>
      </c>
      <c r="W1343">
        <v>9.3801492967371447E-2</v>
      </c>
      <c r="X1343">
        <v>1.674029225830722E-2</v>
      </c>
      <c r="Y1343">
        <v>4.0774755581765862E-3</v>
      </c>
    </row>
    <row r="1344" spans="1:25" x14ac:dyDescent="0.2">
      <c r="A1344" s="1077"/>
      <c r="B1344" s="1444">
        <v>1094</v>
      </c>
      <c r="C1344" s="1081">
        <v>0.98573770503763825</v>
      </c>
      <c r="D1344" s="1081">
        <v>1.0181861477266025</v>
      </c>
      <c r="E1344" s="1081">
        <v>0.98359303157167255</v>
      </c>
      <c r="F1344" s="1081">
        <v>0.96646324128093186</v>
      </c>
      <c r="G1344" s="1081">
        <v>1.0108917846006802</v>
      </c>
      <c r="H1344" s="1081">
        <v>1.037297095300141</v>
      </c>
      <c r="I1344" s="1081">
        <v>1.0216429366777429</v>
      </c>
      <c r="K1344">
        <v>2.3889159016545838</v>
      </c>
      <c r="L1344">
        <v>0</v>
      </c>
      <c r="M1344">
        <v>1.7803638505754042E-3</v>
      </c>
      <c r="N1344">
        <v>0.1542622304429016</v>
      </c>
      <c r="O1344">
        <v>2.1193995566866183E-2</v>
      </c>
      <c r="P1344">
        <v>2.7731376494993385E-2</v>
      </c>
      <c r="Q1344">
        <v>5.4549150049198261E-3</v>
      </c>
      <c r="R1344">
        <v>1.7577084458916118E-3</v>
      </c>
      <c r="S1344">
        <v>0.26877347035621585</v>
      </c>
      <c r="T1344">
        <v>1.3252959069579939</v>
      </c>
      <c r="U1344">
        <v>0.2149835337513204</v>
      </c>
      <c r="V1344">
        <v>0.24835378620406717</v>
      </c>
      <c r="W1344">
        <v>0.102339336183569</v>
      </c>
      <c r="X1344">
        <v>1.5766103135136916E-2</v>
      </c>
      <c r="Y1344">
        <v>4.7839029612835038E-3</v>
      </c>
    </row>
    <row r="1345" spans="1:25" x14ac:dyDescent="0.2">
      <c r="A1345" s="1077"/>
      <c r="B1345" s="1444">
        <v>1095</v>
      </c>
      <c r="C1345" s="1081">
        <v>1.0032222789344492</v>
      </c>
      <c r="D1345" s="1081">
        <v>0.9644894861006863</v>
      </c>
      <c r="E1345" s="1081">
        <v>0.97407379875657873</v>
      </c>
      <c r="F1345" s="1081">
        <v>0.98404765341353806</v>
      </c>
      <c r="G1345" s="1081">
        <v>0.9948477330581087</v>
      </c>
      <c r="H1345" s="1081">
        <v>1.021197843407313</v>
      </c>
      <c r="I1345" s="1081">
        <v>1.0051936568424367</v>
      </c>
      <c r="K1345">
        <v>2.3941967403065139</v>
      </c>
      <c r="L1345">
        <v>0</v>
      </c>
      <c r="M1345">
        <v>1.7774736111426871E-3</v>
      </c>
      <c r="N1345">
        <v>0.14960845434966308</v>
      </c>
      <c r="O1345">
        <v>2.1067993950167341E-2</v>
      </c>
      <c r="P1345">
        <v>2.7706035356345367E-2</v>
      </c>
      <c r="Q1345">
        <v>5.3702395174009413E-3</v>
      </c>
      <c r="R1345">
        <v>1.7544984010599007E-3</v>
      </c>
      <c r="S1345">
        <v>0.26548921962628524</v>
      </c>
      <c r="T1345">
        <v>1.3492074214376322</v>
      </c>
      <c r="U1345">
        <v>0.21120438766839786</v>
      </c>
      <c r="V1345">
        <v>0.2445444429467305</v>
      </c>
      <c r="W1345">
        <v>9.9824636825166901E-2</v>
      </c>
      <c r="X1345">
        <v>1.5421717561360989E-2</v>
      </c>
      <c r="Y1345">
        <v>4.7751662774425819E-3</v>
      </c>
    </row>
    <row r="1346" spans="1:25" x14ac:dyDescent="0.2">
      <c r="A1346" s="1077"/>
      <c r="B1346" s="1444">
        <v>1096</v>
      </c>
      <c r="C1346" s="1081">
        <v>1.0230889837133468</v>
      </c>
      <c r="D1346" s="1081">
        <v>0.99542058602517269</v>
      </c>
      <c r="E1346" s="1081">
        <v>1.0155427264988632</v>
      </c>
      <c r="F1346" s="1081">
        <v>1.0199843569267781</v>
      </c>
      <c r="G1346" s="1081">
        <v>0.97204093425405669</v>
      </c>
      <c r="H1346" s="1081">
        <v>1.0138372303166865</v>
      </c>
      <c r="I1346" s="1081">
        <v>1.0023126438454855</v>
      </c>
      <c r="K1346">
        <v>2.4257069767264769</v>
      </c>
      <c r="L1346">
        <v>0</v>
      </c>
      <c r="M1346">
        <v>1.5768932819724454E-3</v>
      </c>
      <c r="N1346">
        <v>0.15043401541325552</v>
      </c>
      <c r="O1346">
        <v>2.0542822537371538E-2</v>
      </c>
      <c r="P1346">
        <v>2.9003948054361184E-2</v>
      </c>
      <c r="Q1346">
        <v>5.4599203987042606E-3</v>
      </c>
      <c r="R1346">
        <v>1.5563627460626122E-3</v>
      </c>
      <c r="S1346">
        <v>0.25523169987044464</v>
      </c>
      <c r="T1346">
        <v>1.3993933256024289</v>
      </c>
      <c r="U1346">
        <v>0.2072415799919623</v>
      </c>
      <c r="V1346">
        <v>0.23929489148034899</v>
      </c>
      <c r="W1346">
        <v>9.7921727396947905E-2</v>
      </c>
      <c r="X1346">
        <v>1.6967670176617957E-2</v>
      </c>
      <c r="Y1346">
        <v>4.2359063399410781E-3</v>
      </c>
    </row>
    <row r="1347" spans="1:25" x14ac:dyDescent="0.2">
      <c r="A1347" s="1077"/>
      <c r="B1347" s="1444">
        <v>1097</v>
      </c>
      <c r="C1347" s="1081">
        <v>1.0214894982776321</v>
      </c>
      <c r="D1347" s="1081">
        <v>1.0129017721962992</v>
      </c>
      <c r="E1347" s="1081">
        <v>1.0334749787339004</v>
      </c>
      <c r="F1347" s="1081">
        <v>1.0269131792416548</v>
      </c>
      <c r="G1347" s="1081">
        <v>0.98331442611572484</v>
      </c>
      <c r="H1347" s="1081">
        <v>0.99415026568226961</v>
      </c>
      <c r="I1347" s="1081">
        <v>0.99993067983064132</v>
      </c>
      <c r="K1347">
        <v>2.4326876062199969</v>
      </c>
      <c r="L1347">
        <v>0</v>
      </c>
      <c r="M1347">
        <v>1.4862345539252456E-3</v>
      </c>
      <c r="N1347">
        <v>0.14962501838011838</v>
      </c>
      <c r="O1347">
        <v>2.0507998569370873E-2</v>
      </c>
      <c r="P1347">
        <v>2.9502398303212801E-2</v>
      </c>
      <c r="Q1347">
        <v>5.5484619928820407E-3</v>
      </c>
      <c r="R1347">
        <v>1.4665011711730461E-3</v>
      </c>
      <c r="S1347">
        <v>0.25132533870811907</v>
      </c>
      <c r="T1347">
        <v>1.4092996883495372</v>
      </c>
      <c r="U1347">
        <v>0.2076263164872949</v>
      </c>
      <c r="V1347">
        <v>0.24125316616870909</v>
      </c>
      <c r="W1347">
        <v>9.638223271242316E-2</v>
      </c>
      <c r="X1347">
        <v>1.7645387175130478E-2</v>
      </c>
      <c r="Y1347">
        <v>3.9913327559518794E-3</v>
      </c>
    </row>
    <row r="1348" spans="1:25" x14ac:dyDescent="0.2">
      <c r="A1348" s="1077"/>
      <c r="B1348" s="1444">
        <v>1098</v>
      </c>
      <c r="C1348" s="1081">
        <v>1.012338255488209</v>
      </c>
      <c r="D1348" s="1081">
        <v>1.0026231062941284</v>
      </c>
      <c r="E1348" s="1081">
        <v>1.0055579091752767</v>
      </c>
      <c r="F1348" s="1081">
        <v>0.98242836032041847</v>
      </c>
      <c r="G1348" s="1081">
        <v>0.99758019634085704</v>
      </c>
      <c r="H1348" s="1081">
        <v>1.0280208782050448</v>
      </c>
      <c r="I1348" s="1081">
        <v>0.97450223395885083</v>
      </c>
      <c r="K1348">
        <v>2.379855182794965</v>
      </c>
      <c r="L1348">
        <v>0</v>
      </c>
      <c r="M1348">
        <v>1.6471929103337119E-3</v>
      </c>
      <c r="N1348">
        <v>0.15250228033951799</v>
      </c>
      <c r="O1348">
        <v>2.0721525147911958E-2</v>
      </c>
      <c r="P1348">
        <v>2.8122273384454718E-2</v>
      </c>
      <c r="Q1348">
        <v>5.4527355732998445E-3</v>
      </c>
      <c r="R1348">
        <v>1.626042989413523E-3</v>
      </c>
      <c r="S1348">
        <v>0.25096543161309232</v>
      </c>
      <c r="T1348">
        <v>1.3476548218896045</v>
      </c>
      <c r="U1348">
        <v>0.20940865393586122</v>
      </c>
      <c r="V1348">
        <v>0.2443375752093663</v>
      </c>
      <c r="W1348">
        <v>9.9853961282425158E-2</v>
      </c>
      <c r="X1348">
        <v>1.6431521348093767E-2</v>
      </c>
      <c r="Y1348">
        <v>4.4255529922562088E-3</v>
      </c>
    </row>
    <row r="1349" spans="1:25" x14ac:dyDescent="0.2">
      <c r="A1349" s="1077"/>
      <c r="B1349" s="1444">
        <v>1099</v>
      </c>
      <c r="C1349" s="1081">
        <v>1.0002059860894597</v>
      </c>
      <c r="D1349" s="1081">
        <v>0.96098192198029542</v>
      </c>
      <c r="E1349" s="1081">
        <v>1.0118344110682165</v>
      </c>
      <c r="F1349" s="1081">
        <v>1.0058774389166156</v>
      </c>
      <c r="G1349" s="1081">
        <v>1.0372768126059284</v>
      </c>
      <c r="H1349" s="1081">
        <v>0.97872460369289416</v>
      </c>
      <c r="I1349" s="1081">
        <v>1.0045724350043608</v>
      </c>
      <c r="K1349">
        <v>2.4304470293148546</v>
      </c>
      <c r="L1349">
        <v>0</v>
      </c>
      <c r="M1349">
        <v>1.5813585375010575E-3</v>
      </c>
      <c r="N1349">
        <v>0.14911032959515105</v>
      </c>
      <c r="O1349">
        <v>2.1173719886509252E-2</v>
      </c>
      <c r="P1349">
        <v>2.9005728571730359E-2</v>
      </c>
      <c r="Q1349">
        <v>5.6068212815106001E-3</v>
      </c>
      <c r="R1349">
        <v>1.5600312285612319E-3</v>
      </c>
      <c r="S1349">
        <v>0.26327032600883332</v>
      </c>
      <c r="T1349">
        <v>1.3799580880219551</v>
      </c>
      <c r="U1349">
        <v>0.21197021194141655</v>
      </c>
      <c r="V1349">
        <v>0.25183981956482177</v>
      </c>
      <c r="W1349">
        <v>9.7271960206575428E-2</v>
      </c>
      <c r="X1349">
        <v>1.7015460805300843E-2</v>
      </c>
      <c r="Y1349">
        <v>4.2458907399873912E-3</v>
      </c>
    </row>
    <row r="1350" spans="1:25" x14ac:dyDescent="0.2">
      <c r="A1350" s="1077"/>
      <c r="B1350" s="1444">
        <v>1100</v>
      </c>
      <c r="C1350" s="1081">
        <v>0.99943252606340016</v>
      </c>
      <c r="D1350" s="1081">
        <v>0.98901202621463968</v>
      </c>
      <c r="E1350" s="1081">
        <v>1.0444048186113006</v>
      </c>
      <c r="F1350" s="1081">
        <v>1.0348864438012322</v>
      </c>
      <c r="G1350" s="1081">
        <v>1.0129181068113362</v>
      </c>
      <c r="H1350" s="1081">
        <v>1.0066429899716516</v>
      </c>
      <c r="I1350" s="1081">
        <v>0.9869412229269019</v>
      </c>
      <c r="K1350">
        <v>2.4754928465912962</v>
      </c>
      <c r="L1350">
        <v>0</v>
      </c>
      <c r="M1350">
        <v>1.511358212506194E-3</v>
      </c>
      <c r="N1350">
        <v>0.15727398990624306</v>
      </c>
      <c r="O1350">
        <v>2.1078270592252028E-2</v>
      </c>
      <c r="P1350">
        <v>3.0138276688028945E-2</v>
      </c>
      <c r="Q1350">
        <v>5.7644049693726662E-3</v>
      </c>
      <c r="R1350">
        <v>1.4915402886658815E-3</v>
      </c>
      <c r="S1350">
        <v>0.25772908035750591</v>
      </c>
      <c r="T1350">
        <v>1.4204883901152987</v>
      </c>
      <c r="U1350">
        <v>0.21224612345986879</v>
      </c>
      <c r="V1350">
        <v>0.2476144593022668</v>
      </c>
      <c r="W1350">
        <v>0.10067311780944339</v>
      </c>
      <c r="X1350">
        <v>1.8447070335229711E-2</v>
      </c>
      <c r="Y1350">
        <v>4.0594809796245142E-3</v>
      </c>
    </row>
    <row r="1351" spans="1:25" x14ac:dyDescent="0.2">
      <c r="A1351" s="1077"/>
      <c r="B1351" s="1444">
        <v>1101</v>
      </c>
      <c r="C1351" s="1081">
        <v>0.99861907719202125</v>
      </c>
      <c r="D1351" s="1081">
        <v>0.99523999977054245</v>
      </c>
      <c r="E1351" s="1081">
        <v>0.96683279901419461</v>
      </c>
      <c r="F1351" s="1081">
        <v>0.987027940592765</v>
      </c>
      <c r="G1351" s="1081">
        <v>1.0204576819396114</v>
      </c>
      <c r="H1351" s="1081">
        <v>0.98991079189553854</v>
      </c>
      <c r="I1351" s="1081">
        <v>0.9922073868695902</v>
      </c>
      <c r="K1351">
        <v>2.384551160522645</v>
      </c>
      <c r="L1351">
        <v>0</v>
      </c>
      <c r="M1351">
        <v>1.7449404615799435E-3</v>
      </c>
      <c r="N1351">
        <v>0.14362572860890921</v>
      </c>
      <c r="O1351">
        <v>2.101467876010308E-2</v>
      </c>
      <c r="P1351">
        <v>2.7559961370967861E-2</v>
      </c>
      <c r="Q1351">
        <v>5.3171619071832434E-3</v>
      </c>
      <c r="R1351">
        <v>1.7216729053221513E-3</v>
      </c>
      <c r="S1351">
        <v>0.25645277232775598</v>
      </c>
      <c r="T1351">
        <v>1.3531400052489087</v>
      </c>
      <c r="U1351">
        <v>0.21215328196999034</v>
      </c>
      <c r="V1351">
        <v>0.24923511509822163</v>
      </c>
      <c r="W1351">
        <v>9.6255852980992984E-2</v>
      </c>
      <c r="X1351">
        <v>1.5134043706900803E-2</v>
      </c>
      <c r="Y1351">
        <v>4.6858260989661874E-3</v>
      </c>
    </row>
    <row r="1352" spans="1:25" x14ac:dyDescent="0.2">
      <c r="A1352" s="1077"/>
      <c r="B1352" s="1444">
        <v>1102</v>
      </c>
      <c r="C1352" s="1081">
        <v>0.9993331965960518</v>
      </c>
      <c r="D1352" s="1081">
        <v>0.9589906858061269</v>
      </c>
      <c r="E1352" s="1081">
        <v>1.0035446794762264</v>
      </c>
      <c r="F1352" s="1081">
        <v>0.98030375290525207</v>
      </c>
      <c r="G1352" s="1081">
        <v>0.99925374520090227</v>
      </c>
      <c r="H1352" s="1081">
        <v>1.0198066159307224</v>
      </c>
      <c r="I1352" s="1081">
        <v>0.98496920826742496</v>
      </c>
      <c r="K1352">
        <v>2.3960439088459062</v>
      </c>
      <c r="L1352">
        <v>0</v>
      </c>
      <c r="M1352">
        <v>1.6785788026286981E-3</v>
      </c>
      <c r="N1352">
        <v>0.15444983016573444</v>
      </c>
      <c r="O1352">
        <v>2.1196322332932119E-2</v>
      </c>
      <c r="P1352">
        <v>2.8243532342766803E-2</v>
      </c>
      <c r="Q1352">
        <v>5.5664278218585626E-3</v>
      </c>
      <c r="R1352">
        <v>1.6568522847252305E-3</v>
      </c>
      <c r="S1352">
        <v>0.26203951735092024</v>
      </c>
      <c r="T1352">
        <v>1.3446976488214668</v>
      </c>
      <c r="U1352">
        <v>0.21212695181449714</v>
      </c>
      <c r="V1352">
        <v>0.24543264761468683</v>
      </c>
      <c r="W1352">
        <v>0.1012498035798927</v>
      </c>
      <c r="X1352">
        <v>1.6553547781238864E-2</v>
      </c>
      <c r="Y1352">
        <v>4.5094057378132074E-3</v>
      </c>
    </row>
    <row r="1353" spans="1:25" x14ac:dyDescent="0.2">
      <c r="A1353" s="1077"/>
      <c r="B1353" s="1444">
        <v>1103</v>
      </c>
      <c r="C1353" s="1081">
        <v>0.99901468030440832</v>
      </c>
      <c r="D1353" s="1081">
        <v>1.0363654640975277</v>
      </c>
      <c r="E1353" s="1081">
        <v>1.0104123449552709</v>
      </c>
      <c r="F1353" s="1081">
        <v>0.97494408843258062</v>
      </c>
      <c r="G1353" s="1081">
        <v>1.0033456028852208</v>
      </c>
      <c r="H1353" s="1081">
        <v>0.99055882333123413</v>
      </c>
      <c r="I1353" s="1081">
        <v>0.99215463079243149</v>
      </c>
      <c r="K1353">
        <v>2.3681042728127286</v>
      </c>
      <c r="L1353">
        <v>0</v>
      </c>
      <c r="M1353">
        <v>1.5806491153745824E-3</v>
      </c>
      <c r="N1353">
        <v>0.14842922380074247</v>
      </c>
      <c r="O1353">
        <v>2.0848733936469709E-2</v>
      </c>
      <c r="P1353">
        <v>2.8155709849075918E-2</v>
      </c>
      <c r="Q1353">
        <v>5.5129270669121442E-3</v>
      </c>
      <c r="R1353">
        <v>1.5595860575401824E-3</v>
      </c>
      <c r="S1353">
        <v>0.25160290093280036</v>
      </c>
      <c r="T1353">
        <v>1.3374907309770634</v>
      </c>
      <c r="U1353">
        <v>0.21221810823176077</v>
      </c>
      <c r="V1353">
        <v>0.24612672417237863</v>
      </c>
      <c r="W1353">
        <v>9.6908799393653891E-2</v>
      </c>
      <c r="X1353">
        <v>1.6586798378486568E-2</v>
      </c>
      <c r="Y1353">
        <v>4.2446791312186804E-3</v>
      </c>
    </row>
    <row r="1354" spans="1:25" x14ac:dyDescent="0.2">
      <c r="A1354" s="1077"/>
      <c r="B1354" s="1444">
        <v>1104</v>
      </c>
      <c r="C1354" s="1081">
        <v>1.0016050012609412</v>
      </c>
      <c r="D1354" s="1081">
        <v>1.000282356793865</v>
      </c>
      <c r="E1354" s="1081">
        <v>0.98768247008651755</v>
      </c>
      <c r="F1354" s="1081">
        <v>0.97693859263632665</v>
      </c>
      <c r="G1354" s="1081">
        <v>1.0173886273699244</v>
      </c>
      <c r="H1354" s="1081">
        <v>1.0162074730827564</v>
      </c>
      <c r="I1354" s="1081">
        <v>1.0107335068572851</v>
      </c>
      <c r="K1354">
        <v>2.3857028511717924</v>
      </c>
      <c r="L1354">
        <v>0</v>
      </c>
      <c r="M1354">
        <v>1.708724938547898E-3</v>
      </c>
      <c r="N1354">
        <v>0.14985740845523995</v>
      </c>
      <c r="O1354">
        <v>2.0942513035431789E-2</v>
      </c>
      <c r="P1354">
        <v>2.7879404825598534E-2</v>
      </c>
      <c r="Q1354">
        <v>5.4125689003484429E-3</v>
      </c>
      <c r="R1354">
        <v>1.6865298954846042E-3</v>
      </c>
      <c r="S1354">
        <v>0.26222953319483522</v>
      </c>
      <c r="T1354">
        <v>1.3397467457703243</v>
      </c>
      <c r="U1354">
        <v>0.21159171682660122</v>
      </c>
      <c r="V1354">
        <v>0.24844607947131536</v>
      </c>
      <c r="W1354">
        <v>9.9173030090670078E-2</v>
      </c>
      <c r="X1354">
        <v>1.5855867233412656E-2</v>
      </c>
      <c r="Y1354">
        <v>4.5901784110784659E-3</v>
      </c>
    </row>
    <row r="1355" spans="1:25" x14ac:dyDescent="0.2">
      <c r="A1355" s="1077"/>
      <c r="B1355" s="1444">
        <v>1105</v>
      </c>
      <c r="C1355" s="1081">
        <v>0.99542652035493762</v>
      </c>
      <c r="D1355" s="1081">
        <v>0.9988421378309611</v>
      </c>
      <c r="E1355" s="1081">
        <v>0.9976001374924145</v>
      </c>
      <c r="F1355" s="1081">
        <v>0.99410325282080336</v>
      </c>
      <c r="G1355" s="1081">
        <v>0.96669900205836046</v>
      </c>
      <c r="H1355" s="1081">
        <v>0.99784970192755518</v>
      </c>
      <c r="I1355" s="1081">
        <v>0.98692331722583604</v>
      </c>
      <c r="K1355">
        <v>2.3963082375697962</v>
      </c>
      <c r="L1355">
        <v>0</v>
      </c>
      <c r="M1355">
        <v>1.6544577425284277E-3</v>
      </c>
      <c r="N1355">
        <v>0.1494777525518719</v>
      </c>
      <c r="O1355">
        <v>2.1085787583907171E-2</v>
      </c>
      <c r="P1355">
        <v>2.8236441058479878E-2</v>
      </c>
      <c r="Q1355">
        <v>5.5044212322014991E-3</v>
      </c>
      <c r="R1355">
        <v>1.6325722277879928E-3</v>
      </c>
      <c r="S1355">
        <v>0.25635909304358862</v>
      </c>
      <c r="T1355">
        <v>1.3634988071642618</v>
      </c>
      <c r="U1355">
        <v>0.21293905563284338</v>
      </c>
      <c r="V1355">
        <v>0.24013915251275672</v>
      </c>
      <c r="W1355">
        <v>9.833701756113529E-2</v>
      </c>
      <c r="X1355">
        <v>1.6309271316741515E-2</v>
      </c>
      <c r="Y1355">
        <v>4.4433234267486632E-3</v>
      </c>
    </row>
    <row r="1356" spans="1:25" x14ac:dyDescent="0.2">
      <c r="A1356" s="1077"/>
      <c r="B1356" s="1444">
        <v>1106</v>
      </c>
      <c r="C1356" s="1081">
        <v>1.0071388538882313</v>
      </c>
      <c r="D1356" s="1081">
        <v>1.007456400364225</v>
      </c>
      <c r="E1356" s="1081">
        <v>1.0155646345495133</v>
      </c>
      <c r="F1356" s="1081">
        <v>0.9844907575213776</v>
      </c>
      <c r="G1356" s="1081">
        <v>0.99634416489281996</v>
      </c>
      <c r="H1356" s="1081">
        <v>0.98467743393946605</v>
      </c>
      <c r="I1356" s="1081">
        <v>1.0177123169280418</v>
      </c>
      <c r="K1356">
        <v>2.3849395192534373</v>
      </c>
      <c r="L1356">
        <v>0</v>
      </c>
      <c r="M1356">
        <v>1.5516151301056852E-3</v>
      </c>
      <c r="N1356">
        <v>0.14797446426187255</v>
      </c>
      <c r="O1356">
        <v>2.0813070353513676E-2</v>
      </c>
      <c r="P1356">
        <v>2.8502593261163296E-2</v>
      </c>
      <c r="Q1356">
        <v>5.5318682850536965E-3</v>
      </c>
      <c r="R1356">
        <v>1.530815469954123E-3</v>
      </c>
      <c r="S1356">
        <v>0.25917861442810969</v>
      </c>
      <c r="T1356">
        <v>1.3506974524731798</v>
      </c>
      <c r="U1356">
        <v>0.21052375420161432</v>
      </c>
      <c r="V1356">
        <v>0.24440938243155405</v>
      </c>
      <c r="W1356">
        <v>9.6319497549728614E-2</v>
      </c>
      <c r="X1356">
        <v>1.6843246591765525E-2</v>
      </c>
      <c r="Y1356">
        <v>4.1663750760310755E-3</v>
      </c>
    </row>
    <row r="1357" spans="1:25" x14ac:dyDescent="0.2">
      <c r="A1357" s="1077"/>
      <c r="B1357" s="1444">
        <v>1107</v>
      </c>
      <c r="C1357" s="1081">
        <v>0.96865345121433377</v>
      </c>
      <c r="D1357" s="1081">
        <v>0.99381433749290293</v>
      </c>
      <c r="E1357" s="1081">
        <v>0.98022131327167872</v>
      </c>
      <c r="F1357" s="1081">
        <v>0.99633041005519896</v>
      </c>
      <c r="G1357" s="1081">
        <v>1.0123295677522743</v>
      </c>
      <c r="H1357" s="1081">
        <v>1.0242245699664498</v>
      </c>
      <c r="I1357" s="1081">
        <v>0.96728603349333475</v>
      </c>
      <c r="K1357">
        <v>2.4303804432706078</v>
      </c>
      <c r="L1357">
        <v>0</v>
      </c>
      <c r="M1357">
        <v>1.8110789197689256E-3</v>
      </c>
      <c r="N1357">
        <v>0.15530550647204044</v>
      </c>
      <c r="O1357">
        <v>2.1680754903816438E-2</v>
      </c>
      <c r="P1357">
        <v>2.8174488705599337E-2</v>
      </c>
      <c r="Q1357">
        <v>5.5611267825055365E-3</v>
      </c>
      <c r="R1357">
        <v>1.7877385138800098E-3</v>
      </c>
      <c r="S1357">
        <v>0.26095713517032731</v>
      </c>
      <c r="T1357">
        <v>1.366179901354631</v>
      </c>
      <c r="U1357">
        <v>0.21876335961753915</v>
      </c>
      <c r="V1357">
        <v>0.2497279061111429</v>
      </c>
      <c r="W1357">
        <v>0.10324111783695716</v>
      </c>
      <c r="X1357">
        <v>1.5946851814995541E-2</v>
      </c>
      <c r="Y1357">
        <v>4.8656349069386706E-3</v>
      </c>
    </row>
    <row r="1358" spans="1:25" x14ac:dyDescent="0.2">
      <c r="A1358" s="1077"/>
      <c r="B1358" s="1444">
        <v>1108</v>
      </c>
      <c r="C1358" s="1081">
        <v>1.0204878769009731</v>
      </c>
      <c r="D1358" s="1081">
        <v>0.97575119697106349</v>
      </c>
      <c r="E1358" s="1081">
        <v>1.0069875573998615</v>
      </c>
      <c r="F1358" s="1081">
        <v>1.003958558131703</v>
      </c>
      <c r="G1358" s="1081">
        <v>1.0257875622997443</v>
      </c>
      <c r="H1358" s="1081">
        <v>1.0201123576812958</v>
      </c>
      <c r="I1358" s="1081">
        <v>0.99324852543984199</v>
      </c>
      <c r="K1358">
        <v>2.4161135667414033</v>
      </c>
      <c r="L1358">
        <v>0</v>
      </c>
      <c r="M1358">
        <v>1.6263532105319095E-3</v>
      </c>
      <c r="N1358">
        <v>0.15120909795793727</v>
      </c>
      <c r="O1358">
        <v>2.0680206116525209E-2</v>
      </c>
      <c r="P1358">
        <v>2.8670880689987206E-2</v>
      </c>
      <c r="Q1358">
        <v>5.4496614837156931E-3</v>
      </c>
      <c r="R1358">
        <v>1.6053089785268856E-3</v>
      </c>
      <c r="S1358">
        <v>0.25657150203151646</v>
      </c>
      <c r="T1358">
        <v>1.3772201439795799</v>
      </c>
      <c r="U1358">
        <v>0.20774110878207999</v>
      </c>
      <c r="V1358">
        <v>0.24865628675628054</v>
      </c>
      <c r="W1358">
        <v>9.892354769411911E-2</v>
      </c>
      <c r="X1358">
        <v>1.6643053632079963E-2</v>
      </c>
      <c r="Y1358">
        <v>4.369121849587633E-3</v>
      </c>
    </row>
    <row r="1359" spans="1:25" x14ac:dyDescent="0.2">
      <c r="A1359" s="1077"/>
      <c r="B1359" s="1444">
        <v>1109</v>
      </c>
      <c r="C1359" s="1081">
        <v>0.97450378458382902</v>
      </c>
      <c r="D1359" s="1081">
        <v>1.0036905631299382</v>
      </c>
      <c r="E1359" s="1081">
        <v>1.0456811309995999</v>
      </c>
      <c r="F1359" s="1081">
        <v>1.0104383832355877</v>
      </c>
      <c r="G1359" s="1081">
        <v>1.0351496639198432</v>
      </c>
      <c r="H1359" s="1081">
        <v>0.96378820392778819</v>
      </c>
      <c r="I1359" s="1081">
        <v>0.99237578379546709</v>
      </c>
      <c r="K1359">
        <v>2.4500433135445761</v>
      </c>
      <c r="L1359">
        <v>0</v>
      </c>
      <c r="M1359">
        <v>1.475293016885061E-3</v>
      </c>
      <c r="N1359">
        <v>0.15402110955678514</v>
      </c>
      <c r="O1359">
        <v>2.1548394953889764E-2</v>
      </c>
      <c r="P1359">
        <v>2.9879155941905218E-2</v>
      </c>
      <c r="Q1359">
        <v>5.9003526268325271E-3</v>
      </c>
      <c r="R1359">
        <v>1.4550878287508287E-3</v>
      </c>
      <c r="S1359">
        <v>0.26012033095860926</v>
      </c>
      <c r="T1359">
        <v>1.3869590377635033</v>
      </c>
      <c r="U1359">
        <v>0.21768008955551171</v>
      </c>
      <c r="V1359">
        <v>0.25299992957871437</v>
      </c>
      <c r="W1359">
        <v>9.8518746273403054E-2</v>
      </c>
      <c r="X1359">
        <v>1.8476102123269948E-2</v>
      </c>
      <c r="Y1359">
        <v>3.9602694002859222E-3</v>
      </c>
    </row>
    <row r="1360" spans="1:25" x14ac:dyDescent="0.2">
      <c r="A1360" s="1077"/>
      <c r="B1360" s="1444">
        <v>1110</v>
      </c>
      <c r="C1360" s="1081">
        <v>1.004349126511779</v>
      </c>
      <c r="D1360" s="1081">
        <v>1.0254511491023235</v>
      </c>
      <c r="E1360" s="1081">
        <v>1.0123362048437221</v>
      </c>
      <c r="F1360" s="1081">
        <v>1.0104365338203369</v>
      </c>
      <c r="G1360" s="1081">
        <v>1.0052063832979632</v>
      </c>
      <c r="H1360" s="1081">
        <v>1.0351314889443495</v>
      </c>
      <c r="I1360" s="1081">
        <v>1.0254950306261175</v>
      </c>
      <c r="K1360">
        <v>2.440132961692747</v>
      </c>
      <c r="L1360">
        <v>0</v>
      </c>
      <c r="M1360">
        <v>1.6402621785191226E-3</v>
      </c>
      <c r="N1360">
        <v>0.15501434449630708</v>
      </c>
      <c r="O1360">
        <v>2.0787624437821214E-2</v>
      </c>
      <c r="P1360">
        <v>2.9020612980242298E-2</v>
      </c>
      <c r="Q1360">
        <v>5.5073415206848371E-3</v>
      </c>
      <c r="R1360">
        <v>1.619345921527286E-3</v>
      </c>
      <c r="S1360">
        <v>0.26391068789061989</v>
      </c>
      <c r="T1360">
        <v>1.3862236794093614</v>
      </c>
      <c r="U1360">
        <v>0.21109750355370185</v>
      </c>
      <c r="V1360">
        <v>0.24610575354442699</v>
      </c>
      <c r="W1360">
        <v>0.10109356938304241</v>
      </c>
      <c r="X1360">
        <v>1.6985434952372664E-2</v>
      </c>
      <c r="Y1360">
        <v>4.4073257811577072E-3</v>
      </c>
    </row>
    <row r="1361" spans="1:25" x14ac:dyDescent="0.2">
      <c r="A1361" s="1077"/>
      <c r="B1361" s="1444">
        <v>1111</v>
      </c>
      <c r="C1361" s="1081">
        <v>1.0234710131656752</v>
      </c>
      <c r="D1361" s="1081">
        <v>0.97826871183427833</v>
      </c>
      <c r="E1361" s="1081">
        <v>0.98347509560536395</v>
      </c>
      <c r="F1361" s="1081">
        <v>0.96822353971021469</v>
      </c>
      <c r="G1361" s="1081">
        <v>0.98646383371514368</v>
      </c>
      <c r="H1361" s="1081">
        <v>0.98197825107661052</v>
      </c>
      <c r="I1361" s="1081">
        <v>0.99788569982285935</v>
      </c>
      <c r="K1361">
        <v>2.3388222952626863</v>
      </c>
      <c r="L1361">
        <v>0</v>
      </c>
      <c r="M1361">
        <v>1.6380247167204671E-3</v>
      </c>
      <c r="N1361">
        <v>0.14177540714324935</v>
      </c>
      <c r="O1361">
        <v>2.0592934073286783E-2</v>
      </c>
      <c r="P1361">
        <v>2.7358575325915877E-2</v>
      </c>
      <c r="Q1361">
        <v>5.2995796217438123E-3</v>
      </c>
      <c r="R1361">
        <v>1.6160063652466284E-3</v>
      </c>
      <c r="S1361">
        <v>0.25331868829835236</v>
      </c>
      <c r="T1361">
        <v>1.3277073152783949</v>
      </c>
      <c r="U1361">
        <v>0.20705713242892948</v>
      </c>
      <c r="V1361">
        <v>0.24184769325864358</v>
      </c>
      <c r="W1361">
        <v>9.4062113559468058E-2</v>
      </c>
      <c r="X1361">
        <v>1.5426638016331489E-2</v>
      </c>
      <c r="Y1361">
        <v>4.3982366098461899E-3</v>
      </c>
    </row>
    <row r="1362" spans="1:25" x14ac:dyDescent="0.2">
      <c r="A1362" s="1077"/>
      <c r="B1362" s="1444">
        <v>1112</v>
      </c>
      <c r="C1362" s="1081">
        <v>1.0031606646166908</v>
      </c>
      <c r="D1362" s="1081">
        <v>1.0151055596175824</v>
      </c>
      <c r="E1362" s="1081">
        <v>1.033471183967821</v>
      </c>
      <c r="F1362" s="1081">
        <v>0.9867814680220387</v>
      </c>
      <c r="G1362" s="1081">
        <v>0.99443433252975966</v>
      </c>
      <c r="H1362" s="1081">
        <v>0.970668095087028</v>
      </c>
      <c r="I1362" s="1081">
        <v>0.96027444261875683</v>
      </c>
      <c r="K1362">
        <v>2.374536247397983</v>
      </c>
      <c r="L1362">
        <v>0</v>
      </c>
      <c r="M1362">
        <v>1.4769482249112336E-3</v>
      </c>
      <c r="N1362">
        <v>0.14864002492195139</v>
      </c>
      <c r="O1362">
        <v>2.0872717015979963E-2</v>
      </c>
      <c r="P1362">
        <v>2.8719106458424407E-2</v>
      </c>
      <c r="Q1362">
        <v>5.6471158303712625E-3</v>
      </c>
      <c r="R1362">
        <v>1.4568637383204843E-3</v>
      </c>
      <c r="S1362">
        <v>0.24359333604939751</v>
      </c>
      <c r="T1362">
        <v>1.3542242516270169</v>
      </c>
      <c r="U1362">
        <v>0.211419861545629</v>
      </c>
      <c r="V1362">
        <v>0.24426700069527749</v>
      </c>
      <c r="W1362">
        <v>9.5747951105580986E-2</v>
      </c>
      <c r="X1362">
        <v>1.7459863794239128E-2</v>
      </c>
      <c r="Y1362">
        <v>3.965102840706094E-3</v>
      </c>
    </row>
    <row r="1363" spans="1:25" x14ac:dyDescent="0.2">
      <c r="A1363" s="1077"/>
      <c r="B1363" s="1444">
        <v>1113</v>
      </c>
      <c r="C1363" s="1081">
        <v>0.98956838787075529</v>
      </c>
      <c r="D1363" s="1081">
        <v>0.99040886545914986</v>
      </c>
      <c r="E1363" s="1081">
        <v>0.99352364112888081</v>
      </c>
      <c r="F1363" s="1081">
        <v>0.97924844805528333</v>
      </c>
      <c r="G1363" s="1081">
        <v>1.0234462375185376</v>
      </c>
      <c r="H1363" s="1081">
        <v>1.0047845706679099</v>
      </c>
      <c r="I1363" s="1081">
        <v>0.9714680148769621</v>
      </c>
      <c r="K1363">
        <v>2.3891594282040161</v>
      </c>
      <c r="L1363">
        <v>0</v>
      </c>
      <c r="M1363">
        <v>1.6931944151568439E-3</v>
      </c>
      <c r="N1363">
        <v>0.15111841315161983</v>
      </c>
      <c r="O1363">
        <v>2.1247477436683149E-2</v>
      </c>
      <c r="P1363">
        <v>2.8014202221313508E-2</v>
      </c>
      <c r="Q1363">
        <v>5.5238930569717036E-3</v>
      </c>
      <c r="R1363">
        <v>1.6709510706522709E-3</v>
      </c>
      <c r="S1363">
        <v>0.2554678340114015</v>
      </c>
      <c r="T1363">
        <v>1.3430378940335559</v>
      </c>
      <c r="U1363">
        <v>0.21418555920338372</v>
      </c>
      <c r="V1363">
        <v>0.25021673031003289</v>
      </c>
      <c r="W1363">
        <v>9.9658370514416159E-2</v>
      </c>
      <c r="X1363">
        <v>1.6163519623696873E-2</v>
      </c>
      <c r="Y1363">
        <v>4.5477779854430789E-3</v>
      </c>
    </row>
    <row r="1364" spans="1:25" x14ac:dyDescent="0.2">
      <c r="A1364" s="1077"/>
      <c r="B1364" s="1444">
        <v>1114</v>
      </c>
      <c r="C1364" s="1081">
        <v>0.9828353997214041</v>
      </c>
      <c r="D1364" s="1081">
        <v>0.98589828183218342</v>
      </c>
      <c r="E1364" s="1081">
        <v>1.0061682336399076</v>
      </c>
      <c r="F1364" s="1081">
        <v>1.0234467695490221</v>
      </c>
      <c r="G1364" s="1081">
        <v>1.0092290110697986</v>
      </c>
      <c r="H1364" s="1081">
        <v>1.001617174387643</v>
      </c>
      <c r="I1364" s="1081">
        <v>0.97620806298693863</v>
      </c>
      <c r="K1364">
        <v>2.4585748256403894</v>
      </c>
      <c r="L1364">
        <v>0</v>
      </c>
      <c r="M1364">
        <v>1.6570898877278177E-3</v>
      </c>
      <c r="N1364">
        <v>0.1536489034024347</v>
      </c>
      <c r="O1364">
        <v>2.1423094136940147E-2</v>
      </c>
      <c r="P1364">
        <v>2.9154138007914599E-2</v>
      </c>
      <c r="Q1364">
        <v>5.640797214018738E-3</v>
      </c>
      <c r="R1364">
        <v>1.6352520053320343E-3</v>
      </c>
      <c r="S1364">
        <v>0.25890091674056259</v>
      </c>
      <c r="T1364">
        <v>1.4039357143879676</v>
      </c>
      <c r="U1364">
        <v>0.2156968294015823</v>
      </c>
      <c r="V1364">
        <v>0.24817463874998422</v>
      </c>
      <c r="W1364">
        <v>0.1005684172728403</v>
      </c>
      <c r="X1364">
        <v>1.7002597310703783E-2</v>
      </c>
      <c r="Y1364">
        <v>4.4506168978351154E-3</v>
      </c>
    </row>
    <row r="1365" spans="1:25" x14ac:dyDescent="0.2">
      <c r="A1365" s="1077"/>
      <c r="B1365" s="1444">
        <v>1115</v>
      </c>
      <c r="C1365" s="1081">
        <v>1.0072971981530474</v>
      </c>
      <c r="D1365" s="1081">
        <v>0.99441900228508495</v>
      </c>
      <c r="E1365" s="1081">
        <v>0.99039097909909946</v>
      </c>
      <c r="F1365" s="1081">
        <v>0.97708187743777775</v>
      </c>
      <c r="G1365" s="1081">
        <v>1.0112999369258824</v>
      </c>
      <c r="H1365" s="1081">
        <v>0.97192322158752797</v>
      </c>
      <c r="I1365" s="1081">
        <v>0.97091829841776822</v>
      </c>
      <c r="K1365">
        <v>2.3566080920865926</v>
      </c>
      <c r="L1365">
        <v>0</v>
      </c>
      <c r="M1365">
        <v>1.6180296928192583E-3</v>
      </c>
      <c r="N1365">
        <v>0.14298442937864525</v>
      </c>
      <c r="O1365">
        <v>2.0852902104613331E-2</v>
      </c>
      <c r="P1365">
        <v>2.77064415016639E-2</v>
      </c>
      <c r="Q1365">
        <v>5.404191595008748E-3</v>
      </c>
      <c r="R1365">
        <v>1.596055104529496E-3</v>
      </c>
      <c r="S1365">
        <v>0.24760018498047265</v>
      </c>
      <c r="T1365">
        <v>1.3400003524066333</v>
      </c>
      <c r="U1365">
        <v>0.21040519558399962</v>
      </c>
      <c r="V1365">
        <v>0.24704401317032565</v>
      </c>
      <c r="W1365">
        <v>9.4471085238103103E-2</v>
      </c>
      <c r="X1365">
        <v>1.5817334860310887E-2</v>
      </c>
      <c r="Y1365">
        <v>4.3439358551054831E-3</v>
      </c>
    </row>
    <row r="1366" spans="1:25" x14ac:dyDescent="0.2">
      <c r="A1366" s="1077"/>
      <c r="B1366" s="1444">
        <v>1116</v>
      </c>
      <c r="C1366" s="1081">
        <v>0.99601287857806087</v>
      </c>
      <c r="D1366" s="1081">
        <v>1.0236926390573884</v>
      </c>
      <c r="E1366" s="1081">
        <v>1.0043578913302984</v>
      </c>
      <c r="F1366" s="1081">
        <v>1.0189624780011373</v>
      </c>
      <c r="G1366" s="1081">
        <v>1.0191459831770988</v>
      </c>
      <c r="H1366" s="1081">
        <v>1.0115395467621797</v>
      </c>
      <c r="I1366" s="1081">
        <v>0.98663926743161967</v>
      </c>
      <c r="K1366">
        <v>2.4413313236331273</v>
      </c>
      <c r="L1366">
        <v>0</v>
      </c>
      <c r="M1366">
        <v>1.6439210485232293E-3</v>
      </c>
      <c r="N1366">
        <v>0.15161662121090619</v>
      </c>
      <c r="O1366">
        <v>2.0964229641318093E-2</v>
      </c>
      <c r="P1366">
        <v>2.89386406320431E-2</v>
      </c>
      <c r="Q1366">
        <v>5.5099695989255073E-3</v>
      </c>
      <c r="R1366">
        <v>1.6224692204272395E-3</v>
      </c>
      <c r="S1366">
        <v>0.25421096477576643</v>
      </c>
      <c r="T1366">
        <v>1.3977443493028592</v>
      </c>
      <c r="U1366">
        <v>0.21283689283638935</v>
      </c>
      <c r="V1366">
        <v>0.24903450399151952</v>
      </c>
      <c r="W1366">
        <v>9.9344611329613502E-2</v>
      </c>
      <c r="X1366">
        <v>1.6736165770711346E-2</v>
      </c>
      <c r="Y1366">
        <v>4.4158263711681755E-3</v>
      </c>
    </row>
    <row r="1367" spans="1:25" x14ac:dyDescent="0.2">
      <c r="A1367" s="1077"/>
      <c r="B1367" s="1444">
        <v>1117</v>
      </c>
      <c r="C1367" s="1081">
        <v>1.0132166786492203</v>
      </c>
      <c r="D1367" s="1081">
        <v>0.98892111420058337</v>
      </c>
      <c r="E1367" s="1081">
        <v>1.0225739253427581</v>
      </c>
      <c r="F1367" s="1081">
        <v>0.977363006745539</v>
      </c>
      <c r="G1367" s="1081">
        <v>0.99471283089593843</v>
      </c>
      <c r="H1367" s="1081">
        <v>0.97428425575196276</v>
      </c>
      <c r="I1367" s="1081">
        <v>0.99029202216071643</v>
      </c>
      <c r="K1367">
        <v>2.3644732907468455</v>
      </c>
      <c r="L1367">
        <v>0</v>
      </c>
      <c r="M1367">
        <v>1.5100943883045491E-3</v>
      </c>
      <c r="N1367">
        <v>0.14707129594136076</v>
      </c>
      <c r="O1367">
        <v>2.0777528203997902E-2</v>
      </c>
      <c r="P1367">
        <v>2.8392650222244072E-2</v>
      </c>
      <c r="Q1367">
        <v>5.5610574659376265E-3</v>
      </c>
      <c r="R1367">
        <v>1.4896353776936628E-3</v>
      </c>
      <c r="S1367">
        <v>0.25222211643781495</v>
      </c>
      <c r="T1367">
        <v>1.3410670747512938</v>
      </c>
      <c r="U1367">
        <v>0.20928463400106728</v>
      </c>
      <c r="V1367">
        <v>0.24373467034868385</v>
      </c>
      <c r="W1367">
        <v>9.5339547593097734E-2</v>
      </c>
      <c r="X1367">
        <v>1.6988878352043695E-2</v>
      </c>
      <c r="Y1367">
        <v>4.0542964399118689E-3</v>
      </c>
    </row>
    <row r="1368" spans="1:25" x14ac:dyDescent="0.2">
      <c r="A1368" s="1077"/>
      <c r="B1368" s="1444">
        <v>1118</v>
      </c>
      <c r="C1368" s="1081">
        <v>0.98327124084384077</v>
      </c>
      <c r="D1368" s="1081">
        <v>1.0050255302307574</v>
      </c>
      <c r="E1368" s="1081">
        <v>0.9943352576220108</v>
      </c>
      <c r="F1368" s="1081">
        <v>0.97963995761483846</v>
      </c>
      <c r="G1368" s="1081">
        <v>1.0034191491749604</v>
      </c>
      <c r="H1368" s="1081">
        <v>0.98341566121758772</v>
      </c>
      <c r="I1368" s="1081">
        <v>1.0159644918430155</v>
      </c>
      <c r="K1368">
        <v>2.3933648550911157</v>
      </c>
      <c r="L1368">
        <v>0</v>
      </c>
      <c r="M1368">
        <v>1.6596374978216971E-3</v>
      </c>
      <c r="N1368">
        <v>0.14844430831817149</v>
      </c>
      <c r="O1368">
        <v>2.1315288998061496E-2</v>
      </c>
      <c r="P1368">
        <v>2.8146612332565879E-2</v>
      </c>
      <c r="Q1368">
        <v>5.5460605930370815E-3</v>
      </c>
      <c r="R1368">
        <v>1.6373612348132621E-3</v>
      </c>
      <c r="S1368">
        <v>0.26504618613827513</v>
      </c>
      <c r="T1368">
        <v>1.3435920241469022</v>
      </c>
      <c r="U1368">
        <v>0.21556008287198514</v>
      </c>
      <c r="V1368">
        <v>0.24719689128570679</v>
      </c>
      <c r="W1368">
        <v>9.7847435031229529E-2</v>
      </c>
      <c r="X1368">
        <v>1.6235884113010801E-2</v>
      </c>
      <c r="Y1368">
        <v>4.4563575251757061E-3</v>
      </c>
    </row>
    <row r="1369" spans="1:25" x14ac:dyDescent="0.2">
      <c r="A1369" s="1077"/>
      <c r="B1369" s="1444">
        <v>1119</v>
      </c>
      <c r="C1369" s="1081">
        <v>0.99699348454898695</v>
      </c>
      <c r="D1369" s="1081">
        <v>1.0344908209161416</v>
      </c>
      <c r="E1369" s="1081">
        <v>1.0047324413615619</v>
      </c>
      <c r="F1369" s="1081">
        <v>1.0077003757543144</v>
      </c>
      <c r="G1369" s="1081">
        <v>1.0286209249478413</v>
      </c>
      <c r="H1369" s="1081">
        <v>0.95914754731582097</v>
      </c>
      <c r="I1369" s="1081">
        <v>0.97473455060512548</v>
      </c>
      <c r="K1369">
        <v>2.4035910446305939</v>
      </c>
      <c r="L1369">
        <v>0</v>
      </c>
      <c r="M1369">
        <v>1.55244397507013E-3</v>
      </c>
      <c r="N1369">
        <v>0.14323834955906994</v>
      </c>
      <c r="O1369">
        <v>2.0895565831744817E-2</v>
      </c>
      <c r="P1369">
        <v>2.8631244653619419E-2</v>
      </c>
      <c r="Q1369">
        <v>5.4939857318979796E-3</v>
      </c>
      <c r="R1369">
        <v>1.5310792782605191E-3</v>
      </c>
      <c r="S1369">
        <v>0.24527157462196617</v>
      </c>
      <c r="T1369">
        <v>1.3823039238772716</v>
      </c>
      <c r="U1369">
        <v>0.21262883939868352</v>
      </c>
      <c r="V1369">
        <v>0.25058934884322454</v>
      </c>
      <c r="W1369">
        <v>9.3834053170180828E-2</v>
      </c>
      <c r="X1369">
        <v>1.6558430564467493E-2</v>
      </c>
      <c r="Y1369">
        <v>4.1670930752767E-3</v>
      </c>
    </row>
    <row r="1370" spans="1:25" x14ac:dyDescent="0.2">
      <c r="A1370" s="1077"/>
      <c r="B1370" s="1444">
        <v>1120</v>
      </c>
      <c r="C1370" s="1081">
        <v>0.96745680000410605</v>
      </c>
      <c r="D1370" s="1081">
        <v>1.013167131523639</v>
      </c>
      <c r="E1370" s="1081">
        <v>1.00514077502091</v>
      </c>
      <c r="F1370" s="1081">
        <v>1.0111823779260187</v>
      </c>
      <c r="G1370" s="1081">
        <v>1.0250505082853039</v>
      </c>
      <c r="H1370" s="1081">
        <v>0.99641280812835276</v>
      </c>
      <c r="I1370" s="1081">
        <v>0.99248227767495723</v>
      </c>
      <c r="K1370">
        <v>2.4544251459302826</v>
      </c>
      <c r="L1370">
        <v>0</v>
      </c>
      <c r="M1370">
        <v>1.6682166222479794E-3</v>
      </c>
      <c r="N1370">
        <v>0.15419062985654677</v>
      </c>
      <c r="O1370">
        <v>2.1632689023335181E-2</v>
      </c>
      <c r="P1370">
        <v>2.905937580497539E-2</v>
      </c>
      <c r="Q1370">
        <v>5.6901231780567482E-3</v>
      </c>
      <c r="R1370">
        <v>1.6461172793174605E-3</v>
      </c>
      <c r="S1370">
        <v>0.26331126891112966</v>
      </c>
      <c r="T1370">
        <v>1.3870892681697276</v>
      </c>
      <c r="U1370">
        <v>0.21912189191248355</v>
      </c>
      <c r="V1370">
        <v>0.2518890021093465</v>
      </c>
      <c r="W1370">
        <v>0.10098437005848852</v>
      </c>
      <c r="X1370">
        <v>1.6998437657232995E-2</v>
      </c>
      <c r="Y1370">
        <v>4.4801885918868377E-3</v>
      </c>
    </row>
    <row r="1371" spans="1:25" x14ac:dyDescent="0.2">
      <c r="A1371" s="1077"/>
      <c r="B1371" s="1444">
        <v>1121</v>
      </c>
      <c r="C1371" s="1081">
        <v>0.98354611775917888</v>
      </c>
      <c r="D1371" s="1081">
        <v>1.0169381333156717</v>
      </c>
      <c r="E1371" s="1081">
        <v>1.0392797772812781</v>
      </c>
      <c r="F1371" s="1081">
        <v>1.0180791617710558</v>
      </c>
      <c r="G1371" s="1081">
        <v>1.0044584870341091</v>
      </c>
      <c r="H1371" s="1081">
        <v>1.0153225377695878</v>
      </c>
      <c r="I1371" s="1081">
        <v>0.99581713658721238</v>
      </c>
      <c r="K1371">
        <v>2.462594209761392</v>
      </c>
      <c r="L1371">
        <v>0</v>
      </c>
      <c r="M1371">
        <v>1.5561103509331823E-3</v>
      </c>
      <c r="N1371">
        <v>0.15946862976993656</v>
      </c>
      <c r="O1371">
        <v>2.1284455299395332E-2</v>
      </c>
      <c r="P1371">
        <v>2.9794136280313518E-2</v>
      </c>
      <c r="Q1371">
        <v>5.7915614424149994E-3</v>
      </c>
      <c r="R1371">
        <v>1.5358800388088005E-3</v>
      </c>
      <c r="S1371">
        <v>0.26129825036641918</v>
      </c>
      <c r="T1371">
        <v>1.3973049068685077</v>
      </c>
      <c r="U1371">
        <v>0.21565643754842712</v>
      </c>
      <c r="V1371">
        <v>0.24719824897356776</v>
      </c>
      <c r="W1371">
        <v>0.1023792519615144</v>
      </c>
      <c r="X1371">
        <v>1.8258402400097747E-2</v>
      </c>
      <c r="Y1371">
        <v>4.1801591629188331E-3</v>
      </c>
    </row>
    <row r="1372" spans="1:25" x14ac:dyDescent="0.2">
      <c r="A1372" s="1077"/>
      <c r="B1372" s="1444">
        <v>1122</v>
      </c>
      <c r="C1372" s="1081">
        <v>1.016480739564193</v>
      </c>
      <c r="D1372" s="1081">
        <v>1.0355954600392669</v>
      </c>
      <c r="E1372" s="1081">
        <v>1.0272839962779754</v>
      </c>
      <c r="F1372" s="1081">
        <v>0.99945050123547385</v>
      </c>
      <c r="G1372" s="1081">
        <v>0.98979428347014908</v>
      </c>
      <c r="H1372" s="1081">
        <v>0.98260650461715693</v>
      </c>
      <c r="I1372" s="1081">
        <v>0.98647512064453324</v>
      </c>
      <c r="K1372">
        <v>2.3862662266760846</v>
      </c>
      <c r="L1372">
        <v>0</v>
      </c>
      <c r="M1372">
        <v>1.4881122230921986E-3</v>
      </c>
      <c r="N1372">
        <v>0.14702080649571145</v>
      </c>
      <c r="O1372">
        <v>2.0504806457897623E-2</v>
      </c>
      <c r="P1372">
        <v>2.8795373766946651E-2</v>
      </c>
      <c r="Q1372">
        <v>5.5137522841485305E-3</v>
      </c>
      <c r="R1372">
        <v>1.4681217870362118E-3</v>
      </c>
      <c r="S1372">
        <v>0.24543450726248914</v>
      </c>
      <c r="T1372">
        <v>1.3714762539341558</v>
      </c>
      <c r="U1372">
        <v>0.20862849095127722</v>
      </c>
      <c r="V1372">
        <v>0.24268114630346968</v>
      </c>
      <c r="W1372">
        <v>9.5045560100849108E-2</v>
      </c>
      <c r="X1372">
        <v>1.7189776017102174E-2</v>
      </c>
      <c r="Y1372">
        <v>3.9957435380955399E-3</v>
      </c>
    </row>
    <row r="1373" spans="1:25" x14ac:dyDescent="0.2">
      <c r="A1373" s="1077"/>
      <c r="B1373" s="1444">
        <v>1123</v>
      </c>
      <c r="C1373" s="1081">
        <v>1.0126641634086846</v>
      </c>
      <c r="D1373" s="1081">
        <v>0.99068652715805505</v>
      </c>
      <c r="E1373" s="1081">
        <v>1.0224405407078829</v>
      </c>
      <c r="F1373" s="1081">
        <v>1.039576080244647</v>
      </c>
      <c r="G1373" s="1081">
        <v>1.0378967843473688</v>
      </c>
      <c r="H1373" s="1081">
        <v>0.9916382415248074</v>
      </c>
      <c r="I1373" s="1081">
        <v>0.9846322672998602</v>
      </c>
      <c r="K1373">
        <v>2.4634852968896688</v>
      </c>
      <c r="L1373">
        <v>0</v>
      </c>
      <c r="M1373">
        <v>1.537654365530217E-3</v>
      </c>
      <c r="N1373">
        <v>0.14973116308682449</v>
      </c>
      <c r="O1373">
        <v>2.0780620861173309E-2</v>
      </c>
      <c r="P1373">
        <v>2.9677151764944208E-2</v>
      </c>
      <c r="Q1373">
        <v>5.5611487484129229E-3</v>
      </c>
      <c r="R1373">
        <v>1.5171865413628508E-3</v>
      </c>
      <c r="S1373">
        <v>0.25213001910116323</v>
      </c>
      <c r="T1373">
        <v>1.4264283579267103</v>
      </c>
      <c r="U1373">
        <v>0.20939836908928969</v>
      </c>
      <c r="V1373">
        <v>0.25113871522339537</v>
      </c>
      <c r="W1373">
        <v>9.707137691804206E-2</v>
      </c>
      <c r="X1373">
        <v>1.7459560368698685E-2</v>
      </c>
      <c r="Y1373">
        <v>4.1292816251807364E-3</v>
      </c>
    </row>
    <row r="1374" spans="1:25" x14ac:dyDescent="0.2">
      <c r="A1374" s="1077"/>
      <c r="B1374" s="1444">
        <v>1124</v>
      </c>
      <c r="C1374" s="1081">
        <v>1.014246720118174</v>
      </c>
      <c r="D1374" s="1081">
        <v>1.0022994860830146</v>
      </c>
      <c r="E1374" s="1081">
        <v>0.99294190697919438</v>
      </c>
      <c r="F1374" s="1081">
        <v>0.99077645433549255</v>
      </c>
      <c r="G1374" s="1081">
        <v>1.0148450684899073</v>
      </c>
      <c r="H1374" s="1081">
        <v>0.96894164943736105</v>
      </c>
      <c r="I1374" s="1081">
        <v>0.99875598400255627</v>
      </c>
      <c r="K1374">
        <v>2.3761672931535212</v>
      </c>
      <c r="L1374">
        <v>0</v>
      </c>
      <c r="M1374">
        <v>1.5908049949391846E-3</v>
      </c>
      <c r="N1374">
        <v>0.14166087523785689</v>
      </c>
      <c r="O1374">
        <v>2.0675753095922737E-2</v>
      </c>
      <c r="P1374">
        <v>2.8054065566994118E-2</v>
      </c>
      <c r="Q1374">
        <v>5.3721028205026018E-3</v>
      </c>
      <c r="R1374">
        <v>1.5691336662003624E-3</v>
      </c>
      <c r="S1374">
        <v>0.25172118894093665</v>
      </c>
      <c r="T1374">
        <v>1.3588360899938097</v>
      </c>
      <c r="U1374">
        <v>0.20897210505605401</v>
      </c>
      <c r="V1374">
        <v>0.24721579132740507</v>
      </c>
      <c r="W1374">
        <v>9.3453867874034008E-2</v>
      </c>
      <c r="X1374">
        <v>1.5956459994116007E-2</v>
      </c>
      <c r="Y1374">
        <v>4.2706645746233424E-3</v>
      </c>
    </row>
    <row r="1375" spans="1:25" x14ac:dyDescent="0.2">
      <c r="A1375" s="1077"/>
      <c r="B1375" s="1444">
        <v>1125</v>
      </c>
      <c r="C1375" s="1081">
        <v>0.99491003523191301</v>
      </c>
      <c r="D1375" s="1081">
        <v>0.98772720158757632</v>
      </c>
      <c r="E1375" s="1081">
        <v>1.0121583152514508</v>
      </c>
      <c r="F1375" s="1081">
        <v>1.0250869559712192</v>
      </c>
      <c r="G1375" s="1081">
        <v>0.97705068159088304</v>
      </c>
      <c r="H1375" s="1081">
        <v>0.96922699295050996</v>
      </c>
      <c r="I1375" s="1081">
        <v>1.0005971974972501</v>
      </c>
      <c r="K1375">
        <v>2.4415305071679008</v>
      </c>
      <c r="L1375">
        <v>0</v>
      </c>
      <c r="M1375">
        <v>1.563816725561825E-3</v>
      </c>
      <c r="N1375">
        <v>0.14758073595206786</v>
      </c>
      <c r="O1375">
        <v>2.115847981189771E-2</v>
      </c>
      <c r="P1375">
        <v>2.9197823893172561E-2</v>
      </c>
      <c r="Q1375">
        <v>5.6045981011172644E-3</v>
      </c>
      <c r="R1375">
        <v>1.5425193263615461E-3</v>
      </c>
      <c r="S1375">
        <v>0.2591746272105902</v>
      </c>
      <c r="T1375">
        <v>1.4063187240758124</v>
      </c>
      <c r="U1375">
        <v>0.21309965381607812</v>
      </c>
      <c r="V1375">
        <v>0.24188934570173076</v>
      </c>
      <c r="W1375">
        <v>9.6255773893150071E-2</v>
      </c>
      <c r="X1375">
        <v>1.7073812996487889E-2</v>
      </c>
      <c r="Y1375">
        <v>4.1982291149968544E-3</v>
      </c>
    </row>
    <row r="1376" spans="1:25" x14ac:dyDescent="0.2">
      <c r="A1376" s="1077"/>
      <c r="B1376" s="1444">
        <v>1126</v>
      </c>
      <c r="C1376" s="1081">
        <v>0.99049666243651124</v>
      </c>
      <c r="D1376" s="1081">
        <v>1.0347721620697008</v>
      </c>
      <c r="E1376" s="1081">
        <v>0.95634120263239375</v>
      </c>
      <c r="F1376" s="1081">
        <v>1.0101463246517839</v>
      </c>
      <c r="G1376" s="1081">
        <v>1.0044016998428216</v>
      </c>
      <c r="H1376" s="1081">
        <v>0.99887065856792778</v>
      </c>
      <c r="I1376" s="1081">
        <v>0.99784894922704281</v>
      </c>
      <c r="K1376">
        <v>2.4150388435164918</v>
      </c>
      <c r="L1376">
        <v>0</v>
      </c>
      <c r="M1376">
        <v>1.7985091098806241E-3</v>
      </c>
      <c r="N1376">
        <v>0.14342074468522858</v>
      </c>
      <c r="O1376">
        <v>2.0999285291456136E-2</v>
      </c>
      <c r="P1376">
        <v>2.7736529639276142E-2</v>
      </c>
      <c r="Q1376">
        <v>5.2563305269737416E-3</v>
      </c>
      <c r="R1376">
        <v>1.7747423704765793E-3</v>
      </c>
      <c r="S1376">
        <v>0.25568891672747962</v>
      </c>
      <c r="T1376">
        <v>1.3846061836908301</v>
      </c>
      <c r="U1376">
        <v>0.21385703417190316</v>
      </c>
      <c r="V1376">
        <v>0.24704194310975774</v>
      </c>
      <c r="W1376">
        <v>9.6738354104108984E-2</v>
      </c>
      <c r="X1376">
        <v>1.4887024620109705E-2</v>
      </c>
      <c r="Y1376">
        <v>4.8302636887720555E-3</v>
      </c>
    </row>
    <row r="1377" spans="1:25" x14ac:dyDescent="0.2">
      <c r="A1377" s="1077"/>
      <c r="B1377" s="1444">
        <v>1127</v>
      </c>
      <c r="C1377" s="1081">
        <v>1.0131528222729924</v>
      </c>
      <c r="D1377" s="1081">
        <v>0.99930585733573807</v>
      </c>
      <c r="E1377" s="1081">
        <v>1.03201954910319</v>
      </c>
      <c r="F1377" s="1081">
        <v>0.98776932536838957</v>
      </c>
      <c r="G1377" s="1081">
        <v>0.96962234120677182</v>
      </c>
      <c r="H1377" s="1081">
        <v>1.0145958964410002</v>
      </c>
      <c r="I1377" s="1081">
        <v>0.98488336658022979</v>
      </c>
      <c r="K1377">
        <v>2.3876066205670909</v>
      </c>
      <c r="L1377">
        <v>0</v>
      </c>
      <c r="M1377">
        <v>1.5384953600313268E-3</v>
      </c>
      <c r="N1377">
        <v>0.15425019370723272</v>
      </c>
      <c r="O1377">
        <v>2.0737352790655837E-2</v>
      </c>
      <c r="P1377">
        <v>2.8741427617800488E-2</v>
      </c>
      <c r="Q1377">
        <v>5.6024585918030244E-3</v>
      </c>
      <c r="R1377">
        <v>1.5184797280278182E-3</v>
      </c>
      <c r="S1377">
        <v>0.25295528157873459</v>
      </c>
      <c r="T1377">
        <v>1.3555487432023383</v>
      </c>
      <c r="U1377">
        <v>0.20932982440992018</v>
      </c>
      <c r="V1377">
        <v>0.2394248473401156</v>
      </c>
      <c r="W1377">
        <v>9.9445378272498663E-2</v>
      </c>
      <c r="X1377">
        <v>1.7458327435010811E-2</v>
      </c>
      <c r="Y1377">
        <v>4.1328012529839074E-3</v>
      </c>
    </row>
    <row r="1378" spans="1:25" x14ac:dyDescent="0.2">
      <c r="A1378" s="1077"/>
      <c r="B1378" s="1444">
        <v>1128</v>
      </c>
      <c r="C1378" s="1081">
        <v>0.9853757997734135</v>
      </c>
      <c r="D1378" s="1081">
        <v>1.0153323118486324</v>
      </c>
      <c r="E1378" s="1081">
        <v>0.99816232718850151</v>
      </c>
      <c r="F1378" s="1081">
        <v>0.98246701546607174</v>
      </c>
      <c r="G1378" s="1081">
        <v>0.99225183717976018</v>
      </c>
      <c r="H1378" s="1081">
        <v>1.0220068763533612</v>
      </c>
      <c r="I1378" s="1081">
        <v>1.021805326242333</v>
      </c>
      <c r="K1378">
        <v>2.4075603329518711</v>
      </c>
      <c r="L1378">
        <v>0</v>
      </c>
      <c r="M1378">
        <v>1.7036520308778484E-3</v>
      </c>
      <c r="N1378">
        <v>0.15423293733118268</v>
      </c>
      <c r="O1378">
        <v>2.1224641543501063E-2</v>
      </c>
      <c r="P1378">
        <v>2.8288317858144233E-2</v>
      </c>
      <c r="Q1378">
        <v>5.5438045043466827E-3</v>
      </c>
      <c r="R1378">
        <v>1.6816484534513362E-3</v>
      </c>
      <c r="S1378">
        <v>0.26806880895474516</v>
      </c>
      <c r="T1378">
        <v>1.3475506395848336</v>
      </c>
      <c r="U1378">
        <v>0.21511295923978618</v>
      </c>
      <c r="V1378">
        <v>0.24514045136602106</v>
      </c>
      <c r="W1378">
        <v>0.10143135960984971</v>
      </c>
      <c r="X1378">
        <v>1.6411523801856596E-2</v>
      </c>
      <c r="Y1378">
        <v>4.5768927350308443E-3</v>
      </c>
    </row>
    <row r="1379" spans="1:25" x14ac:dyDescent="0.2">
      <c r="A1379" s="1077"/>
      <c r="B1379" s="1444">
        <v>1129</v>
      </c>
      <c r="C1379" s="1081">
        <v>1.0043659978335449</v>
      </c>
      <c r="D1379" s="1081">
        <v>0.99754813406981924</v>
      </c>
      <c r="E1379" s="1081">
        <v>1.023983553596123</v>
      </c>
      <c r="F1379" s="1081">
        <v>1.0057198803275296</v>
      </c>
      <c r="G1379" s="1081">
        <v>0.98555404529615886</v>
      </c>
      <c r="H1379" s="1081">
        <v>1.0361367149886052</v>
      </c>
      <c r="I1379" s="1081">
        <v>0.98377932927567935</v>
      </c>
      <c r="K1379">
        <v>2.4280244639413588</v>
      </c>
      <c r="L1379">
        <v>0</v>
      </c>
      <c r="M1379">
        <v>1.6122838994363884E-3</v>
      </c>
      <c r="N1379">
        <v>0.15782204761140065</v>
      </c>
      <c r="O1379">
        <v>2.0921544274531075E-2</v>
      </c>
      <c r="P1379">
        <v>2.9038325841086416E-2</v>
      </c>
      <c r="Q1379">
        <v>5.6074415084685887E-3</v>
      </c>
      <c r="R1379">
        <v>1.5917443613522033E-3</v>
      </c>
      <c r="S1379">
        <v>0.25683867415490286</v>
      </c>
      <c r="T1379">
        <v>1.3800071349826786</v>
      </c>
      <c r="U1379">
        <v>0.2111337079391773</v>
      </c>
      <c r="V1379">
        <v>0.24270960960517884</v>
      </c>
      <c r="W1379">
        <v>0.10222464173631676</v>
      </c>
      <c r="X1379">
        <v>1.7409672392489108E-2</v>
      </c>
      <c r="Y1379">
        <v>4.3322034332129982E-3</v>
      </c>
    </row>
    <row r="1380" spans="1:25" x14ac:dyDescent="0.2">
      <c r="A1380" s="1077"/>
      <c r="B1380" s="1444">
        <v>1130</v>
      </c>
      <c r="C1380" s="1081">
        <v>1.0286361280321104</v>
      </c>
      <c r="D1380" s="1081">
        <v>0.99001143133027381</v>
      </c>
      <c r="E1380" s="1081">
        <v>1.0228339963186659</v>
      </c>
      <c r="F1380" s="1081">
        <v>0.95466213337341477</v>
      </c>
      <c r="G1380" s="1081">
        <v>0.99285388173951328</v>
      </c>
      <c r="H1380" s="1081">
        <v>1.0269314210261917</v>
      </c>
      <c r="I1380" s="1081">
        <v>1.002544491843997</v>
      </c>
      <c r="K1380">
        <v>2.3410658244069875</v>
      </c>
      <c r="L1380">
        <v>0</v>
      </c>
      <c r="M1380">
        <v>1.5666068587320257E-3</v>
      </c>
      <c r="N1380">
        <v>0.15280240907254605</v>
      </c>
      <c r="O1380">
        <v>2.0461277038779591E-2</v>
      </c>
      <c r="P1380">
        <v>2.7954124450407541E-2</v>
      </c>
      <c r="Q1380">
        <v>5.4778275647626318E-3</v>
      </c>
      <c r="R1380">
        <v>1.5464703210188574E-3</v>
      </c>
      <c r="S1380">
        <v>0.25575505062328829</v>
      </c>
      <c r="T1380">
        <v>1.3099239662461664</v>
      </c>
      <c r="U1380">
        <v>0.20614828512340738</v>
      </c>
      <c r="V1380">
        <v>0.24249307543494683</v>
      </c>
      <c r="W1380">
        <v>9.9039725714692828E-2</v>
      </c>
      <c r="X1380">
        <v>1.6821237255693809E-2</v>
      </c>
      <c r="Y1380">
        <v>4.2089824200090163E-3</v>
      </c>
    </row>
    <row r="1381" spans="1:25" x14ac:dyDescent="0.2">
      <c r="A1381" s="1077"/>
      <c r="B1381" s="1444">
        <v>1131</v>
      </c>
      <c r="C1381" s="1081">
        <v>0.99584133420671506</v>
      </c>
      <c r="D1381" s="1081">
        <v>0.97258394236603241</v>
      </c>
      <c r="E1381" s="1081">
        <v>0.99784943833713269</v>
      </c>
      <c r="F1381" s="1081">
        <v>1.0352302322470619</v>
      </c>
      <c r="G1381" s="1081">
        <v>1.0035458126167971</v>
      </c>
      <c r="H1381" s="1081">
        <v>1.0076024053570722</v>
      </c>
      <c r="I1381" s="1081">
        <v>0.97075308238938285</v>
      </c>
      <c r="K1381">
        <v>2.4640955311717425</v>
      </c>
      <c r="L1381">
        <v>0</v>
      </c>
      <c r="M1381">
        <v>1.6788799514605381E-3</v>
      </c>
      <c r="N1381">
        <v>0.15181826805505241</v>
      </c>
      <c r="O1381">
        <v>2.1201063959689636E-2</v>
      </c>
      <c r="P1381">
        <v>2.9093201146534679E-2</v>
      </c>
      <c r="Q1381">
        <v>5.535902828384405E-3</v>
      </c>
      <c r="R1381">
        <v>1.6568863340621904E-3</v>
      </c>
      <c r="S1381">
        <v>0.25626872352232571</v>
      </c>
      <c r="T1381">
        <v>1.4199136047962229</v>
      </c>
      <c r="U1381">
        <v>0.21285121211511204</v>
      </c>
      <c r="V1381">
        <v>0.24640493994348109</v>
      </c>
      <c r="W1381">
        <v>9.9861949550418896E-2</v>
      </c>
      <c r="X1381">
        <v>1.6659160463035089E-2</v>
      </c>
      <c r="Y1381">
        <v>4.5094984088840506E-3</v>
      </c>
    </row>
    <row r="1382" spans="1:25" x14ac:dyDescent="0.2">
      <c r="A1382" s="1077"/>
      <c r="B1382" s="1444">
        <v>1132</v>
      </c>
      <c r="C1382" s="1081">
        <v>1.0136378331229732</v>
      </c>
      <c r="D1382" s="1081">
        <v>1.0184811677412773</v>
      </c>
      <c r="E1382" s="1081">
        <v>0.9934954998815666</v>
      </c>
      <c r="F1382" s="1081">
        <v>1.0258841442423023</v>
      </c>
      <c r="G1382" s="1081">
        <v>0.99312018885641284</v>
      </c>
      <c r="H1382" s="1081">
        <v>1.0084818075598188</v>
      </c>
      <c r="I1382" s="1081">
        <v>0.97512183112830675</v>
      </c>
      <c r="K1382">
        <v>2.4262019989279966</v>
      </c>
      <c r="L1382">
        <v>0</v>
      </c>
      <c r="M1382">
        <v>1.6489967457548917E-3</v>
      </c>
      <c r="N1382">
        <v>0.14716841360501048</v>
      </c>
      <c r="O1382">
        <v>2.0615768339882972E-2</v>
      </c>
      <c r="P1382">
        <v>2.8609735670962685E-2</v>
      </c>
      <c r="Q1382">
        <v>5.3595099501125521E-3</v>
      </c>
      <c r="R1382">
        <v>1.6274134407117317E-3</v>
      </c>
      <c r="S1382">
        <v>0.24716781971437429</v>
      </c>
      <c r="T1382">
        <v>1.4069980633653407</v>
      </c>
      <c r="U1382">
        <v>0.20909949836653299</v>
      </c>
      <c r="V1382">
        <v>0.2435400356482296</v>
      </c>
      <c r="W1382">
        <v>9.7055087832218029E-2</v>
      </c>
      <c r="X1382">
        <v>1.6180366831454521E-2</v>
      </c>
      <c r="Y1382">
        <v>4.4292829089207838E-3</v>
      </c>
    </row>
    <row r="1383" spans="1:25" x14ac:dyDescent="0.2">
      <c r="A1383" s="1077"/>
      <c r="B1383" s="1444">
        <v>1133</v>
      </c>
      <c r="C1383" s="1081">
        <v>0.99647938255887525</v>
      </c>
      <c r="D1383" s="1081">
        <v>0.99575199661624758</v>
      </c>
      <c r="E1383" s="1081">
        <v>1.0137313323865365</v>
      </c>
      <c r="F1383" s="1081">
        <v>0.98588733006973195</v>
      </c>
      <c r="G1383" s="1081">
        <v>0.99097634103735632</v>
      </c>
      <c r="H1383" s="1081">
        <v>0.97062663300687979</v>
      </c>
      <c r="I1383" s="1081">
        <v>0.97414580680352492</v>
      </c>
      <c r="K1383">
        <v>2.3802502949082931</v>
      </c>
      <c r="L1383">
        <v>0</v>
      </c>
      <c r="M1383">
        <v>1.5557329199646262E-3</v>
      </c>
      <c r="N1383">
        <v>0.14751952216418107</v>
      </c>
      <c r="O1383">
        <v>2.1088635326860561E-2</v>
      </c>
      <c r="P1383">
        <v>2.8405237607608422E-2</v>
      </c>
      <c r="Q1383">
        <v>5.594873712132878E-3</v>
      </c>
      <c r="R1383">
        <v>1.5345761649907029E-3</v>
      </c>
      <c r="S1383">
        <v>0.25102801950749282</v>
      </c>
      <c r="T1383">
        <v>1.3525743111888757</v>
      </c>
      <c r="U1383">
        <v>0.21276945159485555</v>
      </c>
      <c r="V1383">
        <v>0.24416236543389916</v>
      </c>
      <c r="W1383">
        <v>9.6126849713482121E-2</v>
      </c>
      <c r="X1383">
        <v>1.6825574965668465E-2</v>
      </c>
      <c r="Y1383">
        <v>4.1766104482078605E-3</v>
      </c>
    </row>
    <row r="1384" spans="1:25" x14ac:dyDescent="0.2">
      <c r="A1384" s="1077"/>
      <c r="B1384" s="1444">
        <v>1134</v>
      </c>
      <c r="C1384" s="1081">
        <v>0.97641596054034807</v>
      </c>
      <c r="D1384" s="1081">
        <v>1.041275798474989</v>
      </c>
      <c r="E1384" s="1081">
        <v>1.0077331150419357</v>
      </c>
      <c r="F1384" s="1081">
        <v>1.0059489685140208</v>
      </c>
      <c r="G1384" s="1081">
        <v>1.0129649251401343</v>
      </c>
      <c r="H1384" s="1081">
        <v>1.0191920906481216</v>
      </c>
      <c r="I1384" s="1081">
        <v>0.9949340489965639</v>
      </c>
      <c r="K1384">
        <v>2.4411578942252432</v>
      </c>
      <c r="L1384">
        <v>0</v>
      </c>
      <c r="M1384">
        <v>1.6715278264620977E-3</v>
      </c>
      <c r="N1384">
        <v>0.15575759649315846</v>
      </c>
      <c r="O1384">
        <v>2.1307290270981147E-2</v>
      </c>
      <c r="P1384">
        <v>2.8907748681523987E-2</v>
      </c>
      <c r="Q1384">
        <v>5.6191035073669231E-3</v>
      </c>
      <c r="R1384">
        <v>1.649879527118873E-3</v>
      </c>
      <c r="S1384">
        <v>0.25998052226102564</v>
      </c>
      <c r="T1384">
        <v>1.379966813608839</v>
      </c>
      <c r="U1384">
        <v>0.21712041078337435</v>
      </c>
      <c r="V1384">
        <v>0.2492243023877698</v>
      </c>
      <c r="W1384">
        <v>0.10185437017423059</v>
      </c>
      <c r="X1384">
        <v>1.6950956166135501E-2</v>
      </c>
      <c r="Y1384">
        <v>4.4904281901776292E-3</v>
      </c>
    </row>
    <row r="1385" spans="1:25" x14ac:dyDescent="0.2">
      <c r="A1385" s="1077"/>
      <c r="B1385" s="1444">
        <v>1135</v>
      </c>
      <c r="C1385" s="1081">
        <v>1.0236325031878664</v>
      </c>
      <c r="D1385" s="1081">
        <v>1.016736474937642</v>
      </c>
      <c r="E1385" s="1081">
        <v>0.99180640436680079</v>
      </c>
      <c r="F1385" s="1081">
        <v>1.0196015758365207</v>
      </c>
      <c r="G1385" s="1081">
        <v>1.0211067230158097</v>
      </c>
      <c r="H1385" s="1081">
        <v>0.95287658312929002</v>
      </c>
      <c r="I1385" s="1081">
        <v>1.0217471008237402</v>
      </c>
      <c r="K1385">
        <v>2.4076337839372033</v>
      </c>
      <c r="L1385">
        <v>0</v>
      </c>
      <c r="M1385">
        <v>1.5488552617501708E-3</v>
      </c>
      <c r="N1385">
        <v>0.13742063447488281</v>
      </c>
      <c r="O1385">
        <v>2.0421089267583483E-2</v>
      </c>
      <c r="P1385">
        <v>2.855010658334086E-2</v>
      </c>
      <c r="Q1385">
        <v>5.2998562162655414E-3</v>
      </c>
      <c r="R1385">
        <v>1.5273996748132001E-3</v>
      </c>
      <c r="S1385">
        <v>0.25195972061113425</v>
      </c>
      <c r="T1385">
        <v>1.3983443405913409</v>
      </c>
      <c r="U1385">
        <v>0.20705223286534138</v>
      </c>
      <c r="V1385">
        <v>0.24772556159109299</v>
      </c>
      <c r="W1385">
        <v>9.0718148408465232E-2</v>
      </c>
      <c r="X1385">
        <v>1.6006470507020011E-2</v>
      </c>
      <c r="Y1385">
        <v>4.1570784076740488E-3</v>
      </c>
    </row>
    <row r="1386" spans="1:25" x14ac:dyDescent="0.2">
      <c r="A1386" s="1077"/>
      <c r="B1386" s="1444">
        <v>1136</v>
      </c>
      <c r="C1386" s="1081">
        <v>1.0237323999494869</v>
      </c>
      <c r="D1386" s="1081">
        <v>0.97741589621620173</v>
      </c>
      <c r="E1386" s="1081">
        <v>0.97755111715367538</v>
      </c>
      <c r="F1386" s="1081">
        <v>0.96535450679096035</v>
      </c>
      <c r="G1386" s="1081">
        <v>0.97144807572780989</v>
      </c>
      <c r="H1386" s="1081">
        <v>1.0314205594828474</v>
      </c>
      <c r="I1386" s="1081">
        <v>1.0215263248043231</v>
      </c>
      <c r="K1386">
        <v>2.3533090007754671</v>
      </c>
      <c r="L1386">
        <v>0</v>
      </c>
      <c r="M1386">
        <v>1.7415948188302598E-3</v>
      </c>
      <c r="N1386">
        <v>0.14815870082900506</v>
      </c>
      <c r="O1386">
        <v>2.05877789456664E-2</v>
      </c>
      <c r="P1386">
        <v>2.7283251855004322E-2</v>
      </c>
      <c r="Q1386">
        <v>5.2664564184413598E-3</v>
      </c>
      <c r="R1386">
        <v>1.7193064873351539E-3</v>
      </c>
      <c r="S1386">
        <v>0.26353451313925819</v>
      </c>
      <c r="T1386">
        <v>1.3236498729395254</v>
      </c>
      <c r="U1386">
        <v>0.20698454690310636</v>
      </c>
      <c r="V1386">
        <v>0.23928765182569139</v>
      </c>
      <c r="W1386">
        <v>9.8649263765515138E-2</v>
      </c>
      <c r="X1386">
        <v>1.524986699644991E-2</v>
      </c>
      <c r="Y1386">
        <v>4.6793854892950622E-3</v>
      </c>
    </row>
    <row r="1387" spans="1:25" x14ac:dyDescent="0.2">
      <c r="A1387" s="1077"/>
      <c r="B1387" s="1444">
        <v>1137</v>
      </c>
      <c r="C1387" s="1081">
        <v>1.003191868998609</v>
      </c>
      <c r="D1387" s="1081">
        <v>1.0036325092576088</v>
      </c>
      <c r="E1387" s="1081">
        <v>1.0175798978112589</v>
      </c>
      <c r="F1387" s="1081">
        <v>0.9909226953244018</v>
      </c>
      <c r="G1387" s="1081">
        <v>0.95131539242372043</v>
      </c>
      <c r="H1387" s="1081">
        <v>0.99664618458564735</v>
      </c>
      <c r="I1387" s="1081">
        <v>1.0078904089087901</v>
      </c>
      <c r="K1387">
        <v>2.3921828688566218</v>
      </c>
      <c r="L1387">
        <v>0</v>
      </c>
      <c r="M1387">
        <v>1.5713742259526376E-3</v>
      </c>
      <c r="N1387">
        <v>0.150797541329977</v>
      </c>
      <c r="O1387">
        <v>2.0913781831808115E-2</v>
      </c>
      <c r="P1387">
        <v>2.857655761511866E-2</v>
      </c>
      <c r="Q1387">
        <v>5.5698049697874511E-3</v>
      </c>
      <c r="R1387">
        <v>1.5505626563717119E-3</v>
      </c>
      <c r="S1387">
        <v>0.25921823362367508</v>
      </c>
      <c r="T1387">
        <v>1.3595652476376259</v>
      </c>
      <c r="U1387">
        <v>0.21135892866241124</v>
      </c>
      <c r="V1387">
        <v>0.23696027193710992</v>
      </c>
      <c r="W1387">
        <v>9.8041119463274887E-2</v>
      </c>
      <c r="X1387">
        <v>1.6982072947613645E-2</v>
      </c>
      <c r="Y1387">
        <v>4.2201204078015E-3</v>
      </c>
    </row>
    <row r="1388" spans="1:25" x14ac:dyDescent="0.2">
      <c r="A1388" s="1077"/>
      <c r="B1388" s="1444">
        <v>1138</v>
      </c>
      <c r="C1388" s="1081">
        <v>0.98492818342634159</v>
      </c>
      <c r="D1388" s="1081">
        <v>0.9990723839234259</v>
      </c>
      <c r="E1388" s="1081">
        <v>0.99273483230384163</v>
      </c>
      <c r="F1388" s="1081">
        <v>0.99701981062156642</v>
      </c>
      <c r="G1388" s="1081">
        <v>0.95718206824795393</v>
      </c>
      <c r="H1388" s="1081">
        <v>0.9696219242523163</v>
      </c>
      <c r="I1388" s="1081">
        <v>1.001112085569881</v>
      </c>
      <c r="K1388">
        <v>2.4002058241844377</v>
      </c>
      <c r="L1388">
        <v>0</v>
      </c>
      <c r="M1388">
        <v>1.6411763664659572E-3</v>
      </c>
      <c r="N1388">
        <v>0.14605640007125234</v>
      </c>
      <c r="O1388">
        <v>2.1306183573830489E-2</v>
      </c>
      <c r="P1388">
        <v>2.8258044919494116E-2</v>
      </c>
      <c r="Q1388">
        <v>5.534748447129598E-3</v>
      </c>
      <c r="R1388">
        <v>1.6188345208786687E-3</v>
      </c>
      <c r="S1388">
        <v>0.26030516414019739</v>
      </c>
      <c r="T1388">
        <v>1.3673943072458996</v>
      </c>
      <c r="U1388">
        <v>0.2151918979349336</v>
      </c>
      <c r="V1388">
        <v>0.23919835491906924</v>
      </c>
      <c r="W1388">
        <v>9.6365528088427452E-2</v>
      </c>
      <c r="X1388">
        <v>1.6211602772615262E-2</v>
      </c>
      <c r="Y1388">
        <v>4.4059339171753495E-3</v>
      </c>
    </row>
    <row r="1389" spans="1:25" x14ac:dyDescent="0.2">
      <c r="A1389" s="1077"/>
      <c r="B1389" s="1444">
        <v>1139</v>
      </c>
      <c r="C1389" s="1081">
        <v>1.0152291433142866</v>
      </c>
      <c r="D1389" s="1081">
        <v>0.99528236969452522</v>
      </c>
      <c r="E1389" s="1081">
        <v>0.9937672382669922</v>
      </c>
      <c r="F1389" s="1081">
        <v>1.026105523043441</v>
      </c>
      <c r="G1389" s="1081">
        <v>1.0432748424847236</v>
      </c>
      <c r="H1389" s="1081">
        <v>0.97439751753740145</v>
      </c>
      <c r="I1389" s="1081">
        <v>0.99167241454186028</v>
      </c>
      <c r="K1389">
        <v>2.4312228854252771</v>
      </c>
      <c r="L1389">
        <v>0</v>
      </c>
      <c r="M1389">
        <v>1.597951345829907E-3</v>
      </c>
      <c r="N1389">
        <v>0.1426637230254649</v>
      </c>
      <c r="O1389">
        <v>2.0688236036645272E-2</v>
      </c>
      <c r="P1389">
        <v>2.8782910632574706E-2</v>
      </c>
      <c r="Q1389">
        <v>5.3798239452982352E-3</v>
      </c>
      <c r="R1389">
        <v>1.5763045509740487E-3</v>
      </c>
      <c r="S1389">
        <v>0.25103976097363023</v>
      </c>
      <c r="T1389">
        <v>1.4073077068186111</v>
      </c>
      <c r="U1389">
        <v>0.20877266157904184</v>
      </c>
      <c r="V1389">
        <v>0.25200905381356659</v>
      </c>
      <c r="W1389">
        <v>9.406904971016751E-2</v>
      </c>
      <c r="X1389">
        <v>1.6241424326032389E-2</v>
      </c>
      <c r="Y1389">
        <v>4.2901813590957849E-3</v>
      </c>
    </row>
    <row r="1390" spans="1:25" x14ac:dyDescent="0.2">
      <c r="A1390" s="1077"/>
      <c r="B1390" s="1444">
        <v>1140</v>
      </c>
      <c r="C1390" s="1081">
        <v>0.98851067740200549</v>
      </c>
      <c r="D1390" s="1081">
        <v>0.98012633905941293</v>
      </c>
      <c r="E1390" s="1081">
        <v>0.95418876228207306</v>
      </c>
      <c r="F1390" s="1081">
        <v>0.99193562189664697</v>
      </c>
      <c r="G1390" s="1081">
        <v>0.99213836353369411</v>
      </c>
      <c r="H1390" s="1081">
        <v>0.98734100531682911</v>
      </c>
      <c r="I1390" s="1081">
        <v>1.0362860533555895</v>
      </c>
      <c r="K1390">
        <v>2.4054512848395917</v>
      </c>
      <c r="L1390">
        <v>0</v>
      </c>
      <c r="M1390">
        <v>1.8107195780321858E-3</v>
      </c>
      <c r="N1390">
        <v>0.14343300148409402</v>
      </c>
      <c r="O1390">
        <v>2.1292691848966806E-2</v>
      </c>
      <c r="P1390">
        <v>2.7559829617674492E-2</v>
      </c>
      <c r="Q1390">
        <v>5.3179639632594655E-3</v>
      </c>
      <c r="R1390">
        <v>1.7865120612481941E-3</v>
      </c>
      <c r="S1390">
        <v>0.27233849964233497</v>
      </c>
      <c r="T1390">
        <v>1.3595990585218092</v>
      </c>
      <c r="U1390">
        <v>0.21427929960685113</v>
      </c>
      <c r="V1390">
        <v>0.24507954459606315</v>
      </c>
      <c r="W1390">
        <v>9.6874943093339827E-2</v>
      </c>
      <c r="X1390">
        <v>1.4838363074806727E-2</v>
      </c>
      <c r="Y1390">
        <v>4.8622969071748703E-3</v>
      </c>
    </row>
    <row r="1391" spans="1:25" x14ac:dyDescent="0.2">
      <c r="A1391" s="1077"/>
      <c r="B1391" s="1444">
        <v>1141</v>
      </c>
      <c r="C1391" s="1081">
        <v>1.015225691052636</v>
      </c>
      <c r="D1391" s="1081">
        <v>1.0080335556512718</v>
      </c>
      <c r="E1391" s="1081">
        <v>1.0230969138906301</v>
      </c>
      <c r="F1391" s="1081">
        <v>1.0105893127618994</v>
      </c>
      <c r="G1391" s="1081">
        <v>0.98151972209208227</v>
      </c>
      <c r="H1391" s="1081">
        <v>0.95514272285394841</v>
      </c>
      <c r="I1391" s="1081">
        <v>0.98760566132930605</v>
      </c>
      <c r="K1391">
        <v>2.3963024255611707</v>
      </c>
      <c r="L1391">
        <v>0</v>
      </c>
      <c r="M1391">
        <v>1.4696864548088637E-3</v>
      </c>
      <c r="N1391">
        <v>0.14332238543150388</v>
      </c>
      <c r="O1391">
        <v>2.0649611219766467E-2</v>
      </c>
      <c r="P1391">
        <v>2.8926055131163451E-2</v>
      </c>
      <c r="Q1391">
        <v>5.5296905830439849E-3</v>
      </c>
      <c r="R1391">
        <v>1.4493758601588373E-3</v>
      </c>
      <c r="S1391">
        <v>0.24705442489229332</v>
      </c>
      <c r="T1391">
        <v>1.3866692994015712</v>
      </c>
      <c r="U1391">
        <v>0.20887225129567963</v>
      </c>
      <c r="V1391">
        <v>0.24135938710245194</v>
      </c>
      <c r="W1391">
        <v>9.2880941167767864E-2</v>
      </c>
      <c r="X1391">
        <v>1.7113966625851209E-2</v>
      </c>
      <c r="Y1391">
        <v>3.944723304728461E-3</v>
      </c>
    </row>
    <row r="1392" spans="1:25" x14ac:dyDescent="0.2">
      <c r="A1392" s="1077"/>
      <c r="B1392" s="1444">
        <v>1142</v>
      </c>
      <c r="C1392" s="1081">
        <v>0.996337201430334</v>
      </c>
      <c r="D1392" s="1081">
        <v>0.97507213130319825</v>
      </c>
      <c r="E1392" s="1081">
        <v>0.97734592686846178</v>
      </c>
      <c r="F1392" s="1081">
        <v>1.0021733330361533</v>
      </c>
      <c r="G1392" s="1081">
        <v>1.0077713888999571</v>
      </c>
      <c r="H1392" s="1081">
        <v>0.99627164146469427</v>
      </c>
      <c r="I1392" s="1081">
        <v>1.0161297673739449</v>
      </c>
      <c r="K1392">
        <v>2.4205994410855576</v>
      </c>
      <c r="L1392">
        <v>0</v>
      </c>
      <c r="M1392">
        <v>1.7301461302737732E-3</v>
      </c>
      <c r="N1392">
        <v>0.14702611175267327</v>
      </c>
      <c r="O1392">
        <v>2.1164897639140253E-2</v>
      </c>
      <c r="P1392">
        <v>2.8179493446099647E-2</v>
      </c>
      <c r="Q1392">
        <v>5.412955634019047E-3</v>
      </c>
      <c r="R1392">
        <v>1.7072231418186127E-3</v>
      </c>
      <c r="S1392">
        <v>0.26660843094751446</v>
      </c>
      <c r="T1392">
        <v>1.3741297338528662</v>
      </c>
      <c r="U1392">
        <v>0.2126750740725202</v>
      </c>
      <c r="V1392">
        <v>0.24717051817280783</v>
      </c>
      <c r="W1392">
        <v>9.7907300597153829E-2</v>
      </c>
      <c r="X1392">
        <v>1.5701349353141644E-2</v>
      </c>
      <c r="Y1392">
        <v>4.6464986060728176E-3</v>
      </c>
    </row>
    <row r="1393" spans="1:25" x14ac:dyDescent="0.2">
      <c r="A1393" s="1077"/>
      <c r="B1393" s="1444">
        <v>1143</v>
      </c>
      <c r="C1393" s="1081">
        <v>1.0235054160111894</v>
      </c>
      <c r="D1393" s="1081">
        <v>1.0083583774295786</v>
      </c>
      <c r="E1393" s="1081">
        <v>0.98616033918786694</v>
      </c>
      <c r="F1393" s="1081">
        <v>0.997018447972286</v>
      </c>
      <c r="G1393" s="1081">
        <v>1.0300568992722898</v>
      </c>
      <c r="H1393" s="1081">
        <v>0.97871717748048248</v>
      </c>
      <c r="I1393" s="1081">
        <v>0.96980040865636485</v>
      </c>
      <c r="K1393">
        <v>2.3733230760870083</v>
      </c>
      <c r="L1393">
        <v>0</v>
      </c>
      <c r="M1393">
        <v>1.6126994473312586E-3</v>
      </c>
      <c r="N1393">
        <v>0.14071532773476125</v>
      </c>
      <c r="O1393">
        <v>2.0457188931182042E-2</v>
      </c>
      <c r="P1393">
        <v>2.7898586043267573E-2</v>
      </c>
      <c r="Q1393">
        <v>5.2789954396749742E-3</v>
      </c>
      <c r="R1393">
        <v>1.5909492878954856E-3</v>
      </c>
      <c r="S1393">
        <v>0.24221354354054433</v>
      </c>
      <c r="T1393">
        <v>1.3672509725969442</v>
      </c>
      <c r="U1393">
        <v>0.20705911891126397</v>
      </c>
      <c r="V1393">
        <v>0.2492833249374608</v>
      </c>
      <c r="W1393">
        <v>9.3208119969674347E-2</v>
      </c>
      <c r="X1393">
        <v>1.5649608636309941E-2</v>
      </c>
      <c r="Y1393">
        <v>4.3300395053597071E-3</v>
      </c>
    </row>
    <row r="1394" spans="1:25" x14ac:dyDescent="0.2">
      <c r="A1394" s="1077"/>
      <c r="B1394" s="1444">
        <v>1144</v>
      </c>
      <c r="C1394" s="1081">
        <v>0.99302324837208711</v>
      </c>
      <c r="D1394" s="1081">
        <v>0.99090744155854105</v>
      </c>
      <c r="E1394" s="1081">
        <v>1.0031786510506098</v>
      </c>
      <c r="F1394" s="1081">
        <v>1.0155376133450429</v>
      </c>
      <c r="G1394" s="1081">
        <v>1.0229937449279976</v>
      </c>
      <c r="H1394" s="1081">
        <v>0.9818612787208586</v>
      </c>
      <c r="I1394" s="1081">
        <v>0.96691686509420827</v>
      </c>
      <c r="K1394">
        <v>2.4302420499476289</v>
      </c>
      <c r="L1394">
        <v>0</v>
      </c>
      <c r="M1394">
        <v>1.6159456082918441E-3</v>
      </c>
      <c r="N1394">
        <v>0.14844724698095968</v>
      </c>
      <c r="O1394">
        <v>2.1177674542504753E-2</v>
      </c>
      <c r="P1394">
        <v>2.8831892842657813E-2</v>
      </c>
      <c r="Q1394">
        <v>5.5594886267343923E-3</v>
      </c>
      <c r="R1394">
        <v>1.5942214567454805E-3</v>
      </c>
      <c r="S1394">
        <v>0.25149704177353455</v>
      </c>
      <c r="T1394">
        <v>1.3930204289957735</v>
      </c>
      <c r="U1394">
        <v>0.21347360533752929</v>
      </c>
      <c r="V1394">
        <v>0.24988445050669186</v>
      </c>
      <c r="W1394">
        <v>9.7335918488439907E-2</v>
      </c>
      <c r="X1394">
        <v>1.669708073404642E-2</v>
      </c>
      <c r="Y1394">
        <v>4.3389452702992234E-3</v>
      </c>
    </row>
    <row r="1395" spans="1:25" x14ac:dyDescent="0.2">
      <c r="A1395" s="1077"/>
      <c r="B1395" s="1444">
        <v>1145</v>
      </c>
      <c r="C1395" s="1081">
        <v>0.9620424935901869</v>
      </c>
      <c r="D1395" s="1081">
        <v>1.001748302127784</v>
      </c>
      <c r="E1395" s="1081">
        <v>0.98537820398287779</v>
      </c>
      <c r="F1395" s="1081">
        <v>1.0306312184418245</v>
      </c>
      <c r="G1395" s="1081">
        <v>1.0259659402197798</v>
      </c>
      <c r="H1395" s="1081">
        <v>0.99187885295268585</v>
      </c>
      <c r="I1395" s="1081">
        <v>0.98604914679249589</v>
      </c>
      <c r="K1395">
        <v>2.4801011741628152</v>
      </c>
      <c r="L1395">
        <v>0</v>
      </c>
      <c r="M1395">
        <v>1.7441432690080926E-3</v>
      </c>
      <c r="N1395">
        <v>0.15185237621898803</v>
      </c>
      <c r="O1395">
        <v>2.1795132223487314E-2</v>
      </c>
      <c r="P1395">
        <v>2.9019979515394239E-2</v>
      </c>
      <c r="Q1395">
        <v>5.6197978977611963E-3</v>
      </c>
      <c r="R1395">
        <v>1.7209324885614464E-3</v>
      </c>
      <c r="S1395">
        <v>0.26401235439283238</v>
      </c>
      <c r="T1395">
        <v>1.413328115352658</v>
      </c>
      <c r="U1395">
        <v>0.2202849287853805</v>
      </c>
      <c r="V1395">
        <v>0.25248114291672213</v>
      </c>
      <c r="W1395">
        <v>0.10063246331257414</v>
      </c>
      <c r="X1395">
        <v>1.6414283398841996E-2</v>
      </c>
      <c r="Y1395">
        <v>4.6838109286218696E-3</v>
      </c>
    </row>
    <row r="1396" spans="1:25" x14ac:dyDescent="0.2">
      <c r="A1396" s="1077"/>
      <c r="B1396" s="1444">
        <v>1146</v>
      </c>
      <c r="C1396" s="1081">
        <v>0.98955903318319893</v>
      </c>
      <c r="D1396" s="1081">
        <v>1.0137025817401077</v>
      </c>
      <c r="E1396" s="1081">
        <v>0.98430750554603574</v>
      </c>
      <c r="F1396" s="1081">
        <v>0.99912995663519322</v>
      </c>
      <c r="G1396" s="1081">
        <v>0.99607886464058171</v>
      </c>
      <c r="H1396" s="1081">
        <v>1.0235515922080314</v>
      </c>
      <c r="I1396" s="1081">
        <v>1.0456448979837216</v>
      </c>
      <c r="K1396">
        <v>2.4313916546108993</v>
      </c>
      <c r="L1396">
        <v>0</v>
      </c>
      <c r="M1396">
        <v>1.7491000131396135E-3</v>
      </c>
      <c r="N1396">
        <v>0.15185492037908857</v>
      </c>
      <c r="O1396">
        <v>2.1133136214694564E-2</v>
      </c>
      <c r="P1396">
        <v>2.8364485847106231E-2</v>
      </c>
      <c r="Q1396">
        <v>5.4431937012473734E-3</v>
      </c>
      <c r="R1396">
        <v>1.7265435437619271E-3</v>
      </c>
      <c r="S1396">
        <v>0.273400303938172</v>
      </c>
      <c r="T1396">
        <v>1.3701066506671251</v>
      </c>
      <c r="U1396">
        <v>0.21415580480364907</v>
      </c>
      <c r="V1396">
        <v>0.24557605064450436</v>
      </c>
      <c r="W1396">
        <v>0.10069898231304579</v>
      </c>
      <c r="X1396">
        <v>1.5981600200450832E-2</v>
      </c>
      <c r="Y1396">
        <v>4.6990823711937297E-3</v>
      </c>
    </row>
    <row r="1397" spans="1:25" x14ac:dyDescent="0.2">
      <c r="A1397" s="1077"/>
      <c r="B1397" s="1444">
        <v>1147</v>
      </c>
      <c r="C1397" s="1081">
        <v>1.014677953777388</v>
      </c>
      <c r="D1397" s="1081">
        <v>0.98983784598417479</v>
      </c>
      <c r="E1397" s="1081">
        <v>0.99434991858287702</v>
      </c>
      <c r="F1397" s="1081">
        <v>0.99488508252424723</v>
      </c>
      <c r="G1397" s="1081">
        <v>1.0257956959047652</v>
      </c>
      <c r="H1397" s="1081">
        <v>1.0203760540687723</v>
      </c>
      <c r="I1397" s="1081">
        <v>1.0119075006179492</v>
      </c>
      <c r="K1397">
        <v>2.4070117238097546</v>
      </c>
      <c r="L1397">
        <v>0</v>
      </c>
      <c r="M1397">
        <v>1.6742610034219728E-3</v>
      </c>
      <c r="N1397">
        <v>0.14983272824535221</v>
      </c>
      <c r="O1397">
        <v>2.0724850557923426E-2</v>
      </c>
      <c r="P1397">
        <v>2.8309584105530479E-2</v>
      </c>
      <c r="Q1397">
        <v>5.3925131483045325E-3</v>
      </c>
      <c r="R1397">
        <v>1.6526024661859919E-3</v>
      </c>
      <c r="S1397">
        <v>0.26092446544773895</v>
      </c>
      <c r="T1397">
        <v>1.3645012742935081</v>
      </c>
      <c r="U1397">
        <v>0.20888803136279691</v>
      </c>
      <c r="V1397">
        <v>0.24905479778423781</v>
      </c>
      <c r="W1397">
        <v>9.8761751043613497E-2</v>
      </c>
      <c r="X1397">
        <v>1.614554722528309E-2</v>
      </c>
      <c r="Y1397">
        <v>4.4978391327017038E-3</v>
      </c>
    </row>
    <row r="1398" spans="1:25" x14ac:dyDescent="0.2">
      <c r="A1398" s="1077"/>
      <c r="B1398" s="1444">
        <v>1148</v>
      </c>
      <c r="C1398" s="1081">
        <v>0.99842985209262758</v>
      </c>
      <c r="D1398" s="1081">
        <v>1.0097084804500709</v>
      </c>
      <c r="E1398" s="1081">
        <v>0.96468787842422477</v>
      </c>
      <c r="F1398" s="1081">
        <v>0.99707309678859857</v>
      </c>
      <c r="G1398" s="1081">
        <v>0.98510954239732318</v>
      </c>
      <c r="H1398" s="1081">
        <v>1.019084584346815</v>
      </c>
      <c r="I1398" s="1081">
        <v>1.0234359509930711</v>
      </c>
      <c r="K1398">
        <v>2.4072789040413269</v>
      </c>
      <c r="L1398">
        <v>0</v>
      </c>
      <c r="M1398">
        <v>1.7989532034851847E-3</v>
      </c>
      <c r="N1398">
        <v>0.14716957907678327</v>
      </c>
      <c r="O1398">
        <v>2.0950612771872389E-2</v>
      </c>
      <c r="P1398">
        <v>2.7733383456498902E-2</v>
      </c>
      <c r="Q1398">
        <v>5.2893159642867799E-3</v>
      </c>
      <c r="R1398">
        <v>1.7756521341365345E-3</v>
      </c>
      <c r="S1398">
        <v>0.26518445297875953</v>
      </c>
      <c r="T1398">
        <v>1.3668652248772133</v>
      </c>
      <c r="U1398">
        <v>0.21218618759778518</v>
      </c>
      <c r="V1398">
        <v>0.24321262558612716</v>
      </c>
      <c r="W1398">
        <v>9.8760168286033914E-2</v>
      </c>
      <c r="X1398">
        <v>1.5117914749761104E-2</v>
      </c>
      <c r="Y1398">
        <v>4.8327397655509446E-3</v>
      </c>
    </row>
    <row r="1399" spans="1:25" x14ac:dyDescent="0.2">
      <c r="A1399" s="1077"/>
      <c r="B1399" s="1444">
        <v>1149</v>
      </c>
      <c r="C1399" s="1081">
        <v>0.96103981345685774</v>
      </c>
      <c r="D1399" s="1081">
        <v>0.98860402432837968</v>
      </c>
      <c r="E1399" s="1081">
        <v>0.9704905124406078</v>
      </c>
      <c r="F1399" s="1081">
        <v>0.96290453083732064</v>
      </c>
      <c r="G1399" s="1081">
        <v>1.0031075273447567</v>
      </c>
      <c r="H1399" s="1081">
        <v>0.97315015466938326</v>
      </c>
      <c r="I1399" s="1081">
        <v>1.0238766245803941</v>
      </c>
      <c r="K1399">
        <v>2.3848794300739247</v>
      </c>
      <c r="L1399">
        <v>0</v>
      </c>
      <c r="M1399">
        <v>1.7716721142252182E-3</v>
      </c>
      <c r="N1399">
        <v>0.14741586682747462</v>
      </c>
      <c r="O1399">
        <v>2.1871091800089504E-2</v>
      </c>
      <c r="P1399">
        <v>2.7540629493020073E-2</v>
      </c>
      <c r="Q1399">
        <v>5.554595015359199E-3</v>
      </c>
      <c r="R1399">
        <v>1.7476412321698138E-3</v>
      </c>
      <c r="S1399">
        <v>0.27442322063363861</v>
      </c>
      <c r="T1399">
        <v>1.3201443275342113</v>
      </c>
      <c r="U1399">
        <v>0.22046199412172901</v>
      </c>
      <c r="V1399">
        <v>0.24869781656919918</v>
      </c>
      <c r="W1399">
        <v>9.8576018923317563E-2</v>
      </c>
      <c r="X1399">
        <v>1.546139671375181E-2</v>
      </c>
      <c r="Y1399">
        <v>4.7565033241888819E-3</v>
      </c>
    </row>
    <row r="1400" spans="1:25" x14ac:dyDescent="0.2">
      <c r="A1400" s="1077"/>
      <c r="B1400" s="1444">
        <v>1150</v>
      </c>
      <c r="C1400" s="1081">
        <v>0.98866376732457262</v>
      </c>
      <c r="D1400" s="1081">
        <v>0.97853389656627987</v>
      </c>
      <c r="E1400" s="1081">
        <v>0.97816869239316395</v>
      </c>
      <c r="F1400" s="1081">
        <v>1.0306860333397758</v>
      </c>
      <c r="G1400" s="1081">
        <v>0.98632873076910421</v>
      </c>
      <c r="H1400" s="1081">
        <v>1.0083697254744426</v>
      </c>
      <c r="I1400" s="1081">
        <v>1.0268464384075049</v>
      </c>
      <c r="K1400">
        <v>2.4697219035133231</v>
      </c>
      <c r="L1400">
        <v>0</v>
      </c>
      <c r="M1400">
        <v>1.7603755727925536E-3</v>
      </c>
      <c r="N1400">
        <v>0.14999206738030388</v>
      </c>
      <c r="O1400">
        <v>2.1313096909657697E-2</v>
      </c>
      <c r="P1400">
        <v>2.877550788240623E-2</v>
      </c>
      <c r="Q1400">
        <v>5.455423752745059E-3</v>
      </c>
      <c r="R1400">
        <v>1.7373318971413726E-3</v>
      </c>
      <c r="S1400">
        <v>0.27210691363600131</v>
      </c>
      <c r="T1400">
        <v>1.413243173004745</v>
      </c>
      <c r="U1400">
        <v>0.21432856896532862</v>
      </c>
      <c r="V1400">
        <v>0.24398930138551239</v>
      </c>
      <c r="W1400">
        <v>9.9832685144115821E-2</v>
      </c>
      <c r="X1400">
        <v>1.5979764415442604E-2</v>
      </c>
      <c r="Y1400">
        <v>4.7284447127128428E-3</v>
      </c>
    </row>
    <row r="1401" spans="1:25" x14ac:dyDescent="0.2">
      <c r="A1401" s="1077"/>
      <c r="B1401" s="1444">
        <v>1151</v>
      </c>
      <c r="C1401" s="1081">
        <v>0.99979933561888967</v>
      </c>
      <c r="D1401" s="1081">
        <v>0.97992277947352235</v>
      </c>
      <c r="E1401" s="1081">
        <v>0.99085429808887315</v>
      </c>
      <c r="F1401" s="1081">
        <v>0.9764282940885417</v>
      </c>
      <c r="G1401" s="1081">
        <v>0.9661300743682304</v>
      </c>
      <c r="H1401" s="1081">
        <v>1.031179962626106</v>
      </c>
      <c r="I1401" s="1081">
        <v>1.0267389195982006</v>
      </c>
      <c r="K1401">
        <v>2.3919328618654956</v>
      </c>
      <c r="L1401">
        <v>0</v>
      </c>
      <c r="M1401">
        <v>1.7334849089385121E-3</v>
      </c>
      <c r="N1401">
        <v>0.15352324202480197</v>
      </c>
      <c r="O1401">
        <v>2.1077578041022907E-2</v>
      </c>
      <c r="P1401">
        <v>2.7943935765995027E-2</v>
      </c>
      <c r="Q1401">
        <v>5.464975912329615E-3</v>
      </c>
      <c r="R1401">
        <v>1.7112951891412836E-3</v>
      </c>
      <c r="S1401">
        <v>0.27096493703054281</v>
      </c>
      <c r="T1401">
        <v>1.3391137738558003</v>
      </c>
      <c r="U1401">
        <v>0.21198468314172911</v>
      </c>
      <c r="V1401">
        <v>0.23979107168960553</v>
      </c>
      <c r="W1401">
        <v>0.10140603663864169</v>
      </c>
      <c r="X1401">
        <v>1.6027236108286783E-2</v>
      </c>
      <c r="Y1401">
        <v>4.6575813765350853E-3</v>
      </c>
    </row>
    <row r="1402" spans="1:25" x14ac:dyDescent="0.2">
      <c r="A1402" s="1077"/>
      <c r="B1402" s="1444">
        <v>1152</v>
      </c>
      <c r="C1402" s="1081">
        <v>0.99095545911991956</v>
      </c>
      <c r="D1402" s="1081">
        <v>1.0345854094331339</v>
      </c>
      <c r="E1402" s="1081">
        <v>0.98473930217457595</v>
      </c>
      <c r="F1402" s="1081">
        <v>0.99378684311489618</v>
      </c>
      <c r="G1402" s="1081">
        <v>1.0384351826403364</v>
      </c>
      <c r="H1402" s="1081">
        <v>1.0399311523298114</v>
      </c>
      <c r="I1402" s="1081">
        <v>0.998590028979781</v>
      </c>
      <c r="K1402">
        <v>2.4193168881879465</v>
      </c>
      <c r="L1402">
        <v>0</v>
      </c>
      <c r="M1402">
        <v>1.7650651743854537E-3</v>
      </c>
      <c r="N1402">
        <v>0.15347284112002013</v>
      </c>
      <c r="O1402">
        <v>2.1009183240796359E-2</v>
      </c>
      <c r="P1402">
        <v>2.8179837072588833E-2</v>
      </c>
      <c r="Q1402">
        <v>5.4136369678310474E-3</v>
      </c>
      <c r="R1402">
        <v>1.7426613388240443E-3</v>
      </c>
      <c r="S1402">
        <v>0.25950401092296083</v>
      </c>
      <c r="T1402">
        <v>1.3627888920128861</v>
      </c>
      <c r="U1402">
        <v>0.21385550837167158</v>
      </c>
      <c r="V1402">
        <v>0.25272200990669208</v>
      </c>
      <c r="W1402">
        <v>0.10174543150372882</v>
      </c>
      <c r="X1402">
        <v>1.59049912082063E-2</v>
      </c>
      <c r="Y1402">
        <v>4.7429496961230964E-3</v>
      </c>
    </row>
    <row r="1403" spans="1:25" x14ac:dyDescent="0.2">
      <c r="A1403" s="1077"/>
      <c r="B1403" s="1444">
        <v>1153</v>
      </c>
      <c r="C1403" s="1081">
        <v>1.0400366879037153</v>
      </c>
      <c r="D1403" s="1081">
        <v>0.98423317213934081</v>
      </c>
      <c r="E1403" s="1081">
        <v>0.96710714012682564</v>
      </c>
      <c r="F1403" s="1081">
        <v>0.95763982378345247</v>
      </c>
      <c r="G1403" s="1081">
        <v>0.9818405507119301</v>
      </c>
      <c r="H1403" s="1081">
        <v>1.0076637574682366</v>
      </c>
      <c r="I1403" s="1081">
        <v>1.0032828869910746</v>
      </c>
      <c r="K1403">
        <v>2.31499137461264</v>
      </c>
      <c r="L1403">
        <v>0</v>
      </c>
      <c r="M1403">
        <v>1.7087089881829829E-3</v>
      </c>
      <c r="N1403">
        <v>0.140793940982822</v>
      </c>
      <c r="O1403">
        <v>2.0227409525446084E-2</v>
      </c>
      <c r="P1403">
        <v>2.6734882241167768E-2</v>
      </c>
      <c r="Q1403">
        <v>5.1194036971199224E-3</v>
      </c>
      <c r="R1403">
        <v>1.6863259681348037E-3</v>
      </c>
      <c r="S1403">
        <v>0.25184811347968644</v>
      </c>
      <c r="T1403">
        <v>1.3128567820440429</v>
      </c>
      <c r="U1403">
        <v>0.20370555176562552</v>
      </c>
      <c r="V1403">
        <v>0.24014638347015974</v>
      </c>
      <c r="W1403">
        <v>9.434223861825583E-2</v>
      </c>
      <c r="X1403">
        <v>1.4649428420306098E-2</v>
      </c>
      <c r="Y1403">
        <v>4.58962338805694E-3</v>
      </c>
    </row>
    <row r="1404" spans="1:25" x14ac:dyDescent="0.2">
      <c r="A1404" s="1077"/>
      <c r="B1404" s="1444">
        <v>1154</v>
      </c>
      <c r="C1404" s="1081">
        <v>0.99809653860181902</v>
      </c>
      <c r="D1404" s="1081">
        <v>0.9997059946669713</v>
      </c>
      <c r="E1404" s="1081">
        <v>1.0072835797682644</v>
      </c>
      <c r="F1404" s="1081">
        <v>1.0427796547687769</v>
      </c>
      <c r="G1404" s="1081">
        <v>0.99798873258536169</v>
      </c>
      <c r="H1404" s="1081">
        <v>0.99395042973899717</v>
      </c>
      <c r="I1404" s="1081">
        <v>0.99639855149829715</v>
      </c>
      <c r="K1404">
        <v>2.4710771000690746</v>
      </c>
      <c r="L1404">
        <v>0</v>
      </c>
      <c r="M1404">
        <v>1.6105811631233469E-3</v>
      </c>
      <c r="N1404">
        <v>0.14982489949408689</v>
      </c>
      <c r="O1404">
        <v>2.1031823471726475E-2</v>
      </c>
      <c r="P1404">
        <v>2.9441947189014869E-2</v>
      </c>
      <c r="Q1404">
        <v>5.5439628174065482E-3</v>
      </c>
      <c r="R1404">
        <v>1.5891924769658888E-3</v>
      </c>
      <c r="S1404">
        <v>0.25776399695930274</v>
      </c>
      <c r="T1404">
        <v>1.4304812155639555</v>
      </c>
      <c r="U1404">
        <v>0.21240259618350982</v>
      </c>
      <c r="V1404">
        <v>0.2452807255097916</v>
      </c>
      <c r="W1404">
        <v>9.8000834737195119E-2</v>
      </c>
      <c r="X1404">
        <v>1.7001228784098616E-2</v>
      </c>
      <c r="Y1404">
        <v>4.3252580451419113E-3</v>
      </c>
    </row>
    <row r="1405" spans="1:25" x14ac:dyDescent="0.2">
      <c r="A1405" s="1077"/>
      <c r="B1405" s="1444">
        <v>1155</v>
      </c>
      <c r="C1405" s="1081">
        <v>1.0176725437417125</v>
      </c>
      <c r="D1405" s="1081">
        <v>1.0068630181020428</v>
      </c>
      <c r="E1405" s="1081">
        <v>1.0214600979717097</v>
      </c>
      <c r="F1405" s="1081">
        <v>0.97744290182681981</v>
      </c>
      <c r="G1405" s="1081">
        <v>1.0028705166122964</v>
      </c>
      <c r="H1405" s="1081">
        <v>1.0326746111209717</v>
      </c>
      <c r="I1405" s="1081">
        <v>1.0277658382649424</v>
      </c>
      <c r="K1405">
        <v>2.3883846129680237</v>
      </c>
      <c r="L1405">
        <v>0</v>
      </c>
      <c r="M1405">
        <v>1.5909811769899216E-3</v>
      </c>
      <c r="N1405">
        <v>0.15454925196908234</v>
      </c>
      <c r="O1405">
        <v>2.0604158942746132E-2</v>
      </c>
      <c r="P1405">
        <v>2.8526842312148928E-2</v>
      </c>
      <c r="Q1405">
        <v>5.508559324699968E-3</v>
      </c>
      <c r="R1405">
        <v>1.5706450727134102E-3</v>
      </c>
      <c r="S1405">
        <v>0.26327464909323206</v>
      </c>
      <c r="T1405">
        <v>1.3411530524987261</v>
      </c>
      <c r="U1405">
        <v>0.20836453038712674</v>
      </c>
      <c r="V1405">
        <v>0.24486110225544211</v>
      </c>
      <c r="W1405">
        <v>0.10025236662884407</v>
      </c>
      <c r="X1405">
        <v>1.7035657535334668E-2</v>
      </c>
      <c r="Y1405">
        <v>4.2747781249168337E-3</v>
      </c>
    </row>
    <row r="1406" spans="1:25" x14ac:dyDescent="0.2">
      <c r="A1406" s="1077"/>
      <c r="B1406" s="1444">
        <v>1156</v>
      </c>
      <c r="C1406" s="1081">
        <v>0.98908026779139302</v>
      </c>
      <c r="D1406" s="1081">
        <v>0.99723456152526613</v>
      </c>
      <c r="E1406" s="1081">
        <v>1.0121885431744002</v>
      </c>
      <c r="F1406" s="1081">
        <v>0.98283699770061894</v>
      </c>
      <c r="G1406" s="1081">
        <v>1.0030484415261529</v>
      </c>
      <c r="H1406" s="1081">
        <v>0.97721718076596664</v>
      </c>
      <c r="I1406" s="1081">
        <v>0.98446878323139109</v>
      </c>
      <c r="K1406">
        <v>2.3885385888944817</v>
      </c>
      <c r="L1406">
        <v>0</v>
      </c>
      <c r="M1406">
        <v>1.5825635938089022E-3</v>
      </c>
      <c r="N1406">
        <v>0.14938040781338205</v>
      </c>
      <c r="O1406">
        <v>2.1238404269917108E-2</v>
      </c>
      <c r="P1406">
        <v>2.8439281606696565E-2</v>
      </c>
      <c r="Q1406">
        <v>5.6259388129762328E-3</v>
      </c>
      <c r="R1406">
        <v>1.5611871087635161E-3</v>
      </c>
      <c r="S1406">
        <v>0.25594045050293973</v>
      </c>
      <c r="T1406">
        <v>1.3483565709218899</v>
      </c>
      <c r="U1406">
        <v>0.21435579549032246</v>
      </c>
      <c r="V1406">
        <v>0.24669710894280164</v>
      </c>
      <c r="W1406">
        <v>9.742783033451527E-2</v>
      </c>
      <c r="X1406">
        <v>1.6849140019224981E-2</v>
      </c>
      <c r="Y1406">
        <v>4.2490366648622012E-3</v>
      </c>
    </row>
    <row r="1407" spans="1:25" x14ac:dyDescent="0.2">
      <c r="A1407" s="1077"/>
      <c r="B1407" s="1444">
        <v>1157</v>
      </c>
      <c r="C1407" s="1081">
        <v>1.0397705571519253</v>
      </c>
      <c r="D1407" s="1081">
        <v>1.0084820516331792</v>
      </c>
      <c r="E1407" s="1081">
        <v>1.0320660961164656</v>
      </c>
      <c r="F1407" s="1081">
        <v>1.0030957015300292</v>
      </c>
      <c r="G1407" s="1081">
        <v>0.95506616011623047</v>
      </c>
      <c r="H1407" s="1081">
        <v>0.95325768287548174</v>
      </c>
      <c r="I1407" s="1081">
        <v>1.0146398825966556</v>
      </c>
      <c r="K1407">
        <v>2.3705716215671266</v>
      </c>
      <c r="L1407">
        <v>0</v>
      </c>
      <c r="M1407">
        <v>1.4055146188586051E-3</v>
      </c>
      <c r="N1407">
        <v>0.14081772212391605</v>
      </c>
      <c r="O1407">
        <v>2.0165920838288536E-2</v>
      </c>
      <c r="P1407">
        <v>2.8831016500625736E-2</v>
      </c>
      <c r="Q1407">
        <v>5.4483294597070476E-3</v>
      </c>
      <c r="R1407">
        <v>1.3860524484309974E-3</v>
      </c>
      <c r="S1407">
        <v>0.24768417967633805</v>
      </c>
      <c r="T1407">
        <v>1.3765826557839687</v>
      </c>
      <c r="U1407">
        <v>0.20397121345968128</v>
      </c>
      <c r="V1407">
        <v>0.23536378695160357</v>
      </c>
      <c r="W1407">
        <v>9.0782990592053039E-2</v>
      </c>
      <c r="X1407">
        <v>1.7170890498811046E-2</v>
      </c>
      <c r="Y1407">
        <v>3.7723778525623466E-3</v>
      </c>
    </row>
    <row r="1408" spans="1:25" x14ac:dyDescent="0.2">
      <c r="A1408" s="1077"/>
      <c r="B1408" s="1444">
        <v>1158</v>
      </c>
      <c r="C1408" s="1081">
        <v>0.97709182581432319</v>
      </c>
      <c r="D1408" s="1081">
        <v>1.0207281089487856</v>
      </c>
      <c r="E1408" s="1081">
        <v>1.040804490741295</v>
      </c>
      <c r="F1408" s="1081">
        <v>0.99151882743132014</v>
      </c>
      <c r="G1408" s="1081">
        <v>1.0070308318617096</v>
      </c>
      <c r="H1408" s="1081">
        <v>1.0349734699606266</v>
      </c>
      <c r="I1408" s="1081">
        <v>0.95665066142835853</v>
      </c>
      <c r="K1408">
        <v>2.4276354783458802</v>
      </c>
      <c r="L1408">
        <v>0</v>
      </c>
      <c r="M1408">
        <v>1.5903314208016175E-3</v>
      </c>
      <c r="N1408">
        <v>0.16376678232644601</v>
      </c>
      <c r="O1408">
        <v>2.1408562606897791E-2</v>
      </c>
      <c r="P1408">
        <v>2.924221512673977E-2</v>
      </c>
      <c r="Q1408">
        <v>5.8340712913253628E-3</v>
      </c>
      <c r="R1408">
        <v>1.5700487734146345E-3</v>
      </c>
      <c r="S1408">
        <v>0.25385615123057448</v>
      </c>
      <c r="T1408">
        <v>1.360884024862167</v>
      </c>
      <c r="U1408">
        <v>0.21708634664209289</v>
      </c>
      <c r="V1408">
        <v>0.24805111443614394</v>
      </c>
      <c r="W1408">
        <v>0.1050463926280555</v>
      </c>
      <c r="X1408">
        <v>1.8206944648025209E-2</v>
      </c>
      <c r="Y1408">
        <v>4.2731551947955788E-3</v>
      </c>
    </row>
    <row r="1409" spans="1:25" x14ac:dyDescent="0.2">
      <c r="A1409" s="1077"/>
      <c r="B1409" s="1444">
        <v>1159</v>
      </c>
      <c r="C1409" s="1081">
        <v>1.021636563679863</v>
      </c>
      <c r="D1409" s="1081">
        <v>1.01072782263315</v>
      </c>
      <c r="E1409" s="1081">
        <v>1.027227419584108</v>
      </c>
      <c r="F1409" s="1081">
        <v>1.0252180429709092</v>
      </c>
      <c r="G1409" s="1081">
        <v>1.0036230852839914</v>
      </c>
      <c r="H1409" s="1081">
        <v>1.0235760199085782</v>
      </c>
      <c r="I1409" s="1081">
        <v>0.98645363057450597</v>
      </c>
      <c r="K1409">
        <v>2.4390373180645257</v>
      </c>
      <c r="L1409">
        <v>0</v>
      </c>
      <c r="M1409">
        <v>1.5507877422048931E-3</v>
      </c>
      <c r="N1409">
        <v>0.15327030409193457</v>
      </c>
      <c r="O1409">
        <v>2.0510673572587377E-2</v>
      </c>
      <c r="P1409">
        <v>2.9371305874810686E-2</v>
      </c>
      <c r="Q1409">
        <v>5.5150209861261163E-3</v>
      </c>
      <c r="R1409">
        <v>1.5307891937235123E-3</v>
      </c>
      <c r="S1409">
        <v>0.25053277967375165</v>
      </c>
      <c r="T1409">
        <v>1.4068339940893615</v>
      </c>
      <c r="U1409">
        <v>0.2075754295858982</v>
      </c>
      <c r="V1409">
        <v>0.24473120681782654</v>
      </c>
      <c r="W1409">
        <v>9.9088977324286023E-2</v>
      </c>
      <c r="X1409">
        <v>1.7461321035631288E-2</v>
      </c>
      <c r="Y1409">
        <v>4.166303560793309E-3</v>
      </c>
    </row>
    <row r="1410" spans="1:25" x14ac:dyDescent="0.2">
      <c r="A1410" s="1077"/>
      <c r="B1410" s="1444">
        <v>1160</v>
      </c>
      <c r="C1410" s="1081">
        <v>1.0083284278656117</v>
      </c>
      <c r="D1410" s="1081">
        <v>0.98875751108225263</v>
      </c>
      <c r="E1410" s="1081">
        <v>0.99996035694801277</v>
      </c>
      <c r="F1410" s="1081">
        <v>0.99228405619409576</v>
      </c>
      <c r="G1410" s="1081">
        <v>1.0155244802244243</v>
      </c>
      <c r="H1410" s="1081">
        <v>0.97872988785606918</v>
      </c>
      <c r="I1410" s="1081">
        <v>0.99821789901813696</v>
      </c>
      <c r="K1410">
        <v>2.3906831363848391</v>
      </c>
      <c r="L1410">
        <v>0</v>
      </c>
      <c r="M1410">
        <v>1.5977334318810184E-3</v>
      </c>
      <c r="N1410">
        <v>0.14534783566145495</v>
      </c>
      <c r="O1410">
        <v>2.0864067933363605E-2</v>
      </c>
      <c r="P1410">
        <v>2.8309283472743054E-2</v>
      </c>
      <c r="Q1410">
        <v>5.4594872677501023E-3</v>
      </c>
      <c r="R1410">
        <v>1.5761853959838559E-3</v>
      </c>
      <c r="S1410">
        <v>0.2556870566755865</v>
      </c>
      <c r="T1410">
        <v>1.3610542623935615</v>
      </c>
      <c r="U1410">
        <v>0.21022242711374919</v>
      </c>
      <c r="V1410">
        <v>0.24766704502239759</v>
      </c>
      <c r="W1410">
        <v>9.5485897227294211E-2</v>
      </c>
      <c r="X1410">
        <v>1.6317464594341462E-2</v>
      </c>
      <c r="Y1410">
        <v>4.2898570584919112E-3</v>
      </c>
    </row>
    <row r="1411" spans="1:25" x14ac:dyDescent="0.2">
      <c r="A1411" s="1077"/>
      <c r="B1411" s="1444">
        <v>1161</v>
      </c>
      <c r="C1411" s="1081">
        <v>0.96931596674786835</v>
      </c>
      <c r="D1411" s="1081">
        <v>1.015590280121841</v>
      </c>
      <c r="E1411" s="1081">
        <v>0.97995574101465877</v>
      </c>
      <c r="F1411" s="1081">
        <v>0.95417096499913645</v>
      </c>
      <c r="G1411" s="1081">
        <v>1.0219899621435797</v>
      </c>
      <c r="H1411" s="1081">
        <v>1.0072538703254279</v>
      </c>
      <c r="I1411" s="1081">
        <v>0.98007805957603378</v>
      </c>
      <c r="K1411">
        <v>2.3658783039983016</v>
      </c>
      <c r="L1411">
        <v>0</v>
      </c>
      <c r="M1411">
        <v>1.7723592967467544E-3</v>
      </c>
      <c r="N1411">
        <v>0.15182970096662796</v>
      </c>
      <c r="O1411">
        <v>2.1562688257355474E-2</v>
      </c>
      <c r="P1411">
        <v>2.7397506707630116E-2</v>
      </c>
      <c r="Q1411">
        <v>5.529349966829241E-3</v>
      </c>
      <c r="R1411">
        <v>1.7491330496937712E-3</v>
      </c>
      <c r="S1411">
        <v>0.25993477594974196</v>
      </c>
      <c r="T1411">
        <v>1.3083649194838034</v>
      </c>
      <c r="U1411">
        <v>0.21861290402572667</v>
      </c>
      <c r="V1411">
        <v>0.25133552381801105</v>
      </c>
      <c r="W1411">
        <v>0.10094672149100614</v>
      </c>
      <c r="X1411">
        <v>1.5626876018909743E-2</v>
      </c>
      <c r="Y1411">
        <v>4.7605635597115798E-3</v>
      </c>
    </row>
    <row r="1412" spans="1:25" x14ac:dyDescent="0.2">
      <c r="A1412" s="1077"/>
      <c r="B1412" s="1444">
        <v>1162</v>
      </c>
      <c r="C1412" s="1081">
        <v>1.0159331811348611</v>
      </c>
      <c r="D1412" s="1081">
        <v>0.9982989666662252</v>
      </c>
      <c r="E1412" s="1081">
        <v>0.99528864110953319</v>
      </c>
      <c r="F1412" s="1081">
        <v>1.001817615408261</v>
      </c>
      <c r="G1412" s="1081">
        <v>0.98689583008812942</v>
      </c>
      <c r="H1412" s="1081">
        <v>1.0026784886445683</v>
      </c>
      <c r="I1412" s="1081">
        <v>1.0191482359676045</v>
      </c>
      <c r="K1412">
        <v>2.4033947616593982</v>
      </c>
      <c r="L1412">
        <v>0</v>
      </c>
      <c r="M1412">
        <v>1.6369275610780779E-3</v>
      </c>
      <c r="N1412">
        <v>0.14687391731633304</v>
      </c>
      <c r="O1412">
        <v>2.0661132704850961E-2</v>
      </c>
      <c r="P1412">
        <v>2.8349592228031337E-2</v>
      </c>
      <c r="Q1412">
        <v>5.381023680054932E-3</v>
      </c>
      <c r="R1412">
        <v>1.6153782206670788E-3</v>
      </c>
      <c r="S1412">
        <v>0.25985004367846748</v>
      </c>
      <c r="T1412">
        <v>1.3740296758090764</v>
      </c>
      <c r="U1412">
        <v>0.20863309745073316</v>
      </c>
      <c r="V1412">
        <v>0.24233146465647024</v>
      </c>
      <c r="W1412">
        <v>9.6757240669961678E-2</v>
      </c>
      <c r="X1412">
        <v>1.6152595798461618E-2</v>
      </c>
      <c r="Y1412">
        <v>4.3965270073684599E-3</v>
      </c>
    </row>
    <row r="1413" spans="1:25" x14ac:dyDescent="0.2">
      <c r="A1413" s="1077"/>
      <c r="B1413" s="1444">
        <v>1163</v>
      </c>
      <c r="C1413" s="1081">
        <v>1.043403343702004</v>
      </c>
      <c r="D1413" s="1081">
        <v>1.0251356201467743</v>
      </c>
      <c r="E1413" s="1081">
        <v>1.0199678299725783</v>
      </c>
      <c r="F1413" s="1081">
        <v>1.0320611477365302</v>
      </c>
      <c r="G1413" s="1081">
        <v>1.0274953439804493</v>
      </c>
      <c r="H1413" s="1081">
        <v>0.9597820010239595</v>
      </c>
      <c r="I1413" s="1081">
        <v>0.98370939893419196</v>
      </c>
      <c r="K1413">
        <v>2.4094426875702055</v>
      </c>
      <c r="L1413">
        <v>0</v>
      </c>
      <c r="M1413">
        <v>1.4409873219542999E-3</v>
      </c>
      <c r="N1413">
        <v>0.13921298103136825</v>
      </c>
      <c r="O1413">
        <v>2.0015745580834306E-2</v>
      </c>
      <c r="P1413">
        <v>2.9145832959029665E-2</v>
      </c>
      <c r="Q1413">
        <v>5.3433162133457307E-3</v>
      </c>
      <c r="R1413">
        <v>1.4211695978976484E-3</v>
      </c>
      <c r="S1413">
        <v>0.23776380524459512</v>
      </c>
      <c r="T1413">
        <v>1.4160615058861061</v>
      </c>
      <c r="U1413">
        <v>0.2032212623267618</v>
      </c>
      <c r="V1413">
        <v>0.2475568256708213</v>
      </c>
      <c r="W1413">
        <v>9.0382928799239259E-2</v>
      </c>
      <c r="X1413">
        <v>1.6890346425111079E-2</v>
      </c>
      <c r="Y1413">
        <v>3.8679551570453608E-3</v>
      </c>
    </row>
    <row r="1414" spans="1:25" x14ac:dyDescent="0.2">
      <c r="A1414" s="1077"/>
      <c r="B1414" s="1444">
        <v>1164</v>
      </c>
      <c r="C1414" s="1081">
        <v>1.0398873242587976</v>
      </c>
      <c r="D1414" s="1081">
        <v>1.007711094385948</v>
      </c>
      <c r="E1414" s="1081">
        <v>1.0383036940827646</v>
      </c>
      <c r="F1414" s="1081">
        <v>1.0128495487884501</v>
      </c>
      <c r="G1414" s="1081">
        <v>0.98674436935128806</v>
      </c>
      <c r="H1414" s="1081">
        <v>1.0012610294195559</v>
      </c>
      <c r="I1414" s="1081">
        <v>0.99884583599158827</v>
      </c>
      <c r="K1414">
        <v>2.403555127916928</v>
      </c>
      <c r="L1414">
        <v>0</v>
      </c>
      <c r="M1414">
        <v>1.4572949777606323E-3</v>
      </c>
      <c r="N1414">
        <v>0.14887607748842469</v>
      </c>
      <c r="O1414">
        <v>2.0171044418727E-2</v>
      </c>
      <c r="P1414">
        <v>2.9228944337404101E-2</v>
      </c>
      <c r="Q1414">
        <v>5.4833303782196715E-3</v>
      </c>
      <c r="R1414">
        <v>1.4380832522271239E-3</v>
      </c>
      <c r="S1414">
        <v>0.2478640327215621</v>
      </c>
      <c r="T1414">
        <v>1.3901057660933689</v>
      </c>
      <c r="U1414">
        <v>0.20396892163441982</v>
      </c>
      <c r="V1414">
        <v>0.24074056968859239</v>
      </c>
      <c r="W1414">
        <v>9.5632604799024953E-2</v>
      </c>
      <c r="X1414">
        <v>1.7589059534171586E-2</v>
      </c>
      <c r="Y1414">
        <v>3.9139885485455416E-3</v>
      </c>
    </row>
    <row r="1415" spans="1:25" x14ac:dyDescent="0.2">
      <c r="A1415" s="1077"/>
      <c r="B1415" s="1444">
        <v>1165</v>
      </c>
      <c r="C1415" s="1081">
        <v>0.97958138458843946</v>
      </c>
      <c r="D1415" s="1081">
        <v>1.0048205362134734</v>
      </c>
      <c r="E1415" s="1081">
        <v>1.0134562640431879</v>
      </c>
      <c r="F1415" s="1081">
        <v>1.0416408141759124</v>
      </c>
      <c r="G1415" s="1081">
        <v>1.0170775226975082</v>
      </c>
      <c r="H1415" s="1081">
        <v>1.0134922817853189</v>
      </c>
      <c r="I1415" s="1081">
        <v>1.0119435544110045</v>
      </c>
      <c r="K1415">
        <v>2.5001799211308549</v>
      </c>
      <c r="L1415">
        <v>0</v>
      </c>
      <c r="M1415">
        <v>1.6501110943927661E-3</v>
      </c>
      <c r="N1415">
        <v>0.15643007382874577</v>
      </c>
      <c r="O1415">
        <v>2.1409487780456309E-2</v>
      </c>
      <c r="P1415">
        <v>2.9811983947536879E-2</v>
      </c>
      <c r="Q1415">
        <v>5.6784382464624937E-3</v>
      </c>
      <c r="R1415">
        <v>1.6286199789543091E-3</v>
      </c>
      <c r="S1415">
        <v>0.2678204499983704</v>
      </c>
      <c r="T1415">
        <v>1.4290583089701052</v>
      </c>
      <c r="U1415">
        <v>0.21643881036562643</v>
      </c>
      <c r="V1415">
        <v>0.24969932235741055</v>
      </c>
      <c r="W1415">
        <v>0.10194964246632841</v>
      </c>
      <c r="X1415">
        <v>1.7472327576967681E-2</v>
      </c>
      <c r="Y1415">
        <v>4.4325667082818539E-3</v>
      </c>
    </row>
    <row r="1416" spans="1:25" x14ac:dyDescent="0.2">
      <c r="A1416" s="1077"/>
      <c r="B1416" s="1444">
        <v>1166</v>
      </c>
      <c r="C1416" s="1081">
        <v>0.99438695586478176</v>
      </c>
      <c r="D1416" s="1081">
        <v>0.99489592367515189</v>
      </c>
      <c r="E1416" s="1081">
        <v>1.003665544578465</v>
      </c>
      <c r="F1416" s="1081">
        <v>1.0182683649679081</v>
      </c>
      <c r="G1416" s="1081">
        <v>1.0075170439307939</v>
      </c>
      <c r="H1416" s="1081">
        <v>1.005061072670637</v>
      </c>
      <c r="I1416" s="1081">
        <v>1.0101197211286468</v>
      </c>
      <c r="K1416">
        <v>2.4490551452730589</v>
      </c>
      <c r="L1416">
        <v>0</v>
      </c>
      <c r="M1416">
        <v>1.6487332504018751E-3</v>
      </c>
      <c r="N1416">
        <v>0.15172986852164849</v>
      </c>
      <c r="O1416">
        <v>2.1130275231296979E-2</v>
      </c>
      <c r="P1416">
        <v>2.9021516005354853E-2</v>
      </c>
      <c r="Q1416">
        <v>5.5497558622640258E-3</v>
      </c>
      <c r="R1416">
        <v>1.6270799469381143E-3</v>
      </c>
      <c r="S1416">
        <v>0.26385508055445467</v>
      </c>
      <c r="T1416">
        <v>1.3967769515333908</v>
      </c>
      <c r="U1416">
        <v>0.2131825211183471</v>
      </c>
      <c r="V1416">
        <v>0.24715378660476978</v>
      </c>
      <c r="W1416">
        <v>9.9459604199162097E-2</v>
      </c>
      <c r="X1416">
        <v>1.678906369702932E-2</v>
      </c>
      <c r="Y1416">
        <v>4.4283752488051909E-3</v>
      </c>
    </row>
    <row r="1417" spans="1:25" x14ac:dyDescent="0.2">
      <c r="A1417" s="1077"/>
      <c r="B1417" s="1444">
        <v>1167</v>
      </c>
      <c r="C1417" s="1081">
        <v>1.0175070031133855</v>
      </c>
      <c r="D1417" s="1081">
        <v>0.98186533735045134</v>
      </c>
      <c r="E1417" s="1081">
        <v>1.013427116763973</v>
      </c>
      <c r="F1417" s="1081">
        <v>1.0260516685069658</v>
      </c>
      <c r="G1417" s="1081">
        <v>0.97976912457226362</v>
      </c>
      <c r="H1417" s="1081">
        <v>1.0036778972498319</v>
      </c>
      <c r="I1417" s="1081">
        <v>1.03031946940381</v>
      </c>
      <c r="K1417">
        <v>2.4459900522113727</v>
      </c>
      <c r="L1417">
        <v>0</v>
      </c>
      <c r="M1417">
        <v>1.5813375130379877E-3</v>
      </c>
      <c r="N1417">
        <v>0.14987782786637507</v>
      </c>
      <c r="O1417">
        <v>2.0716531215602241E-2</v>
      </c>
      <c r="P1417">
        <v>2.9242224609570908E-2</v>
      </c>
      <c r="Q1417">
        <v>5.4944855930681262E-3</v>
      </c>
      <c r="R1417">
        <v>1.5605407170447936E-3</v>
      </c>
      <c r="S1417">
        <v>0.26472434332792794</v>
      </c>
      <c r="T1417">
        <v>1.4076704433991578</v>
      </c>
      <c r="U1417">
        <v>0.20837137144946058</v>
      </c>
      <c r="V1417">
        <v>0.24095601941808567</v>
      </c>
      <c r="W1417">
        <v>9.7681043715343085E-2</v>
      </c>
      <c r="X1417">
        <v>1.7029281013090078E-2</v>
      </c>
      <c r="Y1417">
        <v>4.2472773996868112E-3</v>
      </c>
    </row>
    <row r="1418" spans="1:25" x14ac:dyDescent="0.2">
      <c r="A1418" s="1077"/>
      <c r="B1418" s="1444">
        <v>1168</v>
      </c>
      <c r="C1418" s="1081">
        <v>0.99314952158400005</v>
      </c>
      <c r="D1418" s="1081">
        <v>1.0079266481676423</v>
      </c>
      <c r="E1418" s="1081">
        <v>1.0028727330939573</v>
      </c>
      <c r="F1418" s="1081">
        <v>0.98622048218633129</v>
      </c>
      <c r="G1418" s="1081">
        <v>0.99838837761556354</v>
      </c>
      <c r="H1418" s="1081">
        <v>0.98552363458552672</v>
      </c>
      <c r="I1418" s="1081">
        <v>0.99499235416339837</v>
      </c>
      <c r="K1418">
        <v>2.3902172923209886</v>
      </c>
      <c r="L1418">
        <v>0</v>
      </c>
      <c r="M1418">
        <v>1.6167283792735058E-3</v>
      </c>
      <c r="N1418">
        <v>0.14838949536503152</v>
      </c>
      <c r="O1418">
        <v>2.1095594104313071E-2</v>
      </c>
      <c r="P1418">
        <v>2.8290888007342443E-2</v>
      </c>
      <c r="Q1418">
        <v>5.5362413379251001E-3</v>
      </c>
      <c r="R1418">
        <v>1.5950744738155477E-3</v>
      </c>
      <c r="S1418">
        <v>0.25687049868719075</v>
      </c>
      <c r="T1418">
        <v>1.3527993748400993</v>
      </c>
      <c r="U1418">
        <v>0.21344540999516104</v>
      </c>
      <c r="V1418">
        <v>0.2456760379758712</v>
      </c>
      <c r="W1418">
        <v>9.7315701342230818E-2</v>
      </c>
      <c r="X1418">
        <v>1.6478437669712066E-2</v>
      </c>
      <c r="Y1418">
        <v>4.3412669015669442E-3</v>
      </c>
    </row>
    <row r="1419" spans="1:25" x14ac:dyDescent="0.2">
      <c r="A1419" s="1077"/>
      <c r="B1419" s="1444">
        <v>1169</v>
      </c>
      <c r="C1419" s="1081">
        <v>1.0019638516357889</v>
      </c>
      <c r="D1419" s="1081">
        <v>0.99892586926681959</v>
      </c>
      <c r="E1419" s="1081">
        <v>0.97331730468181821</v>
      </c>
      <c r="F1419" s="1081">
        <v>0.98369529281125578</v>
      </c>
      <c r="G1419" s="1081">
        <v>1.0122097656910178</v>
      </c>
      <c r="H1419" s="1081">
        <v>1.0335152321013559</v>
      </c>
      <c r="I1419" s="1081">
        <v>0.99990515001086488</v>
      </c>
      <c r="K1419">
        <v>2.3934072016129417</v>
      </c>
      <c r="L1419">
        <v>0</v>
      </c>
      <c r="M1419">
        <v>1.790119681295088E-3</v>
      </c>
      <c r="N1419">
        <v>0.15035168507288107</v>
      </c>
      <c r="O1419">
        <v>2.0931775937651335E-2</v>
      </c>
      <c r="P1419">
        <v>2.7665624829879179E-2</v>
      </c>
      <c r="Q1419">
        <v>5.3314021803239171E-3</v>
      </c>
      <c r="R1419">
        <v>1.7672567766992609E-3</v>
      </c>
      <c r="S1419">
        <v>0.26085386222422668</v>
      </c>
      <c r="T1419">
        <v>1.3487083001341649</v>
      </c>
      <c r="U1419">
        <v>0.2114670822873668</v>
      </c>
      <c r="V1419">
        <v>0.24759246383712974</v>
      </c>
      <c r="W1419">
        <v>0.10036661514339235</v>
      </c>
      <c r="X1419">
        <v>1.5351362500385124E-2</v>
      </c>
      <c r="Y1419">
        <v>4.8098903701355193E-3</v>
      </c>
    </row>
    <row r="1420" spans="1:25" x14ac:dyDescent="0.2">
      <c r="A1420" s="1077"/>
      <c r="B1420" s="1444">
        <v>1170</v>
      </c>
      <c r="C1420" s="1081">
        <v>0.98637004985012067</v>
      </c>
      <c r="D1420" s="1081">
        <v>0.98183064183790525</v>
      </c>
      <c r="E1420" s="1081">
        <v>1.0063289680720662</v>
      </c>
      <c r="F1420" s="1081">
        <v>0.99973797431817646</v>
      </c>
      <c r="G1420" s="1081">
        <v>1.0122212856593362</v>
      </c>
      <c r="H1420" s="1081">
        <v>0.98734365155154991</v>
      </c>
      <c r="I1420" s="1081">
        <v>0.98547359027341475</v>
      </c>
      <c r="K1420">
        <v>2.4213291948965789</v>
      </c>
      <c r="L1420">
        <v>0</v>
      </c>
      <c r="M1420">
        <v>1.6285595110115921E-3</v>
      </c>
      <c r="N1420">
        <v>0.15104765293580111</v>
      </c>
      <c r="O1420">
        <v>2.1365857881750043E-2</v>
      </c>
      <c r="P1420">
        <v>2.871663827949222E-2</v>
      </c>
      <c r="Q1420">
        <v>5.6266325189764863E-3</v>
      </c>
      <c r="R1420">
        <v>1.6067873511951148E-3</v>
      </c>
      <c r="S1420">
        <v>0.2597466177833716</v>
      </c>
      <c r="T1420">
        <v>1.3714161306365311</v>
      </c>
      <c r="U1420">
        <v>0.2149244388931757</v>
      </c>
      <c r="V1420">
        <v>0.2484574501316206</v>
      </c>
      <c r="W1420">
        <v>9.885641271081988E-2</v>
      </c>
      <c r="X1420">
        <v>1.6819989792214649E-2</v>
      </c>
      <c r="Y1420">
        <v>4.3731454926451366E-3</v>
      </c>
    </row>
    <row r="1421" spans="1:25" x14ac:dyDescent="0.2">
      <c r="A1421" s="1077"/>
      <c r="B1421" s="1444">
        <v>1171</v>
      </c>
      <c r="C1421" s="1081">
        <v>1.0052379378818228</v>
      </c>
      <c r="D1421" s="1081">
        <v>1.010979234396677</v>
      </c>
      <c r="E1421" s="1081">
        <v>0.99855797364424359</v>
      </c>
      <c r="F1421" s="1081">
        <v>1.0099106567419647</v>
      </c>
      <c r="G1421" s="1081">
        <v>1.0192050200375193</v>
      </c>
      <c r="H1421" s="1081">
        <v>1.0391522503234349</v>
      </c>
      <c r="I1421" s="1081">
        <v>0.98484879061091557</v>
      </c>
      <c r="K1421">
        <v>2.4308426198291366</v>
      </c>
      <c r="L1421">
        <v>0</v>
      </c>
      <c r="M1421">
        <v>1.6982180946178381E-3</v>
      </c>
      <c r="N1421">
        <v>0.15395813296797342</v>
      </c>
      <c r="O1421">
        <v>2.0825207273797976E-2</v>
      </c>
      <c r="P1421">
        <v>2.8622696470625007E-2</v>
      </c>
      <c r="Q1421">
        <v>5.4416392759583298E-3</v>
      </c>
      <c r="R1421">
        <v>1.6766465869369439E-3</v>
      </c>
      <c r="S1421">
        <v>0.25523832842287408</v>
      </c>
      <c r="T1421">
        <v>1.3852009458056009</v>
      </c>
      <c r="U1421">
        <v>0.21086396397169574</v>
      </c>
      <c r="V1421">
        <v>0.24849097895119743</v>
      </c>
      <c r="W1421">
        <v>0.10122679720983238</v>
      </c>
      <c r="X1421">
        <v>1.643222168401685E-2</v>
      </c>
      <c r="Y1421">
        <v>4.5632793032435205E-3</v>
      </c>
    </row>
    <row r="1422" spans="1:25" x14ac:dyDescent="0.2">
      <c r="A1422" s="1077"/>
      <c r="B1422" s="1444">
        <v>1172</v>
      </c>
      <c r="C1422" s="1081">
        <v>0.99984177342474434</v>
      </c>
      <c r="D1422" s="1081">
        <v>1.0170071252222743</v>
      </c>
      <c r="E1422" s="1081">
        <v>1.0068330151156657</v>
      </c>
      <c r="F1422" s="1081">
        <v>0.97665267976788639</v>
      </c>
      <c r="G1422" s="1081">
        <v>0.97810908442293254</v>
      </c>
      <c r="H1422" s="1081">
        <v>1.0186308456139943</v>
      </c>
      <c r="I1422" s="1081">
        <v>1.0128934848397091</v>
      </c>
      <c r="K1422">
        <v>2.3831533038473136</v>
      </c>
      <c r="L1422">
        <v>0</v>
      </c>
      <c r="M1422">
        <v>1.6430203741110835E-3</v>
      </c>
      <c r="N1422">
        <v>0.15268453406721944</v>
      </c>
      <c r="O1422">
        <v>2.0915710985346572E-2</v>
      </c>
      <c r="P1422">
        <v>2.8185326618151471E-2</v>
      </c>
      <c r="Q1422">
        <v>5.5108690068765174E-3</v>
      </c>
      <c r="R1422">
        <v>1.6217295562728873E-3</v>
      </c>
      <c r="S1422">
        <v>0.2614536911648887</v>
      </c>
      <c r="T1422">
        <v>1.3397589486735937</v>
      </c>
      <c r="U1422">
        <v>0.2120303030461716</v>
      </c>
      <c r="V1422">
        <v>0.24177897360849684</v>
      </c>
      <c r="W1422">
        <v>9.9897928401752698E-2</v>
      </c>
      <c r="X1422">
        <v>1.6544495843485506E-2</v>
      </c>
      <c r="Y1422">
        <v>4.4138132491702529E-3</v>
      </c>
    </row>
    <row r="1423" spans="1:25" x14ac:dyDescent="0.2">
      <c r="A1423" s="1077"/>
      <c r="B1423" s="1444">
        <v>1173</v>
      </c>
      <c r="C1423" s="1081">
        <v>0.96676889482571104</v>
      </c>
      <c r="D1423" s="1081">
        <v>0.96632185614809096</v>
      </c>
      <c r="E1423" s="1081">
        <v>0.96374524872337242</v>
      </c>
      <c r="F1423" s="1081">
        <v>1.0018065975166199</v>
      </c>
      <c r="G1423" s="1081">
        <v>0.99500947323419298</v>
      </c>
      <c r="H1423" s="1081">
        <v>0.98637089441982728</v>
      </c>
      <c r="I1423" s="1081">
        <v>1.0070355630404535</v>
      </c>
      <c r="K1423">
        <v>2.4355892155585974</v>
      </c>
      <c r="L1423">
        <v>0</v>
      </c>
      <c r="M1423">
        <v>1.8192209496558924E-3</v>
      </c>
      <c r="N1423">
        <v>0.14833870901523488</v>
      </c>
      <c r="O1423">
        <v>2.1846157356942789E-2</v>
      </c>
      <c r="P1423">
        <v>2.8038766544904191E-2</v>
      </c>
      <c r="Q1423">
        <v>5.5100820857301508E-3</v>
      </c>
      <c r="R1423">
        <v>1.7948758577577988E-3</v>
      </c>
      <c r="S1423">
        <v>0.27254569986561467</v>
      </c>
      <c r="T1423">
        <v>1.3733340044237459</v>
      </c>
      <c r="U1423">
        <v>0.21913181299701731</v>
      </c>
      <c r="V1423">
        <v>0.24695379233802262</v>
      </c>
      <c r="W1423">
        <v>9.9602118983942958E-2</v>
      </c>
      <c r="X1423">
        <v>1.542735663519243E-2</v>
      </c>
      <c r="Y1423">
        <v>4.885060404149235E-3</v>
      </c>
    </row>
    <row r="1424" spans="1:25" x14ac:dyDescent="0.2">
      <c r="A1424" s="1077"/>
      <c r="B1424" s="1444">
        <v>1174</v>
      </c>
      <c r="C1424" s="1081">
        <v>1.0247587993941649</v>
      </c>
      <c r="D1424" s="1081">
        <v>0.97800082712395398</v>
      </c>
      <c r="E1424" s="1081">
        <v>1.0037531423253836</v>
      </c>
      <c r="F1424" s="1081">
        <v>0.97585207098140914</v>
      </c>
      <c r="G1424" s="1081">
        <v>0.99316245348548882</v>
      </c>
      <c r="H1424" s="1081">
        <v>1.0068793736858426</v>
      </c>
      <c r="I1424" s="1081">
        <v>0.99593849399195145</v>
      </c>
      <c r="K1424">
        <v>2.3626984395397672</v>
      </c>
      <c r="L1424">
        <v>0</v>
      </c>
      <c r="M1424">
        <v>1.6085206719806634E-3</v>
      </c>
      <c r="N1424">
        <v>0.14807190855030061</v>
      </c>
      <c r="O1424">
        <v>2.0581478732383997E-2</v>
      </c>
      <c r="P1424">
        <v>2.7957493518518284E-2</v>
      </c>
      <c r="Q1424">
        <v>5.406092360383097E-3</v>
      </c>
      <c r="R1424">
        <v>1.5874336417438886E-3</v>
      </c>
      <c r="S1424">
        <v>0.254772476993466</v>
      </c>
      <c r="T1424">
        <v>1.3385956116883064</v>
      </c>
      <c r="U1424">
        <v>0.20686450113585336</v>
      </c>
      <c r="V1424">
        <v>0.24284259924251927</v>
      </c>
      <c r="W1424">
        <v>9.7056756700219723E-2</v>
      </c>
      <c r="X1424">
        <v>1.6250136572585731E-2</v>
      </c>
      <c r="Y1424">
        <v>4.3204710754675022E-3</v>
      </c>
    </row>
    <row r="1425" spans="1:25" x14ac:dyDescent="0.2">
      <c r="A1425" s="1077"/>
      <c r="B1425" s="1444">
        <v>1175</v>
      </c>
      <c r="C1425" s="1081">
        <v>0.99249159245607965</v>
      </c>
      <c r="D1425" s="1081">
        <v>0.97774723760546556</v>
      </c>
      <c r="E1425" s="1081">
        <v>0.98877105495351048</v>
      </c>
      <c r="F1425" s="1081">
        <v>1.005725236360264</v>
      </c>
      <c r="G1425" s="1081">
        <v>1.0274391553697351</v>
      </c>
      <c r="H1425" s="1081">
        <v>0.98775301162403695</v>
      </c>
      <c r="I1425" s="1081">
        <v>1.0140191068274396</v>
      </c>
      <c r="K1425">
        <v>2.4311540974889723</v>
      </c>
      <c r="L1425">
        <v>0</v>
      </c>
      <c r="M1425">
        <v>1.6807613373843507E-3</v>
      </c>
      <c r="N1425">
        <v>0.14783490910281832</v>
      </c>
      <c r="O1425">
        <v>2.1241759812391927E-2</v>
      </c>
      <c r="P1425">
        <v>2.8546002754273936E-2</v>
      </c>
      <c r="Q1425">
        <v>5.4959587413991118E-3</v>
      </c>
      <c r="R1425">
        <v>1.658300605414769E-3</v>
      </c>
      <c r="S1425">
        <v>0.26606924178642599</v>
      </c>
      <c r="T1425">
        <v>1.3792475801759756</v>
      </c>
      <c r="U1425">
        <v>0.21353836896956144</v>
      </c>
      <c r="V1425">
        <v>0.25073082058550467</v>
      </c>
      <c r="W1425">
        <v>9.7770705706268474E-2</v>
      </c>
      <c r="X1425">
        <v>1.6187862997031354E-2</v>
      </c>
      <c r="Y1425">
        <v>4.5133475892913466E-3</v>
      </c>
    </row>
    <row r="1426" spans="1:25" x14ac:dyDescent="0.2">
      <c r="A1426" s="1077"/>
      <c r="B1426" s="1444">
        <v>1176</v>
      </c>
      <c r="C1426" s="1081">
        <v>1.0176782817243641</v>
      </c>
      <c r="D1426" s="1081">
        <v>0.9654591485195182</v>
      </c>
      <c r="E1426" s="1081">
        <v>1.0050896432916137</v>
      </c>
      <c r="F1426" s="1081">
        <v>1.0057589935313147</v>
      </c>
      <c r="G1426" s="1081">
        <v>1.0344509328297111</v>
      </c>
      <c r="H1426" s="1081">
        <v>0.99876627826554754</v>
      </c>
      <c r="I1426" s="1081">
        <v>0.98306596119076273</v>
      </c>
      <c r="K1426">
        <v>2.4140341245620163</v>
      </c>
      <c r="L1426">
        <v>0</v>
      </c>
      <c r="M1426">
        <v>1.6067657638347687E-3</v>
      </c>
      <c r="N1426">
        <v>0.14849258979244875</v>
      </c>
      <c r="O1426">
        <v>2.07844846878792E-2</v>
      </c>
      <c r="P1426">
        <v>2.8662054635346108E-2</v>
      </c>
      <c r="Q1426">
        <v>5.4667367883811406E-3</v>
      </c>
      <c r="R1426">
        <v>1.5855306341722084E-3</v>
      </c>
      <c r="S1426">
        <v>0.25422010997560179</v>
      </c>
      <c r="T1426">
        <v>1.3796486280783045</v>
      </c>
      <c r="U1426">
        <v>0.20830825738161246</v>
      </c>
      <c r="V1426">
        <v>0.25031137064295272</v>
      </c>
      <c r="W1426">
        <v>9.7255485195887614E-2</v>
      </c>
      <c r="X1426">
        <v>1.6590350797080124E-2</v>
      </c>
      <c r="Y1426">
        <v>4.3152917161836677E-3</v>
      </c>
    </row>
    <row r="1427" spans="1:25" x14ac:dyDescent="0.2">
      <c r="A1427" s="1077"/>
      <c r="B1427" s="1444">
        <v>1177</v>
      </c>
      <c r="C1427" s="1081">
        <v>0.97623368705213687</v>
      </c>
      <c r="D1427" s="1081">
        <v>1.03990746901346</v>
      </c>
      <c r="E1427" s="1081">
        <v>0.97944312395955624</v>
      </c>
      <c r="F1427" s="1081">
        <v>1.0207995755449426</v>
      </c>
      <c r="G1427" s="1081">
        <v>0.98115462428585165</v>
      </c>
      <c r="H1427" s="1081">
        <v>1.0205340678399679</v>
      </c>
      <c r="I1427" s="1081">
        <v>0.99339831962394953</v>
      </c>
      <c r="K1427">
        <v>2.4492011714870743</v>
      </c>
      <c r="L1427">
        <v>0</v>
      </c>
      <c r="M1427">
        <v>1.7756259085697046E-3</v>
      </c>
      <c r="N1427">
        <v>0.15190003443241326</v>
      </c>
      <c r="O1427">
        <v>2.1298386460488095E-2</v>
      </c>
      <c r="P1427">
        <v>2.8490193035066572E-2</v>
      </c>
      <c r="Q1427">
        <v>5.4587293515191452E-3</v>
      </c>
      <c r="R1427">
        <v>1.7526596534625553E-3</v>
      </c>
      <c r="S1427">
        <v>0.25967932110948427</v>
      </c>
      <c r="T1427">
        <v>1.399715197508975</v>
      </c>
      <c r="U1427">
        <v>0.21706199518992617</v>
      </c>
      <c r="V1427">
        <v>0.24390391644681844</v>
      </c>
      <c r="W1427">
        <v>0.10102475678558608</v>
      </c>
      <c r="X1427">
        <v>1.5921445609278564E-2</v>
      </c>
      <c r="Y1427">
        <v>4.7701618126255894E-3</v>
      </c>
    </row>
    <row r="1428" spans="1:25" x14ac:dyDescent="0.2">
      <c r="A1428" s="1077"/>
      <c r="B1428" s="1444">
        <v>1178</v>
      </c>
      <c r="C1428" s="1081">
        <v>1.0076490050357629</v>
      </c>
      <c r="D1428" s="1081">
        <v>0.98848294275183402</v>
      </c>
      <c r="E1428" s="1081">
        <v>0.95868340900089055</v>
      </c>
      <c r="F1428" s="1081">
        <v>0.99965945477006213</v>
      </c>
      <c r="G1428" s="1081">
        <v>0.97800391271129816</v>
      </c>
      <c r="H1428" s="1081">
        <v>1.014316609162605</v>
      </c>
      <c r="I1428" s="1081">
        <v>0.98483718897689754</v>
      </c>
      <c r="K1428">
        <v>2.3928609598972126</v>
      </c>
      <c r="L1428">
        <v>0</v>
      </c>
      <c r="M1428">
        <v>1.8046690731596694E-3</v>
      </c>
      <c r="N1428">
        <v>0.14496671094440813</v>
      </c>
      <c r="O1428">
        <v>2.0852246921880768E-2</v>
      </c>
      <c r="P1428">
        <v>2.7467687327865167E-2</v>
      </c>
      <c r="Q1428">
        <v>5.2321231291500812E-3</v>
      </c>
      <c r="R1428">
        <v>1.7811840897761773E-3</v>
      </c>
      <c r="S1428">
        <v>0.25509900334766861</v>
      </c>
      <c r="T1428">
        <v>1.3702820308057799</v>
      </c>
      <c r="U1428">
        <v>0.21022461938645884</v>
      </c>
      <c r="V1428">
        <v>0.24144831561551691</v>
      </c>
      <c r="W1428">
        <v>9.7640438716863606E-2</v>
      </c>
      <c r="X1428">
        <v>1.4823472759809692E-2</v>
      </c>
      <c r="Y1428">
        <v>4.847795925193364E-3</v>
      </c>
    </row>
    <row r="1429" spans="1:25" x14ac:dyDescent="0.2">
      <c r="A1429" s="1077"/>
      <c r="B1429" s="1444">
        <v>1179</v>
      </c>
      <c r="C1429" s="1081">
        <v>0.99960883082035057</v>
      </c>
      <c r="D1429" s="1081">
        <v>0.9711617890327261</v>
      </c>
      <c r="E1429" s="1081">
        <v>0.99920529988011619</v>
      </c>
      <c r="F1429" s="1081">
        <v>1.0115082466497289</v>
      </c>
      <c r="G1429" s="1081">
        <v>1.0160326212059703</v>
      </c>
      <c r="H1429" s="1081">
        <v>1.0054817717219198</v>
      </c>
      <c r="I1429" s="1081">
        <v>0.95849433092554726</v>
      </c>
      <c r="K1429">
        <v>2.4266360627777028</v>
      </c>
      <c r="L1429">
        <v>0</v>
      </c>
      <c r="M1429">
        <v>1.6648816382053408E-3</v>
      </c>
      <c r="N1429">
        <v>0.15116623939684312</v>
      </c>
      <c r="O1429">
        <v>2.1128864181993896E-2</v>
      </c>
      <c r="P1429">
        <v>2.8637388841973171E-2</v>
      </c>
      <c r="Q1429">
        <v>5.5245807934069776E-3</v>
      </c>
      <c r="R1429">
        <v>1.643025401764589E-3</v>
      </c>
      <c r="S1429">
        <v>0.25210148354386719</v>
      </c>
      <c r="T1429">
        <v>1.3874063704507988</v>
      </c>
      <c r="U1429">
        <v>0.21205361748035165</v>
      </c>
      <c r="V1429">
        <v>0.24829635108216075</v>
      </c>
      <c r="W1429">
        <v>9.9352873741617304E-2</v>
      </c>
      <c r="X1429">
        <v>1.6518375980704363E-2</v>
      </c>
      <c r="Y1429">
        <v>4.4717735204250842E-3</v>
      </c>
    </row>
    <row r="1430" spans="1:25" x14ac:dyDescent="0.2">
      <c r="A1430" s="1077"/>
      <c r="B1430" s="1444">
        <v>1180</v>
      </c>
      <c r="C1430" s="1081">
        <v>0.97448739556723152</v>
      </c>
      <c r="D1430" s="1081">
        <v>1.0000929158536453</v>
      </c>
      <c r="E1430" s="1081">
        <v>1.013131325888152</v>
      </c>
      <c r="F1430" s="1081">
        <v>0.99099918673771148</v>
      </c>
      <c r="G1430" s="1081">
        <v>0.98730098873299654</v>
      </c>
      <c r="H1430" s="1081">
        <v>0.98741094119787665</v>
      </c>
      <c r="I1430" s="1081">
        <v>0.98267707380280489</v>
      </c>
      <c r="K1430">
        <v>2.4124139196498104</v>
      </c>
      <c r="L1430">
        <v>0</v>
      </c>
      <c r="M1430">
        <v>1.6188212137117201E-3</v>
      </c>
      <c r="N1430">
        <v>0.1532599277778704</v>
      </c>
      <c r="O1430">
        <v>2.1543521645713257E-2</v>
      </c>
      <c r="P1430">
        <v>2.8687175198117889E-2</v>
      </c>
      <c r="Q1430">
        <v>5.7121356952761129E-3</v>
      </c>
      <c r="R1430">
        <v>1.5971807197265573E-3</v>
      </c>
      <c r="S1430">
        <v>0.25980973855900574</v>
      </c>
      <c r="T1430">
        <v>1.3595745567785817</v>
      </c>
      <c r="U1430">
        <v>0.21756907017167423</v>
      </c>
      <c r="V1430">
        <v>0.24495040519184394</v>
      </c>
      <c r="W1430">
        <v>9.990266466875572E-2</v>
      </c>
      <c r="X1430">
        <v>1.707936504834236E-2</v>
      </c>
      <c r="Y1430">
        <v>4.346999408612935E-3</v>
      </c>
    </row>
    <row r="1431" spans="1:25" x14ac:dyDescent="0.2">
      <c r="A1431" s="1077"/>
      <c r="B1431" s="1444">
        <v>1181</v>
      </c>
      <c r="C1431" s="1081">
        <v>1.0110941426863778</v>
      </c>
      <c r="D1431" s="1081">
        <v>0.99174976797454772</v>
      </c>
      <c r="E1431" s="1081">
        <v>0.98027668742796203</v>
      </c>
      <c r="F1431" s="1081">
        <v>1.0169972513103729</v>
      </c>
      <c r="G1431" s="1081">
        <v>1.0127847647698396</v>
      </c>
      <c r="H1431" s="1081">
        <v>1.0075074723718085</v>
      </c>
      <c r="I1431" s="1081">
        <v>1.0109133672523163</v>
      </c>
      <c r="K1431">
        <v>2.4298688001683093</v>
      </c>
      <c r="L1431">
        <v>0</v>
      </c>
      <c r="M1431">
        <v>1.7073252404162806E-3</v>
      </c>
      <c r="N1431">
        <v>0.14640112372362912</v>
      </c>
      <c r="O1431">
        <v>2.0780246128923933E-2</v>
      </c>
      <c r="P1431">
        <v>2.8386785057491051E-2</v>
      </c>
      <c r="Q1431">
        <v>5.3304456946590591E-3</v>
      </c>
      <c r="R1431">
        <v>1.6849568773449456E-3</v>
      </c>
      <c r="S1431">
        <v>0.2601278345597885</v>
      </c>
      <c r="T1431">
        <v>1.3945197286413538</v>
      </c>
      <c r="U1431">
        <v>0.20958095099923105</v>
      </c>
      <c r="V1431">
        <v>0.2471026059265676</v>
      </c>
      <c r="W1431">
        <v>9.7318573834738104E-2</v>
      </c>
      <c r="X1431">
        <v>1.5756976790747938E-2</v>
      </c>
      <c r="Y1431">
        <v>4.5858971742476036E-3</v>
      </c>
    </row>
    <row r="1432" spans="1:25" x14ac:dyDescent="0.2">
      <c r="A1432" s="1077"/>
      <c r="B1432" s="1444">
        <v>1182</v>
      </c>
      <c r="C1432" s="1081">
        <v>0.99216706436732505</v>
      </c>
      <c r="D1432" s="1081">
        <v>0.99096702924871494</v>
      </c>
      <c r="E1432" s="1081">
        <v>1.0010259321900186</v>
      </c>
      <c r="F1432" s="1081">
        <v>0.99699703224882152</v>
      </c>
      <c r="G1432" s="1081">
        <v>0.97317823866846898</v>
      </c>
      <c r="H1432" s="1081">
        <v>0.9998891829788249</v>
      </c>
      <c r="I1432" s="1081">
        <v>0.96564200416109247</v>
      </c>
      <c r="K1432">
        <v>2.4016701715359825</v>
      </c>
      <c r="L1432">
        <v>0</v>
      </c>
      <c r="M1432">
        <v>1.6543876133817881E-3</v>
      </c>
      <c r="N1432">
        <v>0.1510306972934537</v>
      </c>
      <c r="O1432">
        <v>2.11942259275937E-2</v>
      </c>
      <c r="P1432">
        <v>2.8343469557980418E-2</v>
      </c>
      <c r="Q1432">
        <v>5.5518212166948359E-3</v>
      </c>
      <c r="R1432">
        <v>1.6325476644717281E-3</v>
      </c>
      <c r="S1432">
        <v>0.25285303844657403</v>
      </c>
      <c r="T1432">
        <v>1.3675417378611077</v>
      </c>
      <c r="U1432">
        <v>0.21365040194676579</v>
      </c>
      <c r="V1432">
        <v>0.24143978591949738</v>
      </c>
      <c r="W1432">
        <v>9.9156445817856695E-2</v>
      </c>
      <c r="X1432">
        <v>1.6487130923870191E-2</v>
      </c>
      <c r="Y1432">
        <v>4.4432565734990872E-3</v>
      </c>
    </row>
    <row r="1433" spans="1:25" x14ac:dyDescent="0.2">
      <c r="A1433" s="1077"/>
      <c r="B1433" s="1444">
        <v>1183</v>
      </c>
      <c r="C1433" s="1081">
        <v>1.0351893146108491</v>
      </c>
      <c r="D1433" s="1081">
        <v>1.0392838587672451</v>
      </c>
      <c r="E1433" s="1081">
        <v>0.99690978915357764</v>
      </c>
      <c r="F1433" s="1081">
        <v>0.99466595323055718</v>
      </c>
      <c r="G1433" s="1081">
        <v>1.0205321647269372</v>
      </c>
      <c r="H1433" s="1081">
        <v>0.99998542801506718</v>
      </c>
      <c r="I1433" s="1081">
        <v>1.0054210007041482</v>
      </c>
      <c r="K1433">
        <v>2.372522898694839</v>
      </c>
      <c r="L1433">
        <v>0</v>
      </c>
      <c r="M1433">
        <v>1.5827162996919966E-3</v>
      </c>
      <c r="N1433">
        <v>0.14270211264572949</v>
      </c>
      <c r="O1433">
        <v>2.0099144079059952E-2</v>
      </c>
      <c r="P1433">
        <v>2.8077297121173503E-2</v>
      </c>
      <c r="Q1433">
        <v>5.2432138589188276E-3</v>
      </c>
      <c r="R1433">
        <v>1.5618245111245705E-3</v>
      </c>
      <c r="S1433">
        <v>0.24638099952639397</v>
      </c>
      <c r="T1433">
        <v>1.3642557564003785</v>
      </c>
      <c r="U1433">
        <v>0.20475754671238494</v>
      </c>
      <c r="V1433">
        <v>0.24692795875271464</v>
      </c>
      <c r="W1433">
        <v>9.391813411520078E-2</v>
      </c>
      <c r="X1433">
        <v>1.5930855807480004E-2</v>
      </c>
      <c r="Y1433">
        <v>4.2507714639693573E-3</v>
      </c>
    </row>
    <row r="1434" spans="1:25" x14ac:dyDescent="0.2">
      <c r="A1434" s="1077"/>
      <c r="B1434" s="1444">
        <v>1184</v>
      </c>
      <c r="C1434" s="1081">
        <v>1.0066772158856807</v>
      </c>
      <c r="D1434" s="1081">
        <v>0.98145523112698485</v>
      </c>
      <c r="E1434" s="1081">
        <v>1.0318905218860941</v>
      </c>
      <c r="F1434" s="1081">
        <v>0.96521804551357082</v>
      </c>
      <c r="G1434" s="1081">
        <v>0.99975320529067391</v>
      </c>
      <c r="H1434" s="1081">
        <v>1.0381190305696082</v>
      </c>
      <c r="I1434" s="1081">
        <v>1.0126655745080619</v>
      </c>
      <c r="K1434">
        <v>2.3857151693760961</v>
      </c>
      <c r="L1434">
        <v>0</v>
      </c>
      <c r="M1434">
        <v>1.5910136577135779E-3</v>
      </c>
      <c r="N1434">
        <v>0.15950130166167922</v>
      </c>
      <c r="O1434">
        <v>2.0953588127438871E-2</v>
      </c>
      <c r="P1434">
        <v>2.858699015095956E-2</v>
      </c>
      <c r="Q1434">
        <v>5.6601559782939476E-3</v>
      </c>
      <c r="R1434">
        <v>1.570783793223109E-3</v>
      </c>
      <c r="S1434">
        <v>0.26615918249686416</v>
      </c>
      <c r="T1434">
        <v>1.3245981605095349</v>
      </c>
      <c r="U1434">
        <v>0.21067593055218245</v>
      </c>
      <c r="V1434">
        <v>0.24496256267226213</v>
      </c>
      <c r="W1434">
        <v>0.10283846726512628</v>
      </c>
      <c r="X1434">
        <v>1.7523904149828441E-2</v>
      </c>
      <c r="Y1434">
        <v>4.27515567641503E-3</v>
      </c>
    </row>
    <row r="1435" spans="1:25" x14ac:dyDescent="0.2">
      <c r="A1435" s="1077"/>
      <c r="B1435" s="1444">
        <v>1185</v>
      </c>
      <c r="C1435" s="1081">
        <v>1.0174954123254965</v>
      </c>
      <c r="D1435" s="1081">
        <v>1.0136447112940397</v>
      </c>
      <c r="E1435" s="1081">
        <v>1.0341530544174677</v>
      </c>
      <c r="F1435" s="1081">
        <v>1.0046821567183057</v>
      </c>
      <c r="G1435" s="1081">
        <v>1.0069475109254256</v>
      </c>
      <c r="H1435" s="1081">
        <v>1.0289773876983319</v>
      </c>
      <c r="I1435" s="1081">
        <v>0.99843071028108499</v>
      </c>
      <c r="K1435">
        <v>2.4204932468556279</v>
      </c>
      <c r="L1435">
        <v>0</v>
      </c>
      <c r="M1435">
        <v>1.5419083366074204E-3</v>
      </c>
      <c r="N1435">
        <v>0.15561829977962491</v>
      </c>
      <c r="O1435">
        <v>2.05856232925813E-2</v>
      </c>
      <c r="P1435">
        <v>2.9209239902216577E-2</v>
      </c>
      <c r="Q1435">
        <v>5.5731907135058165E-3</v>
      </c>
      <c r="R1435">
        <v>1.5221286710584163E-3</v>
      </c>
      <c r="S1435">
        <v>0.25474810169461759</v>
      </c>
      <c r="T1435">
        <v>1.3788054422017124</v>
      </c>
      <c r="U1435">
        <v>0.2084436242822707</v>
      </c>
      <c r="V1435">
        <v>0.24552279255728129</v>
      </c>
      <c r="W1435">
        <v>0.10020352542379028</v>
      </c>
      <c r="X1435">
        <v>1.7660454200534217E-2</v>
      </c>
      <c r="Y1435">
        <v>4.1427324730394484E-3</v>
      </c>
    </row>
    <row r="1436" spans="1:25" x14ac:dyDescent="0.2">
      <c r="A1436" s="1077"/>
      <c r="B1436" s="1444">
        <v>1186</v>
      </c>
      <c r="C1436" s="1081">
        <v>0.97445145975806002</v>
      </c>
      <c r="D1436" s="1081">
        <v>0.98698986262194144</v>
      </c>
      <c r="E1436" s="1081">
        <v>0.98460026764472963</v>
      </c>
      <c r="F1436" s="1081">
        <v>1.0116870801956042</v>
      </c>
      <c r="G1436" s="1081">
        <v>1.0152177451540361</v>
      </c>
      <c r="H1436" s="1081">
        <v>1.0042071217852708</v>
      </c>
      <c r="I1436" s="1081">
        <v>1.0291111093883951</v>
      </c>
      <c r="K1436">
        <v>2.4596960128119787</v>
      </c>
      <c r="L1436">
        <v>0</v>
      </c>
      <c r="M1436">
        <v>1.7518549044104523E-3</v>
      </c>
      <c r="N1436">
        <v>0.1521905261901266</v>
      </c>
      <c r="O1436">
        <v>2.1587432454769614E-2</v>
      </c>
      <c r="P1436">
        <v>2.872909498564364E-2</v>
      </c>
      <c r="Q1436">
        <v>5.5618559801482318E-3</v>
      </c>
      <c r="R1436">
        <v>1.7288277085626656E-3</v>
      </c>
      <c r="S1436">
        <v>0.27517235040167165</v>
      </c>
      <c r="T1436">
        <v>1.387332616466443</v>
      </c>
      <c r="U1436">
        <v>0.21747703004912489</v>
      </c>
      <c r="V1436">
        <v>0.24982207705018086</v>
      </c>
      <c r="W1436">
        <v>0.10090375517787867</v>
      </c>
      <c r="X1436">
        <v>1.6237002137031886E-2</v>
      </c>
      <c r="Y1436">
        <v>4.7052991148066143E-3</v>
      </c>
    </row>
    <row r="1437" spans="1:25" x14ac:dyDescent="0.2">
      <c r="A1437" s="1077"/>
      <c r="B1437" s="1444">
        <v>1187</v>
      </c>
      <c r="C1437" s="1081">
        <v>0.96811381356230186</v>
      </c>
      <c r="D1437" s="1081">
        <v>0.99404131844501642</v>
      </c>
      <c r="E1437" s="1081">
        <v>0.97651595896103716</v>
      </c>
      <c r="F1437" s="1081">
        <v>1.0197756741540693</v>
      </c>
      <c r="G1437" s="1081">
        <v>1.0018436683236343</v>
      </c>
      <c r="H1437" s="1081">
        <v>1.0071694372377988</v>
      </c>
      <c r="I1437" s="1081">
        <v>1.0191667270164946</v>
      </c>
      <c r="K1437">
        <v>2.4689598730583464</v>
      </c>
      <c r="L1437">
        <v>0</v>
      </c>
      <c r="M1437">
        <v>1.7955254329922725E-3</v>
      </c>
      <c r="N1437">
        <v>0.15222132289607829</v>
      </c>
      <c r="O1437">
        <v>2.1689215519061642E-2</v>
      </c>
      <c r="P1437">
        <v>2.8671667999096498E-2</v>
      </c>
      <c r="Q1437">
        <v>5.5423653615893371E-3</v>
      </c>
      <c r="R1437">
        <v>1.7719936279863117E-3</v>
      </c>
      <c r="S1437">
        <v>0.27351522112952259</v>
      </c>
      <c r="T1437">
        <v>1.3982469614256019</v>
      </c>
      <c r="U1437">
        <v>0.21887226344829602</v>
      </c>
      <c r="V1437">
        <v>0.24798559663284719</v>
      </c>
      <c r="W1437">
        <v>0.10141782100390802</v>
      </c>
      <c r="X1437">
        <v>1.5998186929511576E-2</v>
      </c>
      <c r="Y1437">
        <v>4.8227825178362637E-3</v>
      </c>
    </row>
    <row r="1438" spans="1:25" x14ac:dyDescent="0.2">
      <c r="A1438" s="1077"/>
      <c r="B1438" s="1444">
        <v>1188</v>
      </c>
      <c r="C1438" s="1081">
        <v>0.98173245240964202</v>
      </c>
      <c r="D1438" s="1081">
        <v>1.0046666338415355</v>
      </c>
      <c r="E1438" s="1081">
        <v>1.0089887985560282</v>
      </c>
      <c r="F1438" s="1081">
        <v>1.0028787986167098</v>
      </c>
      <c r="G1438" s="1081">
        <v>0.98040442661615301</v>
      </c>
      <c r="H1438" s="1081">
        <v>0.99129941237758246</v>
      </c>
      <c r="I1438" s="1081">
        <v>1.0098253756217073</v>
      </c>
      <c r="K1438">
        <v>2.4282073092883039</v>
      </c>
      <c r="L1438">
        <v>0</v>
      </c>
      <c r="M1438">
        <v>1.6255155090633547E-3</v>
      </c>
      <c r="N1438">
        <v>0.15198927445101706</v>
      </c>
      <c r="O1438">
        <v>2.1360275217156652E-2</v>
      </c>
      <c r="P1438">
        <v>2.8844955469527731E-2</v>
      </c>
      <c r="Q1438">
        <v>5.6401582157338146E-3</v>
      </c>
      <c r="R1438">
        <v>1.6038707633938638E-3</v>
      </c>
      <c r="S1438">
        <v>0.26471648863891201</v>
      </c>
      <c r="T1438">
        <v>1.3757824180566531</v>
      </c>
      <c r="U1438">
        <v>0.21594899069551071</v>
      </c>
      <c r="V1438">
        <v>0.24331469996202634</v>
      </c>
      <c r="W1438">
        <v>9.9316495147164827E-2</v>
      </c>
      <c r="X1438">
        <v>1.6949990678166642E-2</v>
      </c>
      <c r="Y1438">
        <v>4.3652075021030409E-3</v>
      </c>
    </row>
    <row r="1439" spans="1:25" x14ac:dyDescent="0.2">
      <c r="A1439" s="1077"/>
      <c r="B1439" s="1444">
        <v>1189</v>
      </c>
      <c r="C1439" s="1081">
        <v>1.0201197335670904</v>
      </c>
      <c r="D1439" s="1081">
        <v>1.0014035360949407</v>
      </c>
      <c r="E1439" s="1081">
        <v>1.0345218260215896</v>
      </c>
      <c r="F1439" s="1081">
        <v>1.029331044960984</v>
      </c>
      <c r="G1439" s="1081">
        <v>1.0087782965154488</v>
      </c>
      <c r="H1439" s="1081">
        <v>1.0338196258589925</v>
      </c>
      <c r="I1439" s="1081">
        <v>1.0320509112535641</v>
      </c>
      <c r="K1439">
        <v>2.4660424192378603</v>
      </c>
      <c r="L1439">
        <v>0</v>
      </c>
      <c r="M1439">
        <v>1.548123938189703E-3</v>
      </c>
      <c r="N1439">
        <v>0.15642887254040044</v>
      </c>
      <c r="O1439">
        <v>2.058786339776782E-2</v>
      </c>
      <c r="P1439">
        <v>2.9824008387559497E-2</v>
      </c>
      <c r="Q1439">
        <v>5.5758249414712474E-3</v>
      </c>
      <c r="R1439">
        <v>1.5283575567447828E-3</v>
      </c>
      <c r="S1439">
        <v>0.26466042830093855</v>
      </c>
      <c r="T1439">
        <v>1.4126413415340062</v>
      </c>
      <c r="U1439">
        <v>0.20790863218581765</v>
      </c>
      <c r="V1439">
        <v>0.24567600633674849</v>
      </c>
      <c r="W1439">
        <v>0.10070397185324867</v>
      </c>
      <c r="X1439">
        <v>1.7895550694818848E-2</v>
      </c>
      <c r="Y1439">
        <v>4.1596854465261231E-3</v>
      </c>
    </row>
    <row r="1440" spans="1:25" x14ac:dyDescent="0.2">
      <c r="A1440" s="1077"/>
      <c r="B1440" s="1444">
        <v>1190</v>
      </c>
      <c r="C1440" s="1081">
        <v>1.0310000206566852</v>
      </c>
      <c r="D1440" s="1081">
        <v>1.0386333347764933</v>
      </c>
      <c r="E1440" s="1081">
        <v>1.0205270447046786</v>
      </c>
      <c r="F1440" s="1081">
        <v>0.99547276438824417</v>
      </c>
      <c r="G1440" s="1081">
        <v>1.0038370483481658</v>
      </c>
      <c r="H1440" s="1081">
        <v>1.0325576929711411</v>
      </c>
      <c r="I1440" s="1081">
        <v>0.98643396780294967</v>
      </c>
      <c r="K1440">
        <v>2.3861844020613145</v>
      </c>
      <c r="L1440">
        <v>0</v>
      </c>
      <c r="M1440">
        <v>1.5625729197175288E-3</v>
      </c>
      <c r="N1440">
        <v>0.15136279928699656</v>
      </c>
      <c r="O1440">
        <v>2.0198690584886624E-2</v>
      </c>
      <c r="P1440">
        <v>2.8558892210418969E-2</v>
      </c>
      <c r="Q1440">
        <v>5.3951525534256094E-3</v>
      </c>
      <c r="R1440">
        <v>1.5425976714777579E-3</v>
      </c>
      <c r="S1440">
        <v>0.24559805777412758</v>
      </c>
      <c r="T1440">
        <v>1.3658717223330674</v>
      </c>
      <c r="U1440">
        <v>0.20566795131909435</v>
      </c>
      <c r="V1440">
        <v>0.24423655795785537</v>
      </c>
      <c r="W1440">
        <v>9.8238962500228511E-2</v>
      </c>
      <c r="X1440">
        <v>1.687714844487553E-2</v>
      </c>
      <c r="Y1440">
        <v>4.1984423445767215E-3</v>
      </c>
    </row>
    <row r="1441" spans="1:25" x14ac:dyDescent="0.2">
      <c r="A1441" s="1077"/>
      <c r="B1441" s="1444">
        <v>1191</v>
      </c>
      <c r="C1441" s="1081">
        <v>0.96917095131443909</v>
      </c>
      <c r="D1441" s="1081">
        <v>1.0018058545940935</v>
      </c>
      <c r="E1441" s="1081">
        <v>0.97712998590808375</v>
      </c>
      <c r="F1441" s="1081">
        <v>0.95736214905625006</v>
      </c>
      <c r="G1441" s="1081">
        <v>1.0157500061600615</v>
      </c>
      <c r="H1441" s="1081">
        <v>0.97993597013928524</v>
      </c>
      <c r="I1441" s="1081">
        <v>0.98082506977457529</v>
      </c>
      <c r="K1441">
        <v>2.3620205198695046</v>
      </c>
      <c r="L1441">
        <v>0</v>
      </c>
      <c r="M1441">
        <v>1.7398756457079924E-3</v>
      </c>
      <c r="N1441">
        <v>0.14772325410034645</v>
      </c>
      <c r="O1441">
        <v>2.1628921892052538E-2</v>
      </c>
      <c r="P1441">
        <v>2.7378166201717995E-2</v>
      </c>
      <c r="Q1441">
        <v>5.5304147341632094E-3</v>
      </c>
      <c r="R1441">
        <v>1.716439470939191E-3</v>
      </c>
      <c r="S1441">
        <v>0.25957971811759589</v>
      </c>
      <c r="T1441">
        <v>1.3126824390594327</v>
      </c>
      <c r="U1441">
        <v>0.21863568279767598</v>
      </c>
      <c r="V1441">
        <v>0.25028942207184934</v>
      </c>
      <c r="W1441">
        <v>9.8384395719588749E-2</v>
      </c>
      <c r="X1441">
        <v>1.5539958934072918E-2</v>
      </c>
      <c r="Y1441">
        <v>4.6715824157769524E-3</v>
      </c>
    </row>
    <row r="1442" spans="1:25" x14ac:dyDescent="0.2">
      <c r="A1442" s="1077"/>
      <c r="B1442" s="1444">
        <v>1192</v>
      </c>
      <c r="C1442" s="1081">
        <v>1.0039275748441523</v>
      </c>
      <c r="D1442" s="1081">
        <v>1.0238634136193863</v>
      </c>
      <c r="E1442" s="1081">
        <v>1.0195900505577025</v>
      </c>
      <c r="F1442" s="1081">
        <v>0.99753428363444696</v>
      </c>
      <c r="G1442" s="1081">
        <v>1.0200760035406569</v>
      </c>
      <c r="H1442" s="1081">
        <v>1.0239395380732457</v>
      </c>
      <c r="I1442" s="1081">
        <v>1.0434104718507315</v>
      </c>
      <c r="K1442">
        <v>2.428119202922761</v>
      </c>
      <c r="L1442">
        <v>0</v>
      </c>
      <c r="M1442">
        <v>1.5994538599736414E-3</v>
      </c>
      <c r="N1442">
        <v>0.15448119472060165</v>
      </c>
      <c r="O1442">
        <v>2.0808226084657329E-2</v>
      </c>
      <c r="P1442">
        <v>2.9024983319078958E-2</v>
      </c>
      <c r="Q1442">
        <v>5.5527872651835782E-3</v>
      </c>
      <c r="R1442">
        <v>1.5788350487844645E-3</v>
      </c>
      <c r="S1442">
        <v>0.26791670014988145</v>
      </c>
      <c r="T1442">
        <v>1.368680003429519</v>
      </c>
      <c r="U1442">
        <v>0.21121090275465909</v>
      </c>
      <c r="V1442">
        <v>0.24864399247069729</v>
      </c>
      <c r="W1442">
        <v>0.10031786974890007</v>
      </c>
      <c r="X1442">
        <v>1.7206093250813591E-2</v>
      </c>
      <c r="Y1442">
        <v>4.2970685399573586E-3</v>
      </c>
    </row>
    <row r="1443" spans="1:25" x14ac:dyDescent="0.2">
      <c r="A1443" s="1077"/>
      <c r="B1443" s="1444">
        <v>1193</v>
      </c>
      <c r="C1443" s="1081">
        <v>0.97807260126844964</v>
      </c>
      <c r="D1443" s="1081">
        <v>0.97687835609965867</v>
      </c>
      <c r="E1443" s="1081">
        <v>1.0245288046137229</v>
      </c>
      <c r="F1443" s="1081">
        <v>0.98554366830393059</v>
      </c>
      <c r="G1443" s="1081">
        <v>0.95729764686355534</v>
      </c>
      <c r="H1443" s="1081">
        <v>0.96564046021965599</v>
      </c>
      <c r="I1443" s="1081">
        <v>1.0026200844320332</v>
      </c>
      <c r="K1443">
        <v>2.4018065589072446</v>
      </c>
      <c r="L1443">
        <v>0</v>
      </c>
      <c r="M1443">
        <v>1.548347166160748E-3</v>
      </c>
      <c r="N1443">
        <v>0.1516698774778478</v>
      </c>
      <c r="O1443">
        <v>2.1583541115566634E-2</v>
      </c>
      <c r="P1443">
        <v>2.881998949068338E-2</v>
      </c>
      <c r="Q1443">
        <v>5.7880007077022715E-3</v>
      </c>
      <c r="R1443">
        <v>1.5271821254765445E-3</v>
      </c>
      <c r="S1443">
        <v>0.26543922792135161</v>
      </c>
      <c r="T1443">
        <v>1.3523338506510885</v>
      </c>
      <c r="U1443">
        <v>0.21681150012496478</v>
      </c>
      <c r="V1443">
        <v>0.23955634661246725</v>
      </c>
      <c r="W1443">
        <v>9.8208523504594483E-2</v>
      </c>
      <c r="X1443">
        <v>1.7460380031567767E-2</v>
      </c>
      <c r="Y1443">
        <v>4.1564863100947919E-3</v>
      </c>
    </row>
    <row r="1444" spans="1:25" x14ac:dyDescent="0.2">
      <c r="A1444" s="1077"/>
      <c r="B1444" s="1444">
        <v>1194</v>
      </c>
      <c r="C1444" s="1081">
        <v>1.0418750628712286</v>
      </c>
      <c r="D1444" s="1081">
        <v>0.99779920505471065</v>
      </c>
      <c r="E1444" s="1081">
        <v>0.97312702397697448</v>
      </c>
      <c r="F1444" s="1081">
        <v>1.0071224108786387</v>
      </c>
      <c r="G1444" s="1081">
        <v>0.98869284408474778</v>
      </c>
      <c r="H1444" s="1081">
        <v>0.99055215518690221</v>
      </c>
      <c r="I1444" s="1081">
        <v>0.98425170482387603</v>
      </c>
      <c r="K1444">
        <v>2.3724410721809628</v>
      </c>
      <c r="L1444">
        <v>0</v>
      </c>
      <c r="M1444">
        <v>1.6510394793941288E-3</v>
      </c>
      <c r="N1444">
        <v>0.13851275756153131</v>
      </c>
      <c r="O1444">
        <v>2.0134817916208393E-2</v>
      </c>
      <c r="P1444">
        <v>2.7666640984335668E-2</v>
      </c>
      <c r="Q1444">
        <v>5.1274184758293853E-3</v>
      </c>
      <c r="R1444">
        <v>1.6290382814015756E-3</v>
      </c>
      <c r="S1444">
        <v>0.24362013618063455</v>
      </c>
      <c r="T1444">
        <v>1.3808242351488029</v>
      </c>
      <c r="U1444">
        <v>0.20336577024705618</v>
      </c>
      <c r="V1444">
        <v>0.24118970076462096</v>
      </c>
      <c r="W1444">
        <v>9.2474272014366282E-2</v>
      </c>
      <c r="X1444">
        <v>1.5113618895920732E-2</v>
      </c>
      <c r="Y1444">
        <v>4.4337051896499507E-3</v>
      </c>
    </row>
    <row r="1445" spans="1:25" x14ac:dyDescent="0.2">
      <c r="A1445" s="1077"/>
      <c r="B1445" s="1444">
        <v>1195</v>
      </c>
      <c r="C1445" s="1081">
        <v>1.0140663219558432</v>
      </c>
      <c r="D1445" s="1081">
        <v>1.013875092650832</v>
      </c>
      <c r="E1445" s="1081">
        <v>1.0191576964867859</v>
      </c>
      <c r="F1445" s="1081">
        <v>1.0179337244200242</v>
      </c>
      <c r="G1445" s="1081">
        <v>1.0441513673719673</v>
      </c>
      <c r="H1445" s="1081">
        <v>1.0123242585000281</v>
      </c>
      <c r="I1445" s="1081">
        <v>0.97215910244932879</v>
      </c>
      <c r="K1445">
        <v>2.4317320930723882</v>
      </c>
      <c r="L1445">
        <v>0</v>
      </c>
      <c r="M1445">
        <v>1.5702918743507738E-3</v>
      </c>
      <c r="N1445">
        <v>0.15144422642192068</v>
      </c>
      <c r="O1445">
        <v>2.0644377629148714E-2</v>
      </c>
      <c r="P1445">
        <v>2.9137822638407536E-2</v>
      </c>
      <c r="Q1445">
        <v>5.5066951970119691E-3</v>
      </c>
      <c r="R1445">
        <v>1.5498167306835036E-3</v>
      </c>
      <c r="S1445">
        <v>0.24738250079618565</v>
      </c>
      <c r="T1445">
        <v>1.3966597687536748</v>
      </c>
      <c r="U1445">
        <v>0.20909773111368829</v>
      </c>
      <c r="V1445">
        <v>0.2521331649029771</v>
      </c>
      <c r="W1445">
        <v>9.8370598096037487E-2</v>
      </c>
      <c r="X1445">
        <v>1.715759242302865E-2</v>
      </c>
      <c r="Y1445">
        <v>4.218090243972533E-3</v>
      </c>
    </row>
    <row r="1446" spans="1:25" x14ac:dyDescent="0.2">
      <c r="A1446" s="1077"/>
      <c r="B1446" s="1444">
        <v>1196</v>
      </c>
      <c r="C1446" s="1081">
        <v>0.99656440497635324</v>
      </c>
      <c r="D1446" s="1081">
        <v>1.0134377253182263</v>
      </c>
      <c r="E1446" s="1081">
        <v>1.0061823132305365</v>
      </c>
      <c r="F1446" s="1081">
        <v>0.98476415654445004</v>
      </c>
      <c r="G1446" s="1081">
        <v>1.0065296547288574</v>
      </c>
      <c r="H1446" s="1081">
        <v>0.96616502526688686</v>
      </c>
      <c r="I1446" s="1081">
        <v>0.98495879991454882</v>
      </c>
      <c r="K1446">
        <v>2.3773128290130958</v>
      </c>
      <c r="L1446">
        <v>0</v>
      </c>
      <c r="M1446">
        <v>1.5668450488306013E-3</v>
      </c>
      <c r="N1446">
        <v>0.14521619271265632</v>
      </c>
      <c r="O1446">
        <v>2.1000300948500208E-2</v>
      </c>
      <c r="P1446">
        <v>2.8261293947620163E-2</v>
      </c>
      <c r="Q1446">
        <v>5.5295518521996422E-3</v>
      </c>
      <c r="R1446">
        <v>1.545438780956143E-3</v>
      </c>
      <c r="S1446">
        <v>0.25112118407215955</v>
      </c>
      <c r="T1446">
        <v>1.3508722857360271</v>
      </c>
      <c r="U1446">
        <v>0.21272536592565597</v>
      </c>
      <c r="V1446">
        <v>0.24683903942246355</v>
      </c>
      <c r="W1446">
        <v>9.5048130672983844E-2</v>
      </c>
      <c r="X1446">
        <v>1.6514715082696287E-2</v>
      </c>
      <c r="Y1446">
        <v>4.2061749080053983E-3</v>
      </c>
    </row>
    <row r="1447" spans="1:25" x14ac:dyDescent="0.2">
      <c r="A1447" s="1077"/>
      <c r="B1447" s="1444">
        <v>1197</v>
      </c>
      <c r="C1447" s="1081">
        <v>0.99637150432203159</v>
      </c>
      <c r="D1447" s="1081">
        <v>1.031722615848977</v>
      </c>
      <c r="E1447" s="1081">
        <v>1.0122763123078176</v>
      </c>
      <c r="F1447" s="1081">
        <v>1.0090511662784065</v>
      </c>
      <c r="G1447" s="1081">
        <v>1.0076550202199444</v>
      </c>
      <c r="H1447" s="1081">
        <v>0.97421363539411321</v>
      </c>
      <c r="I1447" s="1081">
        <v>0.99522435252339014</v>
      </c>
      <c r="K1447">
        <v>2.4151995631030894</v>
      </c>
      <c r="L1447">
        <v>0</v>
      </c>
      <c r="M1447">
        <v>1.5541998582037731E-3</v>
      </c>
      <c r="N1447">
        <v>0.14673579161779474</v>
      </c>
      <c r="O1447">
        <v>2.0925935939643633E-2</v>
      </c>
      <c r="P1447">
        <v>2.8868448831909761E-2</v>
      </c>
      <c r="Q1447">
        <v>5.5436534023779365E-3</v>
      </c>
      <c r="R1447">
        <v>1.533141772949678E-3</v>
      </c>
      <c r="S1447">
        <v>0.25225173403632523</v>
      </c>
      <c r="T1447">
        <v>1.384321775437372</v>
      </c>
      <c r="U1447">
        <v>0.21278748666338962</v>
      </c>
      <c r="V1447">
        <v>0.24702148225916637</v>
      </c>
      <c r="W1447">
        <v>9.5698033200302846E-2</v>
      </c>
      <c r="X1447">
        <v>1.689357329413993E-2</v>
      </c>
      <c r="Y1447">
        <v>4.1727065059193992E-3</v>
      </c>
    </row>
    <row r="1448" spans="1:25" x14ac:dyDescent="0.2">
      <c r="A1448" s="1077"/>
      <c r="B1448" s="1444">
        <v>1198</v>
      </c>
      <c r="C1448" s="1081">
        <v>0.97799345375958557</v>
      </c>
      <c r="D1448" s="1081">
        <v>0.99368773528399701</v>
      </c>
      <c r="E1448" s="1081">
        <v>1.0207026455271444</v>
      </c>
      <c r="F1448" s="1081">
        <v>1.0165047495003425</v>
      </c>
      <c r="G1448" s="1081">
        <v>0.97323286105193851</v>
      </c>
      <c r="H1448" s="1081">
        <v>1.0253577846874169</v>
      </c>
      <c r="I1448" s="1081">
        <v>0.96548201321701088</v>
      </c>
      <c r="K1448">
        <v>2.4546228647140849</v>
      </c>
      <c r="L1448">
        <v>0</v>
      </c>
      <c r="M1448">
        <v>1.6511713589651646E-3</v>
      </c>
      <c r="N1448">
        <v>0.16001532227154791</v>
      </c>
      <c r="O1448">
        <v>2.1501812605309117E-2</v>
      </c>
      <c r="P1448">
        <v>2.9267818626195766E-2</v>
      </c>
      <c r="Q1448">
        <v>5.7442241113696097E-3</v>
      </c>
      <c r="R1448">
        <v>1.6299152908949507E-3</v>
      </c>
      <c r="S1448">
        <v>0.25842520054824236</v>
      </c>
      <c r="T1448">
        <v>1.3947332376687336</v>
      </c>
      <c r="U1448">
        <v>0.21681562731948134</v>
      </c>
      <c r="V1448">
        <v>0.24229374956463048</v>
      </c>
      <c r="W1448">
        <v>0.10384404359288629</v>
      </c>
      <c r="X1448">
        <v>1.7566992353372061E-2</v>
      </c>
      <c r="Y1448">
        <v>4.436092120384815E-3</v>
      </c>
    </row>
    <row r="1449" spans="1:25" x14ac:dyDescent="0.2">
      <c r="A1449" s="1077"/>
      <c r="B1449" s="1444">
        <v>1199</v>
      </c>
      <c r="C1449" s="1081">
        <v>1.0436907533223327</v>
      </c>
      <c r="D1449" s="1081">
        <v>0.99350234609093824</v>
      </c>
      <c r="E1449" s="1081">
        <v>1.0109548110301652</v>
      </c>
      <c r="F1449" s="1081">
        <v>1.0070200611244633</v>
      </c>
      <c r="G1449" s="1081">
        <v>0.99978608135915403</v>
      </c>
      <c r="H1449" s="1081">
        <v>0.98375638698309165</v>
      </c>
      <c r="I1449" s="1081">
        <v>1.0161410979431253</v>
      </c>
      <c r="K1449">
        <v>2.3889473589518335</v>
      </c>
      <c r="L1449">
        <v>0</v>
      </c>
      <c r="M1449">
        <v>1.5149175549285564E-3</v>
      </c>
      <c r="N1449">
        <v>0.1424766163176136</v>
      </c>
      <c r="O1449">
        <v>2.0142940484621303E-2</v>
      </c>
      <c r="P1449">
        <v>2.8599021446746701E-2</v>
      </c>
      <c r="Q1449">
        <v>5.3291855985314442E-3</v>
      </c>
      <c r="R1449">
        <v>1.4945908186960689E-3</v>
      </c>
      <c r="S1449">
        <v>0.25135764922608073</v>
      </c>
      <c r="T1449">
        <v>1.3815064443798026</v>
      </c>
      <c r="U1449">
        <v>0.20313571066214717</v>
      </c>
      <c r="V1449">
        <v>0.24284319053551051</v>
      </c>
      <c r="W1449">
        <v>9.2992632512867934E-2</v>
      </c>
      <c r="X1449">
        <v>1.6516511007385007E-2</v>
      </c>
      <c r="Y1449">
        <v>4.0677835167597307E-3</v>
      </c>
    </row>
    <row r="1450" spans="1:25" x14ac:dyDescent="0.2">
      <c r="A1450" s="1077"/>
      <c r="B1450" s="1444">
        <v>1200</v>
      </c>
      <c r="C1450" s="1081">
        <v>0.9564333517218665</v>
      </c>
      <c r="D1450" s="1081">
        <v>0.99693115208249028</v>
      </c>
      <c r="E1450" s="1081">
        <v>1.018852588831987</v>
      </c>
      <c r="F1450" s="1081">
        <v>1.0282731066968727</v>
      </c>
      <c r="G1450" s="1081">
        <v>0.99183542760687216</v>
      </c>
      <c r="H1450" s="1081">
        <v>1.0392981253473275</v>
      </c>
      <c r="I1450" s="1081">
        <v>1.0084994494342499</v>
      </c>
      <c r="K1450">
        <v>2.5093744319270033</v>
      </c>
      <c r="L1450">
        <v>0</v>
      </c>
      <c r="M1450">
        <v>1.7167159185373499E-3</v>
      </c>
      <c r="N1450">
        <v>0.16547023630938065</v>
      </c>
      <c r="O1450">
        <v>2.1969465208583054E-2</v>
      </c>
      <c r="P1450">
        <v>2.9836969574349816E-2</v>
      </c>
      <c r="Q1450">
        <v>5.8583717405810594E-3</v>
      </c>
      <c r="R1450">
        <v>1.6949125041596513E-3</v>
      </c>
      <c r="S1450">
        <v>0.27681172838476992</v>
      </c>
      <c r="T1450">
        <v>1.410839145896277</v>
      </c>
      <c r="U1450">
        <v>0.22169649435366476</v>
      </c>
      <c r="V1450">
        <v>0.24691365879794869</v>
      </c>
      <c r="W1450">
        <v>0.10750039546622457</v>
      </c>
      <c r="X1450">
        <v>1.7886776501035068E-2</v>
      </c>
      <c r="Y1450">
        <v>4.6129931085657364E-3</v>
      </c>
    </row>
    <row r="1451" spans="1:25" x14ac:dyDescent="0.2">
      <c r="A1451" s="1077"/>
      <c r="B1451" s="1444">
        <v>1201</v>
      </c>
      <c r="C1451" s="1081">
        <v>0.99755125939040956</v>
      </c>
      <c r="D1451" s="1081">
        <v>0.9941588546183866</v>
      </c>
      <c r="E1451" s="1081">
        <v>0.969881579636373</v>
      </c>
      <c r="F1451" s="1081">
        <v>1.0172618188892888</v>
      </c>
      <c r="G1451" s="1081">
        <v>0.97824057458186842</v>
      </c>
      <c r="H1451" s="1081">
        <v>0.98606027210596847</v>
      </c>
      <c r="I1451" s="1081">
        <v>0.99982685610182842</v>
      </c>
      <c r="K1451">
        <v>2.4219737796379599</v>
      </c>
      <c r="L1451">
        <v>0</v>
      </c>
      <c r="M1451">
        <v>1.7295126366604653E-3</v>
      </c>
      <c r="N1451">
        <v>0.14366866852937579</v>
      </c>
      <c r="O1451">
        <v>2.1044225205017447E-2</v>
      </c>
      <c r="P1451">
        <v>2.8113750071564227E-2</v>
      </c>
      <c r="Q1451">
        <v>5.3412709709671552E-3</v>
      </c>
      <c r="R1451">
        <v>1.7063607442111823E-3</v>
      </c>
      <c r="S1451">
        <v>0.2585365417961844</v>
      </c>
      <c r="T1451">
        <v>1.394654980329324</v>
      </c>
      <c r="U1451">
        <v>0.21239077223681577</v>
      </c>
      <c r="V1451">
        <v>0.24207475987343494</v>
      </c>
      <c r="W1451">
        <v>9.6105898705395459E-2</v>
      </c>
      <c r="X1451">
        <v>1.5421912368256553E-2</v>
      </c>
      <c r="Y1451">
        <v>4.6441514440746859E-3</v>
      </c>
    </row>
    <row r="1452" spans="1:25" x14ac:dyDescent="0.2">
      <c r="A1452" s="1077"/>
      <c r="B1452" s="1444">
        <v>1202</v>
      </c>
      <c r="C1452" s="1081">
        <v>0.970762806400985</v>
      </c>
      <c r="D1452" s="1081">
        <v>0.99608995531866484</v>
      </c>
      <c r="E1452" s="1081">
        <v>0.99457419366582889</v>
      </c>
      <c r="F1452" s="1081">
        <v>1.0400972397331121</v>
      </c>
      <c r="G1452" s="1081">
        <v>0.98696700186373465</v>
      </c>
      <c r="H1452" s="1081">
        <v>1.0083352213712837</v>
      </c>
      <c r="I1452" s="1081">
        <v>1.0134471098167881</v>
      </c>
      <c r="K1452">
        <v>2.4957311321974083</v>
      </c>
      <c r="L1452">
        <v>0</v>
      </c>
      <c r="M1452">
        <v>1.7261537641423857E-3</v>
      </c>
      <c r="N1452">
        <v>0.15455726487686006</v>
      </c>
      <c r="O1452">
        <v>2.1632563663055309E-2</v>
      </c>
      <c r="P1452">
        <v>2.9373206643927442E-2</v>
      </c>
      <c r="Q1452">
        <v>5.6299689829507234E-3</v>
      </c>
      <c r="R1452">
        <v>1.7035572857535062E-3</v>
      </c>
      <c r="S1452">
        <v>0.27121665995010397</v>
      </c>
      <c r="T1452">
        <v>1.4265155319709222</v>
      </c>
      <c r="U1452">
        <v>0.21833844971091168</v>
      </c>
      <c r="V1452">
        <v>0.24520361100992391</v>
      </c>
      <c r="W1452">
        <v>0.10186227549883776</v>
      </c>
      <c r="X1452">
        <v>1.678767501398961E-2</v>
      </c>
      <c r="Y1452">
        <v>4.6365213543127226E-3</v>
      </c>
    </row>
    <row r="1453" spans="1:25" x14ac:dyDescent="0.2">
      <c r="A1453" s="1077"/>
      <c r="B1453" s="1444">
        <v>1203</v>
      </c>
      <c r="C1453" s="1081">
        <v>0.98957393645699021</v>
      </c>
      <c r="D1453" s="1081">
        <v>1.0020794897589937</v>
      </c>
      <c r="E1453" s="1081">
        <v>0.9912756892970348</v>
      </c>
      <c r="F1453" s="1081">
        <v>0.96533046964292302</v>
      </c>
      <c r="G1453" s="1081">
        <v>1.0389035684753898</v>
      </c>
      <c r="H1453" s="1081">
        <v>0.95766976218379118</v>
      </c>
      <c r="I1453" s="1081">
        <v>1.0126312924525851</v>
      </c>
      <c r="K1453">
        <v>2.3642130241934955</v>
      </c>
      <c r="L1453">
        <v>0</v>
      </c>
      <c r="M1453">
        <v>1.6171511541606309E-3</v>
      </c>
      <c r="N1453">
        <v>0.14326017552756862</v>
      </c>
      <c r="O1453">
        <v>2.119116399071827E-2</v>
      </c>
      <c r="P1453">
        <v>2.78131373549328E-2</v>
      </c>
      <c r="Q1453">
        <v>5.4967657212564389E-3</v>
      </c>
      <c r="R1453">
        <v>1.5948616165953808E-3</v>
      </c>
      <c r="S1453">
        <v>0.26061620670721997</v>
      </c>
      <c r="T1453">
        <v>1.3239025446417014</v>
      </c>
      <c r="U1453">
        <v>0.21417660260889451</v>
      </c>
      <c r="V1453">
        <v>0.2528650386385779</v>
      </c>
      <c r="W1453">
        <v>9.4603153719839489E-2</v>
      </c>
      <c r="X1453">
        <v>1.5969837245967882E-2</v>
      </c>
      <c r="Y1453">
        <v>4.3406875743820118E-3</v>
      </c>
    </row>
    <row r="1454" spans="1:25" x14ac:dyDescent="0.2">
      <c r="A1454" s="1077"/>
      <c r="B1454" s="1444">
        <v>1204</v>
      </c>
      <c r="C1454" s="1081">
        <v>1.0104060540668376</v>
      </c>
      <c r="D1454" s="1081">
        <v>0.98619367708076955</v>
      </c>
      <c r="E1454" s="1081">
        <v>0.99081576932983062</v>
      </c>
      <c r="F1454" s="1081">
        <v>1.000517873474831</v>
      </c>
      <c r="G1454" s="1081">
        <v>1.0162426395866184</v>
      </c>
      <c r="H1454" s="1081">
        <v>1.0353839950569121</v>
      </c>
      <c r="I1454" s="1081">
        <v>0.99904187188958726</v>
      </c>
      <c r="K1454">
        <v>2.4181867375140409</v>
      </c>
      <c r="L1454">
        <v>0</v>
      </c>
      <c r="M1454">
        <v>1.7200027106807148E-3</v>
      </c>
      <c r="N1454">
        <v>0.15231948977368812</v>
      </c>
      <c r="O1454">
        <v>2.0827042451482355E-2</v>
      </c>
      <c r="P1454">
        <v>2.832472470740147E-2</v>
      </c>
      <c r="Q1454">
        <v>5.3998070705543934E-3</v>
      </c>
      <c r="R1454">
        <v>1.6980749692020942E-3</v>
      </c>
      <c r="S1454">
        <v>0.26041099074122648</v>
      </c>
      <c r="T1454">
        <v>1.3721503779642417</v>
      </c>
      <c r="U1454">
        <v>0.20975924778404459</v>
      </c>
      <c r="V1454">
        <v>0.2476961822409576</v>
      </c>
      <c r="W1454">
        <v>0.10061324812216074</v>
      </c>
      <c r="X1454">
        <v>1.6085954103856253E-2</v>
      </c>
      <c r="Y1454">
        <v>4.6216002959049438E-3</v>
      </c>
    </row>
    <row r="1455" spans="1:25" x14ac:dyDescent="0.2">
      <c r="A1455" s="1077"/>
      <c r="B1455" s="1444">
        <v>1205</v>
      </c>
      <c r="C1455" s="1081">
        <v>0.98473819495404258</v>
      </c>
      <c r="D1455" s="1081">
        <v>1.0411943289415286</v>
      </c>
      <c r="E1455" s="1081">
        <v>0.99863457932817634</v>
      </c>
      <c r="F1455" s="1081">
        <v>1.0437483356997326</v>
      </c>
      <c r="G1455" s="1081">
        <v>1.044006337102388</v>
      </c>
      <c r="H1455" s="1081">
        <v>1.0235806277594937</v>
      </c>
      <c r="I1455" s="1081">
        <v>1.0233121482773557</v>
      </c>
      <c r="K1455">
        <v>2.4987764381693918</v>
      </c>
      <c r="L1455">
        <v>0</v>
      </c>
      <c r="M1455">
        <v>1.6962963514808589E-3</v>
      </c>
      <c r="N1455">
        <v>0.15378940361323767</v>
      </c>
      <c r="O1455">
        <v>2.1121500561935284E-2</v>
      </c>
      <c r="P1455">
        <v>2.9531509005158444E-2</v>
      </c>
      <c r="Q1455">
        <v>5.5194862195442418E-3</v>
      </c>
      <c r="R1455">
        <v>1.6744214609413883E-3</v>
      </c>
      <c r="S1455">
        <v>0.2654544406087786</v>
      </c>
      <c r="T1455">
        <v>1.4316146860320895</v>
      </c>
      <c r="U1455">
        <v>0.21525388088033581</v>
      </c>
      <c r="V1455">
        <v>0.2540182903992253</v>
      </c>
      <c r="W1455">
        <v>0.10111124957097424</v>
      </c>
      <c r="X1455">
        <v>1.6826642924853537E-2</v>
      </c>
      <c r="Y1455">
        <v>4.5572232437962063E-3</v>
      </c>
    </row>
    <row r="1456" spans="1:25" x14ac:dyDescent="0.2">
      <c r="A1456" s="1077"/>
      <c r="B1456" s="1444">
        <v>1206</v>
      </c>
      <c r="C1456" s="1081">
        <v>0.979770030265254</v>
      </c>
      <c r="D1456" s="1081">
        <v>0.97744227757185143</v>
      </c>
      <c r="E1456" s="1081">
        <v>1.0294479607115341</v>
      </c>
      <c r="F1456" s="1081">
        <v>0.9825501140756604</v>
      </c>
      <c r="G1456" s="1081">
        <v>0.97388768306412465</v>
      </c>
      <c r="H1456" s="1081">
        <v>0.97381725174580958</v>
      </c>
      <c r="I1456" s="1081">
        <v>1.0404680669228696</v>
      </c>
      <c r="K1456">
        <v>2.4133711490440417</v>
      </c>
      <c r="L1456">
        <v>0</v>
      </c>
      <c r="M1456">
        <v>1.5426679063245147E-3</v>
      </c>
      <c r="N1456">
        <v>0.15338949363326146</v>
      </c>
      <c r="O1456">
        <v>2.1546775344849358E-2</v>
      </c>
      <c r="P1456">
        <v>2.9043146077562212E-2</v>
      </c>
      <c r="Q1456">
        <v>5.8063587675990418E-3</v>
      </c>
      <c r="R1456">
        <v>1.521757561296368E-3</v>
      </c>
      <c r="S1456">
        <v>0.27568761309543177</v>
      </c>
      <c r="T1456">
        <v>1.3483312709562056</v>
      </c>
      <c r="U1456">
        <v>0.21645311130033351</v>
      </c>
      <c r="V1456">
        <v>0.24226052394268541</v>
      </c>
      <c r="W1456">
        <v>9.9038126779428595E-2</v>
      </c>
      <c r="X1456">
        <v>1.7693917057109026E-2</v>
      </c>
      <c r="Y1456">
        <v>4.1417224346034526E-3</v>
      </c>
    </row>
    <row r="1457" spans="1:25" x14ac:dyDescent="0.2">
      <c r="A1457" s="1077"/>
      <c r="B1457" s="1444">
        <v>1207</v>
      </c>
      <c r="C1457" s="1081">
        <v>1.0162293757231244</v>
      </c>
      <c r="D1457" s="1081">
        <v>1.0107792676395144</v>
      </c>
      <c r="E1457" s="1081">
        <v>0.98636454057305478</v>
      </c>
      <c r="F1457" s="1081">
        <v>0.99527861920870853</v>
      </c>
      <c r="G1457" s="1081">
        <v>1.0349108128283215</v>
      </c>
      <c r="H1457" s="1081">
        <v>1.0038418986837774</v>
      </c>
      <c r="I1457" s="1081">
        <v>0.99718100446439539</v>
      </c>
      <c r="K1457">
        <v>2.3923919720859486</v>
      </c>
      <c r="L1457">
        <v>0</v>
      </c>
      <c r="M1457">
        <v>1.6643600120463326E-3</v>
      </c>
      <c r="N1457">
        <v>0.14536237903478647</v>
      </c>
      <c r="O1457">
        <v>2.059292534181904E-2</v>
      </c>
      <c r="P1457">
        <v>2.8048504385952574E-2</v>
      </c>
      <c r="Q1457">
        <v>5.3151215436402404E-3</v>
      </c>
      <c r="R1457">
        <v>1.642474930316423E-3</v>
      </c>
      <c r="S1457">
        <v>0.25262663398411433</v>
      </c>
      <c r="T1457">
        <v>1.3648694596659297</v>
      </c>
      <c r="U1457">
        <v>0.20854231454253849</v>
      </c>
      <c r="V1457">
        <v>0.25054814935283576</v>
      </c>
      <c r="W1457">
        <v>9.6274457402356919E-2</v>
      </c>
      <c r="X1457">
        <v>1.5763636595097864E-2</v>
      </c>
      <c r="Y1457">
        <v>4.4702753186060392E-3</v>
      </c>
    </row>
    <row r="1458" spans="1:25" x14ac:dyDescent="0.2">
      <c r="A1458" s="1077"/>
      <c r="B1458" s="1444">
        <v>1208</v>
      </c>
      <c r="C1458" s="1081">
        <v>1.0010218559044306</v>
      </c>
      <c r="D1458" s="1081">
        <v>0.97156079859909161</v>
      </c>
      <c r="E1458" s="1081">
        <v>0.97828201486216204</v>
      </c>
      <c r="F1458" s="1081">
        <v>0.99016567356835516</v>
      </c>
      <c r="G1458" s="1081">
        <v>1.0194204813445735</v>
      </c>
      <c r="H1458" s="1081">
        <v>1.0248864632234909</v>
      </c>
      <c r="I1458" s="1081">
        <v>0.98513719885271567</v>
      </c>
      <c r="K1458">
        <v>2.4043726746198821</v>
      </c>
      <c r="L1458">
        <v>0</v>
      </c>
      <c r="M1458">
        <v>1.7694891706158222E-3</v>
      </c>
      <c r="N1458">
        <v>0.15085253680342794</v>
      </c>
      <c r="O1458">
        <v>2.1083196978283571E-2</v>
      </c>
      <c r="P1458">
        <v>2.7901528978224864E-2</v>
      </c>
      <c r="Q1458">
        <v>5.3971994662537015E-3</v>
      </c>
      <c r="R1458">
        <v>1.7466994830911357E-3</v>
      </c>
      <c r="S1458">
        <v>0.26015254660181242</v>
      </c>
      <c r="T1458">
        <v>1.3576853892774963</v>
      </c>
      <c r="U1458">
        <v>0.21168296695301866</v>
      </c>
      <c r="V1458">
        <v>0.24886463833814693</v>
      </c>
      <c r="W1458">
        <v>0.10039852206555902</v>
      </c>
      <c r="X1458">
        <v>1.5622998651537988E-2</v>
      </c>
      <c r="Y1458">
        <v>4.7539401936442212E-3</v>
      </c>
    </row>
    <row r="1459" spans="1:25" x14ac:dyDescent="0.2">
      <c r="A1459" s="1077"/>
      <c r="B1459" s="1444">
        <v>1209</v>
      </c>
      <c r="C1459" s="1081">
        <v>0.98927732504139787</v>
      </c>
      <c r="D1459" s="1081">
        <v>1.0092690368042869</v>
      </c>
      <c r="E1459" s="1081">
        <v>1.0250935544413942</v>
      </c>
      <c r="F1459" s="1081">
        <v>1.0369891296862219</v>
      </c>
      <c r="G1459" s="1081">
        <v>0.99335333941521942</v>
      </c>
      <c r="H1459" s="1081">
        <v>1.0104885590200046</v>
      </c>
      <c r="I1459" s="1081">
        <v>0.99124226091863155</v>
      </c>
      <c r="K1459">
        <v>2.4768834164471083</v>
      </c>
      <c r="L1459">
        <v>0</v>
      </c>
      <c r="M1459">
        <v>1.588583392484357E-3</v>
      </c>
      <c r="N1459">
        <v>0.15597238695820731</v>
      </c>
      <c r="O1459">
        <v>2.1186874563894367E-2</v>
      </c>
      <c r="P1459">
        <v>2.9765641881765781E-2</v>
      </c>
      <c r="Q1459">
        <v>5.6848100637235891E-3</v>
      </c>
      <c r="R1459">
        <v>1.5678321150998629E-3</v>
      </c>
      <c r="S1459">
        <v>0.25903876725532199</v>
      </c>
      <c r="T1459">
        <v>1.4229385178869571</v>
      </c>
      <c r="U1459">
        <v>0.21435781480112767</v>
      </c>
      <c r="V1459">
        <v>0.24498466039279279</v>
      </c>
      <c r="W1459">
        <v>0.10096122497300106</v>
      </c>
      <c r="X1459">
        <v>1.7746346766116233E-2</v>
      </c>
      <c r="Y1459">
        <v>4.2671221815839865E-3</v>
      </c>
    </row>
    <row r="1460" spans="1:25" x14ac:dyDescent="0.2">
      <c r="A1460" s="1077"/>
      <c r="B1460" s="1444">
        <v>1210</v>
      </c>
      <c r="C1460" s="1081">
        <v>0.9875296303587604</v>
      </c>
      <c r="D1460" s="1081">
        <v>1.0144220221599862</v>
      </c>
      <c r="E1460" s="1081">
        <v>1.0107464996573126</v>
      </c>
      <c r="F1460" s="1081">
        <v>1.0071966423163523</v>
      </c>
      <c r="G1460" s="1081">
        <v>1.0222708062836747</v>
      </c>
      <c r="H1460" s="1081">
        <v>1.0090712638908537</v>
      </c>
      <c r="I1460" s="1081">
        <v>1.0060171942063338</v>
      </c>
      <c r="K1460">
        <v>2.4403228497968992</v>
      </c>
      <c r="L1460">
        <v>0</v>
      </c>
      <c r="M1460">
        <v>1.635467791835891E-3</v>
      </c>
      <c r="N1460">
        <v>0.15377000751777548</v>
      </c>
      <c r="O1460">
        <v>2.1190966032977442E-2</v>
      </c>
      <c r="P1460">
        <v>2.9009041769725127E-2</v>
      </c>
      <c r="Q1460">
        <v>5.6052932461802272E-3</v>
      </c>
      <c r="R1460">
        <v>1.6140740684832385E-3</v>
      </c>
      <c r="S1460">
        <v>0.2624556967493285</v>
      </c>
      <c r="T1460">
        <v>1.3817441442087668</v>
      </c>
      <c r="U1460">
        <v>0.21468738063054674</v>
      </c>
      <c r="V1460">
        <v>0.25008292921142306</v>
      </c>
      <c r="W1460">
        <v>0.10037600271061101</v>
      </c>
      <c r="X1460">
        <v>1.7029803907876524E-2</v>
      </c>
      <c r="Y1460">
        <v>4.3929775350376975E-3</v>
      </c>
    </row>
    <row r="1461" spans="1:25" x14ac:dyDescent="0.2">
      <c r="A1461" s="1077"/>
      <c r="B1461" s="1444">
        <v>1211</v>
      </c>
      <c r="C1461" s="1081">
        <v>1.0088243795815635</v>
      </c>
      <c r="D1461" s="1081">
        <v>0.98723674582799803</v>
      </c>
      <c r="E1461" s="1081">
        <v>0.98286685446541466</v>
      </c>
      <c r="F1461" s="1081">
        <v>1.0377951400722447</v>
      </c>
      <c r="G1461" s="1081">
        <v>0.99538862483022716</v>
      </c>
      <c r="H1461" s="1081">
        <v>1.015393823995961</v>
      </c>
      <c r="I1461" s="1081">
        <v>0.96803487767403784</v>
      </c>
      <c r="K1461">
        <v>2.4506497339441271</v>
      </c>
      <c r="L1461">
        <v>0</v>
      </c>
      <c r="M1461">
        <v>1.71706872523359E-3</v>
      </c>
      <c r="N1461">
        <v>0.14841020365564075</v>
      </c>
      <c r="O1461">
        <v>2.084961205802021E-2</v>
      </c>
      <c r="P1461">
        <v>2.8671275255665839E-2</v>
      </c>
      <c r="Q1461">
        <v>5.3623253022182203E-3</v>
      </c>
      <c r="R1461">
        <v>1.6947474306590344E-3</v>
      </c>
      <c r="S1461">
        <v>0.25089211266832673</v>
      </c>
      <c r="T1461">
        <v>1.4230959792193867</v>
      </c>
      <c r="U1461">
        <v>0.21006123948776162</v>
      </c>
      <c r="V1461">
        <v>0.24425956517775232</v>
      </c>
      <c r="W1461">
        <v>9.8500105146245728E-2</v>
      </c>
      <c r="X1461">
        <v>1.595709343476831E-2</v>
      </c>
      <c r="Y1461">
        <v>4.6125438329135213E-3</v>
      </c>
    </row>
    <row r="1462" spans="1:25" x14ac:dyDescent="0.2">
      <c r="A1462" s="1077"/>
      <c r="B1462" s="1444">
        <v>1212</v>
      </c>
      <c r="C1462" s="1081">
        <v>0.98278331254524476</v>
      </c>
      <c r="D1462" s="1081">
        <v>1.0019937611005356</v>
      </c>
      <c r="E1462" s="1081">
        <v>0.97800561463866187</v>
      </c>
      <c r="F1462" s="1081">
        <v>1.0212224251987074</v>
      </c>
      <c r="G1462" s="1081">
        <v>0.99445815769779167</v>
      </c>
      <c r="H1462" s="1081">
        <v>1.0224309344148124</v>
      </c>
      <c r="I1462" s="1081">
        <v>0.98901464279951323</v>
      </c>
      <c r="K1462">
        <v>2.452838983894261</v>
      </c>
      <c r="L1462">
        <v>0</v>
      </c>
      <c r="M1462">
        <v>1.786870804727714E-3</v>
      </c>
      <c r="N1462">
        <v>0.15220222660188634</v>
      </c>
      <c r="O1462">
        <v>2.1329052313695567E-2</v>
      </c>
      <c r="P1462">
        <v>2.8499456118926056E-2</v>
      </c>
      <c r="Q1462">
        <v>5.4586019778883957E-3</v>
      </c>
      <c r="R1462">
        <v>1.7638019841874934E-3</v>
      </c>
      <c r="S1462">
        <v>0.26173816046701132</v>
      </c>
      <c r="T1462">
        <v>1.4002633956259865</v>
      </c>
      <c r="U1462">
        <v>0.21561043239500222</v>
      </c>
      <c r="V1462">
        <v>0.24575649904448801</v>
      </c>
      <c r="W1462">
        <v>0.10131372816395209</v>
      </c>
      <c r="X1462">
        <v>1.589001244216931E-2</v>
      </c>
      <c r="Y1462">
        <v>4.8004875637905342E-3</v>
      </c>
    </row>
    <row r="1463" spans="1:25" x14ac:dyDescent="0.2">
      <c r="A1463" s="1077"/>
      <c r="B1463" s="1444">
        <v>1213</v>
      </c>
      <c r="C1463" s="1081">
        <v>1.0108733134946428</v>
      </c>
      <c r="D1463" s="1081">
        <v>0.97965638411379796</v>
      </c>
      <c r="E1463" s="1081">
        <v>0.98748485232403405</v>
      </c>
      <c r="F1463" s="1081">
        <v>1.0183931456177107</v>
      </c>
      <c r="G1463" s="1081">
        <v>0.96477774846813635</v>
      </c>
      <c r="H1463" s="1081">
        <v>1.0034935236117413</v>
      </c>
      <c r="I1463" s="1081">
        <v>0.9895951928714124</v>
      </c>
      <c r="K1463">
        <v>2.4209506918847059</v>
      </c>
      <c r="L1463">
        <v>0</v>
      </c>
      <c r="M1463">
        <v>1.6802446621252628E-3</v>
      </c>
      <c r="N1463">
        <v>0.1472470611605948</v>
      </c>
      <c r="O1463">
        <v>2.0845704697500699E-2</v>
      </c>
      <c r="P1463">
        <v>2.8404016154845477E-2</v>
      </c>
      <c r="Q1463">
        <v>5.3864714206170875E-3</v>
      </c>
      <c r="R1463">
        <v>1.6581430390135272E-3</v>
      </c>
      <c r="S1463">
        <v>0.25599395622473836</v>
      </c>
      <c r="T1463">
        <v>1.3965920391155209</v>
      </c>
      <c r="U1463">
        <v>0.20965104608168098</v>
      </c>
      <c r="V1463">
        <v>0.23888819521491492</v>
      </c>
      <c r="W1463">
        <v>9.7457106449568134E-2</v>
      </c>
      <c r="X1463">
        <v>1.5994278242346439E-2</v>
      </c>
      <c r="Y1463">
        <v>4.512918745488914E-3</v>
      </c>
    </row>
    <row r="1464" spans="1:25" x14ac:dyDescent="0.2">
      <c r="A1464" s="1077"/>
      <c r="B1464" s="1444">
        <v>1214</v>
      </c>
      <c r="C1464" s="1081">
        <v>1.0242056072744643</v>
      </c>
      <c r="D1464" s="1081">
        <v>1.0126545570816734</v>
      </c>
      <c r="E1464" s="1081">
        <v>1.0290536139190138</v>
      </c>
      <c r="F1464" s="1081">
        <v>0.97399573963834973</v>
      </c>
      <c r="G1464" s="1081">
        <v>1.0224545273985626</v>
      </c>
      <c r="H1464" s="1081">
        <v>1.0225207182817388</v>
      </c>
      <c r="I1464" s="1081">
        <v>1.0134104690032384</v>
      </c>
      <c r="K1464">
        <v>2.3753614252312922</v>
      </c>
      <c r="L1464">
        <v>0</v>
      </c>
      <c r="M1464">
        <v>1.5387904707150147E-3</v>
      </c>
      <c r="N1464">
        <v>0.15292218477146838</v>
      </c>
      <c r="O1464">
        <v>2.0451840909753043E-2</v>
      </c>
      <c r="P1464">
        <v>2.8548396370143517E-2</v>
      </c>
      <c r="Q1464">
        <v>5.5091499457378046E-3</v>
      </c>
      <c r="R1464">
        <v>1.5189261558663045E-3</v>
      </c>
      <c r="S1464">
        <v>0.2564167393721119</v>
      </c>
      <c r="T1464">
        <v>1.3365839420961696</v>
      </c>
      <c r="U1464">
        <v>0.20706088307291715</v>
      </c>
      <c r="V1464">
        <v>0.24778479678365364</v>
      </c>
      <c r="W1464">
        <v>9.8759019614364132E-2</v>
      </c>
      <c r="X1464">
        <v>1.7210320327427489E-2</v>
      </c>
      <c r="Y1464">
        <v>4.1340162823953691E-3</v>
      </c>
    </row>
    <row r="1465" spans="1:25" x14ac:dyDescent="0.2">
      <c r="A1465" s="1077"/>
      <c r="B1465" s="1444">
        <v>1215</v>
      </c>
      <c r="C1465" s="1081">
        <v>1.0061565985166079</v>
      </c>
      <c r="D1465" s="1081">
        <v>0.99667898371463948</v>
      </c>
      <c r="E1465" s="1081">
        <v>1.0212718358112927</v>
      </c>
      <c r="F1465" s="1081">
        <v>0.99235208142304088</v>
      </c>
      <c r="G1465" s="1081">
        <v>0.99638222121616937</v>
      </c>
      <c r="H1465" s="1081">
        <v>1.018804250456723</v>
      </c>
      <c r="I1465" s="1081">
        <v>0.97210843197594887</v>
      </c>
      <c r="K1465">
        <v>2.4001197967116998</v>
      </c>
      <c r="L1465">
        <v>0</v>
      </c>
      <c r="M1465">
        <v>1.5917550630536587E-3</v>
      </c>
      <c r="N1465">
        <v>0.15450940258218457</v>
      </c>
      <c r="O1465">
        <v>2.0886520496370679E-2</v>
      </c>
      <c r="P1465">
        <v>2.8677594232553144E-2</v>
      </c>
      <c r="Q1465">
        <v>5.5830049730895455E-3</v>
      </c>
      <c r="R1465">
        <v>1.5711320693032218E-3</v>
      </c>
      <c r="S1465">
        <v>0.25200173008643617</v>
      </c>
      <c r="T1465">
        <v>1.3616059358450863</v>
      </c>
      <c r="U1465">
        <v>0.21074872078276152</v>
      </c>
      <c r="V1465">
        <v>0.24445637671542325</v>
      </c>
      <c r="W1465">
        <v>0.10023754533705492</v>
      </c>
      <c r="X1465">
        <v>1.7157485085394768E-2</v>
      </c>
      <c r="Y1465">
        <v>4.2761035690959187E-3</v>
      </c>
    </row>
    <row r="1466" spans="1:25" x14ac:dyDescent="0.2">
      <c r="A1466" s="1077"/>
      <c r="B1466" s="1444">
        <v>1216</v>
      </c>
      <c r="C1466" s="1081">
        <v>0.96893426405513594</v>
      </c>
      <c r="D1466" s="1081">
        <v>0.98089993120864272</v>
      </c>
      <c r="E1466" s="1081">
        <v>0.99052355252246338</v>
      </c>
      <c r="F1466" s="1081">
        <v>0.98129107723306563</v>
      </c>
      <c r="G1466" s="1081">
        <v>1.0257249052209143</v>
      </c>
      <c r="H1466" s="1081">
        <v>0.99929793280669121</v>
      </c>
      <c r="I1466" s="1081">
        <v>0.97475301379705903</v>
      </c>
      <c r="K1466">
        <v>2.4101867212866064</v>
      </c>
      <c r="L1466">
        <v>0</v>
      </c>
      <c r="M1466">
        <v>1.7342089122761109E-3</v>
      </c>
      <c r="N1466">
        <v>0.15337038672451908</v>
      </c>
      <c r="O1466">
        <v>2.1744001600612597E-2</v>
      </c>
      <c r="P1466">
        <v>2.8169742482946177E-2</v>
      </c>
      <c r="Q1466">
        <v>5.6358819223259532E-3</v>
      </c>
      <c r="R1466">
        <v>1.7113016787534407E-3</v>
      </c>
      <c r="S1466">
        <v>0.26256562712426973</v>
      </c>
      <c r="T1466">
        <v>1.3457757876094245</v>
      </c>
      <c r="U1466">
        <v>0.21873621806163202</v>
      </c>
      <c r="V1466">
        <v>0.25195963114036624</v>
      </c>
      <c r="W1466">
        <v>0.10132513509983117</v>
      </c>
      <c r="X1466">
        <v>1.6269617715082521E-2</v>
      </c>
      <c r="Y1466">
        <v>4.6575990391200788E-3</v>
      </c>
    </row>
    <row r="1467" spans="1:25" x14ac:dyDescent="0.2">
      <c r="A1467" s="1077"/>
      <c r="B1467" s="1444">
        <v>1217</v>
      </c>
      <c r="C1467" s="1081">
        <v>0.97879777672946655</v>
      </c>
      <c r="D1467" s="1081">
        <v>1.0007497750269183</v>
      </c>
      <c r="E1467" s="1081">
        <v>0.98525701122160481</v>
      </c>
      <c r="F1467" s="1081">
        <v>1.0376124174243979</v>
      </c>
      <c r="G1467" s="1081">
        <v>0.99595809774788224</v>
      </c>
      <c r="H1467" s="1081">
        <v>1.0007175669288144</v>
      </c>
      <c r="I1467" s="1081">
        <v>1.020628810795337</v>
      </c>
      <c r="K1467">
        <v>2.4825973252406999</v>
      </c>
      <c r="L1467">
        <v>0</v>
      </c>
      <c r="M1467">
        <v>1.7303762335243789E-3</v>
      </c>
      <c r="N1467">
        <v>0.15061648963205082</v>
      </c>
      <c r="O1467">
        <v>2.1426656772042744E-2</v>
      </c>
      <c r="P1467">
        <v>2.9085660075870882E-2</v>
      </c>
      <c r="Q1467">
        <v>5.5241093106650728E-3</v>
      </c>
      <c r="R1467">
        <v>1.7075520507586436E-3</v>
      </c>
      <c r="S1467">
        <v>0.26950988287902089</v>
      </c>
      <c r="T1467">
        <v>1.4228988812752372</v>
      </c>
      <c r="U1467">
        <v>0.21651361898560634</v>
      </c>
      <c r="V1467">
        <v>0.24624504359442823</v>
      </c>
      <c r="W1467">
        <v>9.9820715946277339E-2</v>
      </c>
      <c r="X1467">
        <v>1.6331697164482906E-2</v>
      </c>
      <c r="Y1467">
        <v>4.6473937877827762E-3</v>
      </c>
    </row>
    <row r="1468" spans="1:25" x14ac:dyDescent="0.2">
      <c r="A1468" s="1077"/>
      <c r="B1468" s="1444">
        <v>1218</v>
      </c>
      <c r="C1468" s="1081">
        <v>1.0001964767972036</v>
      </c>
      <c r="D1468" s="1081">
        <v>0.98639226654553969</v>
      </c>
      <c r="E1468" s="1081">
        <v>1.01135682625823</v>
      </c>
      <c r="F1468" s="1081">
        <v>0.99217875478135398</v>
      </c>
      <c r="G1468" s="1081">
        <v>1.0095417630784591</v>
      </c>
      <c r="H1468" s="1081">
        <v>0.97195769305991508</v>
      </c>
      <c r="I1468" s="1081">
        <v>1.0114748033554024</v>
      </c>
      <c r="K1468">
        <v>2.4006875093105564</v>
      </c>
      <c r="L1468">
        <v>0</v>
      </c>
      <c r="M1468">
        <v>1.5629992178769984E-3</v>
      </c>
      <c r="N1468">
        <v>0.14715285777349144</v>
      </c>
      <c r="O1468">
        <v>2.1052377382606426E-2</v>
      </c>
      <c r="P1468">
        <v>2.8640612172201867E-2</v>
      </c>
      <c r="Q1468">
        <v>5.5720312214752165E-3</v>
      </c>
      <c r="R1468">
        <v>1.5417727556327381E-3</v>
      </c>
      <c r="S1468">
        <v>0.26101466784876937</v>
      </c>
      <c r="T1468">
        <v>1.3611546615063963</v>
      </c>
      <c r="U1468">
        <v>0.21197059213457642</v>
      </c>
      <c r="V1468">
        <v>0.24710734511411514</v>
      </c>
      <c r="W1468">
        <v>9.6022009592989302E-2</v>
      </c>
      <c r="X1468">
        <v>1.6825383830598836E-2</v>
      </c>
      <c r="Y1468">
        <v>4.196197195580011E-3</v>
      </c>
    </row>
    <row r="1469" spans="1:25" x14ac:dyDescent="0.2">
      <c r="A1469" s="1077"/>
      <c r="B1469" s="1444">
        <v>1219</v>
      </c>
      <c r="C1469" s="1081">
        <v>0.99305167706666142</v>
      </c>
      <c r="D1469" s="1081">
        <v>1.0038438867581176</v>
      </c>
      <c r="E1469" s="1081">
        <v>1.0332682960023343</v>
      </c>
      <c r="F1469" s="1081">
        <v>1.0290571679891001</v>
      </c>
      <c r="G1469" s="1081">
        <v>1.0250039127645718</v>
      </c>
      <c r="H1469" s="1081">
        <v>0.9657463516844812</v>
      </c>
      <c r="I1469" s="1081">
        <v>1.0042108856935819</v>
      </c>
      <c r="K1469">
        <v>2.4590572833788666</v>
      </c>
      <c r="L1469">
        <v>0</v>
      </c>
      <c r="M1469">
        <v>1.4886953913637341E-3</v>
      </c>
      <c r="N1469">
        <v>0.14972015582982118</v>
      </c>
      <c r="O1469">
        <v>2.1136873049228479E-2</v>
      </c>
      <c r="P1469">
        <v>2.9844392726537921E-2</v>
      </c>
      <c r="Q1469">
        <v>5.7174383921607353E-3</v>
      </c>
      <c r="R1469">
        <v>1.4683479883950891E-3</v>
      </c>
      <c r="S1469">
        <v>0.25835291198271532</v>
      </c>
      <c r="T1469">
        <v>1.4122373936196475</v>
      </c>
      <c r="U1469">
        <v>0.21357135457013174</v>
      </c>
      <c r="V1469">
        <v>0.25011677901098961</v>
      </c>
      <c r="W1469">
        <v>9.645505718573702E-2</v>
      </c>
      <c r="X1469">
        <v>1.7928915231238313E-2</v>
      </c>
      <c r="Y1469">
        <v>3.9963591836271461E-3</v>
      </c>
    </row>
    <row r="1470" spans="1:25" x14ac:dyDescent="0.2">
      <c r="A1470" s="1077"/>
      <c r="B1470" s="1444">
        <v>1220</v>
      </c>
      <c r="C1470" s="1081">
        <v>0.99140515537062701</v>
      </c>
      <c r="D1470" s="1081">
        <v>0.96017701818932377</v>
      </c>
      <c r="E1470" s="1081">
        <v>1.0142949576129812</v>
      </c>
      <c r="F1470" s="1081">
        <v>0.98235930476289646</v>
      </c>
      <c r="G1470" s="1081">
        <v>0.99151572054748149</v>
      </c>
      <c r="H1470" s="1081">
        <v>0.96564206225622051</v>
      </c>
      <c r="I1470" s="1081">
        <v>0.99545052946179202</v>
      </c>
      <c r="K1470">
        <v>2.3907710683463161</v>
      </c>
      <c r="L1470">
        <v>0</v>
      </c>
      <c r="M1470">
        <v>1.566330082595551E-3</v>
      </c>
      <c r="N1470">
        <v>0.14876665802470443</v>
      </c>
      <c r="O1470">
        <v>2.1367285322719098E-2</v>
      </c>
      <c r="P1470">
        <v>2.8525246087863155E-2</v>
      </c>
      <c r="Q1470">
        <v>5.6719880900800504E-3</v>
      </c>
      <c r="R1470">
        <v>1.5449192610123392E-3</v>
      </c>
      <c r="S1470">
        <v>0.26220020044877035</v>
      </c>
      <c r="T1470">
        <v>1.3477460947444693</v>
      </c>
      <c r="U1470">
        <v>0.21386039941562068</v>
      </c>
      <c r="V1470">
        <v>0.24457302220396712</v>
      </c>
      <c r="W1470">
        <v>9.6907398422654778E-2</v>
      </c>
      <c r="X1470">
        <v>1.696942546106877E-2</v>
      </c>
      <c r="Y1470">
        <v>4.2047609459780659E-3</v>
      </c>
    </row>
    <row r="1471" spans="1:25" x14ac:dyDescent="0.2">
      <c r="A1471" s="1077"/>
      <c r="B1471" s="1444">
        <v>1221</v>
      </c>
      <c r="C1471" s="1081">
        <v>1.0455456487095685</v>
      </c>
      <c r="D1471" s="1081">
        <v>0.99161698636431739</v>
      </c>
      <c r="E1471" s="1081">
        <v>1.0043320202297898</v>
      </c>
      <c r="F1471" s="1081">
        <v>1.0085580294934935</v>
      </c>
      <c r="G1471" s="1081">
        <v>1.0121255052042679</v>
      </c>
      <c r="H1471" s="1081">
        <v>0.99298018890741779</v>
      </c>
      <c r="I1471" s="1081">
        <v>1.039780162637824</v>
      </c>
      <c r="K1471">
        <v>2.3995408459866354</v>
      </c>
      <c r="L1471">
        <v>0</v>
      </c>
      <c r="M1471">
        <v>1.5481947397649137E-3</v>
      </c>
      <c r="N1471">
        <v>0.14274147306087628</v>
      </c>
      <c r="O1471">
        <v>2.0111392634136579E-2</v>
      </c>
      <c r="P1471">
        <v>2.8595683945450624E-2</v>
      </c>
      <c r="Q1471">
        <v>5.2856837169928846E-3</v>
      </c>
      <c r="R1471">
        <v>1.5276144624719148E-3</v>
      </c>
      <c r="S1471">
        <v>0.25772236177803287</v>
      </c>
      <c r="T1471">
        <v>1.3834716602086583</v>
      </c>
      <c r="U1471">
        <v>0.20275365123452735</v>
      </c>
      <c r="V1471">
        <v>0.24486790098110803</v>
      </c>
      <c r="W1471">
        <v>9.3530731326995575E-2</v>
      </c>
      <c r="X1471">
        <v>1.6323224388272235E-2</v>
      </c>
      <c r="Y1471">
        <v>4.1576629888763371E-3</v>
      </c>
    </row>
    <row r="1472" spans="1:25" x14ac:dyDescent="0.2">
      <c r="A1472" s="1077"/>
      <c r="B1472" s="1444">
        <v>1222</v>
      </c>
      <c r="C1472" s="1081">
        <v>0.97732740366305437</v>
      </c>
      <c r="D1472" s="1081">
        <v>1.0175787741458484</v>
      </c>
      <c r="E1472" s="1081">
        <v>0.99306127268958111</v>
      </c>
      <c r="F1472" s="1081">
        <v>0.98837758040496948</v>
      </c>
      <c r="G1472" s="1081">
        <v>1.0102798094357508</v>
      </c>
      <c r="H1472" s="1081">
        <v>1.0059482147680556</v>
      </c>
      <c r="I1472" s="1081">
        <v>0.96393169702913528</v>
      </c>
      <c r="K1472">
        <v>2.4030157914387389</v>
      </c>
      <c r="L1472">
        <v>0</v>
      </c>
      <c r="M1472">
        <v>1.7078335864689385E-3</v>
      </c>
      <c r="N1472">
        <v>0.15221442923516271</v>
      </c>
      <c r="O1472">
        <v>2.1385578065330892E-2</v>
      </c>
      <c r="P1472">
        <v>2.816159789521086E-2</v>
      </c>
      <c r="Q1472">
        <v>5.5572032857212567E-3</v>
      </c>
      <c r="R1472">
        <v>1.6854238812208198E-3</v>
      </c>
      <c r="S1472">
        <v>0.25330564724559368</v>
      </c>
      <c r="T1472">
        <v>1.3555486158952024</v>
      </c>
      <c r="U1472">
        <v>0.21686660879805841</v>
      </c>
      <c r="V1472">
        <v>0.24875919099649965</v>
      </c>
      <c r="W1472">
        <v>0.10040889828396547</v>
      </c>
      <c r="X1472">
        <v>1.624326323839094E-2</v>
      </c>
      <c r="Y1472">
        <v>4.5871682048499469E-3</v>
      </c>
    </row>
    <row r="1473" spans="1:25" x14ac:dyDescent="0.2">
      <c r="A1473" s="1077"/>
      <c r="B1473" s="1444">
        <v>1223</v>
      </c>
      <c r="C1473" s="1081">
        <v>1.0035872869567712</v>
      </c>
      <c r="D1473" s="1081">
        <v>1.0220393794075782</v>
      </c>
      <c r="E1473" s="1081">
        <v>1.0325221224987087</v>
      </c>
      <c r="F1473" s="1081">
        <v>0.99556388089887127</v>
      </c>
      <c r="G1473" s="1081">
        <v>0.98003113481740012</v>
      </c>
      <c r="H1473" s="1081">
        <v>1.0054871412280173</v>
      </c>
      <c r="I1473" s="1081">
        <v>1.0044592251805986</v>
      </c>
      <c r="K1473">
        <v>2.4059155617303185</v>
      </c>
      <c r="L1473">
        <v>0</v>
      </c>
      <c r="M1473">
        <v>1.5300133673645481E-3</v>
      </c>
      <c r="N1473">
        <v>0.15361398507549276</v>
      </c>
      <c r="O1473">
        <v>2.0831993400703366E-2</v>
      </c>
      <c r="P1473">
        <v>2.9015790331060162E-2</v>
      </c>
      <c r="Q1473">
        <v>5.6308206815557354E-3</v>
      </c>
      <c r="R1473">
        <v>1.5099277621364886E-3</v>
      </c>
      <c r="S1473">
        <v>0.25677162530332359</v>
      </c>
      <c r="T1473">
        <v>1.3662563606536828</v>
      </c>
      <c r="U1473">
        <v>0.21132673897859242</v>
      </c>
      <c r="V1473">
        <v>0.24178637587699783</v>
      </c>
      <c r="W1473">
        <v>9.900637733695504E-2</v>
      </c>
      <c r="X1473">
        <v>1.7586054076198579E-2</v>
      </c>
      <c r="Y1473">
        <v>4.1095256209825052E-3</v>
      </c>
    </row>
    <row r="1474" spans="1:25" x14ac:dyDescent="0.2">
      <c r="A1474" s="1077"/>
      <c r="B1474" s="1444">
        <v>1224</v>
      </c>
      <c r="C1474" s="1081">
        <v>1.0122212147180949</v>
      </c>
      <c r="D1474" s="1081">
        <v>0.97867649827839043</v>
      </c>
      <c r="E1474" s="1081">
        <v>1.0025521533126174</v>
      </c>
      <c r="F1474" s="1081">
        <v>0.98635705510490834</v>
      </c>
      <c r="G1474" s="1081">
        <v>0.97224701066844554</v>
      </c>
      <c r="H1474" s="1081">
        <v>1.0031685718235659</v>
      </c>
      <c r="I1474" s="1081">
        <v>1.0211983219805201</v>
      </c>
      <c r="K1474">
        <v>2.3887585439771408</v>
      </c>
      <c r="L1474">
        <v>0</v>
      </c>
      <c r="M1474">
        <v>1.6262443693398272E-3</v>
      </c>
      <c r="N1474">
        <v>0.14915404758087644</v>
      </c>
      <c r="O1474">
        <v>2.0832448053755736E-2</v>
      </c>
      <c r="P1474">
        <v>2.8252582205958034E-2</v>
      </c>
      <c r="Q1474">
        <v>5.4654235451726532E-3</v>
      </c>
      <c r="R1474">
        <v>1.6048461267603215E-3</v>
      </c>
      <c r="S1474">
        <v>0.26404803526254572</v>
      </c>
      <c r="T1474">
        <v>1.3529798692951025</v>
      </c>
      <c r="U1474">
        <v>0.20942271062677439</v>
      </c>
      <c r="V1474">
        <v>0.2400295623197877</v>
      </c>
      <c r="W1474">
        <v>9.7835703820205733E-2</v>
      </c>
      <c r="X1474">
        <v>1.6391697389882182E-2</v>
      </c>
      <c r="Y1474">
        <v>4.3678621196580891E-3</v>
      </c>
    </row>
    <row r="1475" spans="1:25" x14ac:dyDescent="0.2">
      <c r="A1475" s="1077"/>
      <c r="B1475" s="1444">
        <v>1225</v>
      </c>
      <c r="C1475" s="1081">
        <v>0.98515338190914115</v>
      </c>
      <c r="D1475" s="1081">
        <v>0.99929794907231662</v>
      </c>
      <c r="E1475" s="1081">
        <v>1.0070904359742798</v>
      </c>
      <c r="F1475" s="1081">
        <v>1.0148419706687324</v>
      </c>
      <c r="G1475" s="1081">
        <v>1.0029451012265649</v>
      </c>
      <c r="H1475" s="1081">
        <v>1.0087986368803337</v>
      </c>
      <c r="I1475" s="1081">
        <v>0.99559174088122804</v>
      </c>
      <c r="K1475">
        <v>2.4487850330309557</v>
      </c>
      <c r="L1475">
        <v>0</v>
      </c>
      <c r="M1475">
        <v>1.6569304070669323E-3</v>
      </c>
      <c r="N1475">
        <v>0.15407720144512163</v>
      </c>
      <c r="O1475">
        <v>2.1309927674260425E-2</v>
      </c>
      <c r="P1475">
        <v>2.9034886340625208E-2</v>
      </c>
      <c r="Q1475">
        <v>5.6161846134367387E-3</v>
      </c>
      <c r="R1475">
        <v>1.6352500715143673E-3</v>
      </c>
      <c r="S1475">
        <v>0.26226785493244692</v>
      </c>
      <c r="T1475">
        <v>1.3921521599458637</v>
      </c>
      <c r="U1475">
        <v>0.21519251619747784</v>
      </c>
      <c r="V1475">
        <v>0.24694904706475612</v>
      </c>
      <c r="W1475">
        <v>0.10079378034251135</v>
      </c>
      <c r="X1475">
        <v>1.6962543175386386E-2</v>
      </c>
      <c r="Y1475">
        <v>4.4506116346209072E-3</v>
      </c>
    </row>
    <row r="1476" spans="1:25" x14ac:dyDescent="0.2">
      <c r="A1476" s="1077"/>
      <c r="B1476" s="1444">
        <v>1226</v>
      </c>
      <c r="C1476" s="1081">
        <v>0.97871388108183721</v>
      </c>
      <c r="D1476" s="1081">
        <v>0.97604718000615964</v>
      </c>
      <c r="E1476" s="1081">
        <v>0.97455618848612069</v>
      </c>
      <c r="F1476" s="1081">
        <v>0.96455028053958769</v>
      </c>
      <c r="G1476" s="1081">
        <v>1.0234604908567517</v>
      </c>
      <c r="H1476" s="1081">
        <v>0.998861789309758</v>
      </c>
      <c r="I1476" s="1081">
        <v>1.0083953681034574</v>
      </c>
      <c r="K1476">
        <v>2.3836837440649927</v>
      </c>
      <c r="L1476">
        <v>0</v>
      </c>
      <c r="M1476">
        <v>1.775698219532038E-3</v>
      </c>
      <c r="N1476">
        <v>0.14963358509150732</v>
      </c>
      <c r="O1476">
        <v>2.1539374115704415E-2</v>
      </c>
      <c r="P1476">
        <v>2.756810249548813E-2</v>
      </c>
      <c r="Q1476">
        <v>5.4930956369496171E-3</v>
      </c>
      <c r="R1476">
        <v>1.7522327106036233E-3</v>
      </c>
      <c r="S1476">
        <v>0.26941191994928382</v>
      </c>
      <c r="T1476">
        <v>1.3224849857775018</v>
      </c>
      <c r="U1476">
        <v>0.21649492592138733</v>
      </c>
      <c r="V1476">
        <v>0.25098920364098531</v>
      </c>
      <c r="W1476">
        <v>9.9812196277289572E-2</v>
      </c>
      <c r="X1476">
        <v>1.5510820852918663E-2</v>
      </c>
      <c r="Y1476">
        <v>4.7689998149052512E-3</v>
      </c>
    </row>
    <row r="1477" spans="1:25" x14ac:dyDescent="0.2">
      <c r="A1477" s="1077"/>
      <c r="B1477" s="1444">
        <v>1227</v>
      </c>
      <c r="C1477" s="1081">
        <v>1.0005122635150894</v>
      </c>
      <c r="D1477" s="1081">
        <v>1.01705814018786</v>
      </c>
      <c r="E1477" s="1081">
        <v>1.0257194935808565</v>
      </c>
      <c r="F1477" s="1081">
        <v>1.0103969070558652</v>
      </c>
      <c r="G1477" s="1081">
        <v>0.96344192513706473</v>
      </c>
      <c r="H1477" s="1081">
        <v>1.0026051769254578</v>
      </c>
      <c r="I1477" s="1081">
        <v>0.96485957426966129</v>
      </c>
      <c r="K1477">
        <v>2.4141041407948323</v>
      </c>
      <c r="L1477">
        <v>0</v>
      </c>
      <c r="M1477">
        <v>1.5538302966481693E-3</v>
      </c>
      <c r="N1477">
        <v>0.1528325464375741</v>
      </c>
      <c r="O1477">
        <v>2.0913976447956489E-2</v>
      </c>
      <c r="P1477">
        <v>2.9000230981421151E-2</v>
      </c>
      <c r="Q1477">
        <v>5.6150693667517343E-3</v>
      </c>
      <c r="R1477">
        <v>1.5333733948328144E-3</v>
      </c>
      <c r="S1477">
        <v>0.24771996420136927</v>
      </c>
      <c r="T1477">
        <v>1.3864628773858558</v>
      </c>
      <c r="U1477">
        <v>0.21195289774171666</v>
      </c>
      <c r="V1477">
        <v>0.23916962712895232</v>
      </c>
      <c r="W1477">
        <v>9.8892731880126122E-2</v>
      </c>
      <c r="X1477">
        <v>1.7391339220594104E-2</v>
      </c>
      <c r="Y1477">
        <v>4.1733369043311644E-3</v>
      </c>
    </row>
    <row r="1478" spans="1:25" x14ac:dyDescent="0.2">
      <c r="A1478" s="1077"/>
      <c r="B1478" s="1444">
        <v>1228</v>
      </c>
      <c r="C1478" s="1081">
        <v>0.95454344382470901</v>
      </c>
      <c r="D1478" s="1081">
        <v>0.96369959142023942</v>
      </c>
      <c r="E1478" s="1081">
        <v>1.0376962734297128</v>
      </c>
      <c r="F1478" s="1081">
        <v>0.96034023316479566</v>
      </c>
      <c r="G1478" s="1081">
        <v>0.96923312885145985</v>
      </c>
      <c r="H1478" s="1081">
        <v>1.0073187232656762</v>
      </c>
      <c r="I1478" s="1081">
        <v>0.98963234311530734</v>
      </c>
      <c r="K1478">
        <v>2.407627543496111</v>
      </c>
      <c r="L1478">
        <v>0</v>
      </c>
      <c r="M1478">
        <v>1.6150082947649807E-3</v>
      </c>
      <c r="N1478">
        <v>0.16469951457414941</v>
      </c>
      <c r="O1478">
        <v>2.219102442295029E-2</v>
      </c>
      <c r="P1478">
        <v>2.8862909627181455E-2</v>
      </c>
      <c r="Q1478">
        <v>6.0288392413202184E-3</v>
      </c>
      <c r="R1478">
        <v>1.5938454488799167E-3</v>
      </c>
      <c r="S1478">
        <v>0.27414049015101843</v>
      </c>
      <c r="T1478">
        <v>1.3180255893473944</v>
      </c>
      <c r="U1478">
        <v>0.22220320033164045</v>
      </c>
      <c r="V1478">
        <v>0.24312315050274996</v>
      </c>
      <c r="W1478">
        <v>0.10583408471521205</v>
      </c>
      <c r="X1478">
        <v>1.8201981527539809E-2</v>
      </c>
      <c r="Y1478">
        <v>4.3379219008401167E-3</v>
      </c>
    </row>
    <row r="1479" spans="1:25" x14ac:dyDescent="0.2">
      <c r="A1479" s="1077"/>
      <c r="B1479" s="1444">
        <v>1229</v>
      </c>
      <c r="C1479" s="1081">
        <v>0.98689651268451051</v>
      </c>
      <c r="D1479" s="1081">
        <v>1.0145639370156112</v>
      </c>
      <c r="E1479" s="1081">
        <v>0.95454303473306734</v>
      </c>
      <c r="F1479" s="1081">
        <v>0.9849590907222816</v>
      </c>
      <c r="G1479" s="1081">
        <v>0.98323538646734387</v>
      </c>
      <c r="H1479" s="1081">
        <v>1.0445452796670418</v>
      </c>
      <c r="I1479" s="1081">
        <v>1.0091935580275013</v>
      </c>
      <c r="K1479">
        <v>2.4009673557843314</v>
      </c>
      <c r="L1479">
        <v>0</v>
      </c>
      <c r="M1479">
        <v>1.9028510838499085E-3</v>
      </c>
      <c r="N1479">
        <v>0.15100497377424194</v>
      </c>
      <c r="O1479">
        <v>2.1166338433215547E-2</v>
      </c>
      <c r="P1479">
        <v>2.7344340371896481E-2</v>
      </c>
      <c r="Q1479">
        <v>5.2883378494040746E-3</v>
      </c>
      <c r="R1479">
        <v>1.8788050336443216E-3</v>
      </c>
      <c r="S1479">
        <v>0.26603972783434837</v>
      </c>
      <c r="T1479">
        <v>1.3500441324022305</v>
      </c>
      <c r="U1479">
        <v>0.21463099190177282</v>
      </c>
      <c r="V1479">
        <v>0.24365905288384102</v>
      </c>
      <c r="W1479">
        <v>0.10196680486569858</v>
      </c>
      <c r="X1479">
        <v>1.4733213564220171E-2</v>
      </c>
      <c r="Y1479">
        <v>5.1134879536669552E-3</v>
      </c>
    </row>
    <row r="1480" spans="1:25" x14ac:dyDescent="0.2">
      <c r="A1480" s="1077"/>
      <c r="B1480" s="1444">
        <v>1230</v>
      </c>
      <c r="C1480" s="1081">
        <v>0.99655337919530329</v>
      </c>
      <c r="D1480" s="1081">
        <v>1.0276650245531835</v>
      </c>
      <c r="E1480" s="1081">
        <v>1.0103685509651406</v>
      </c>
      <c r="F1480" s="1081">
        <v>0.99376256219361414</v>
      </c>
      <c r="G1480" s="1081">
        <v>0.97220497192170396</v>
      </c>
      <c r="H1480" s="1081">
        <v>0.99772156337509899</v>
      </c>
      <c r="I1480" s="1081">
        <v>1.0150088808851052</v>
      </c>
      <c r="K1480">
        <v>2.4010182938837894</v>
      </c>
      <c r="L1480">
        <v>0</v>
      </c>
      <c r="M1480">
        <v>1.5991193489936009E-3</v>
      </c>
      <c r="N1480">
        <v>0.15015835775912997</v>
      </c>
      <c r="O1480">
        <v>2.0938997601235236E-2</v>
      </c>
      <c r="P1480">
        <v>2.8557901828717001E-2</v>
      </c>
      <c r="Q1480">
        <v>5.5365527058208776E-3</v>
      </c>
      <c r="R1480">
        <v>1.5779631453863127E-3</v>
      </c>
      <c r="S1480">
        <v>0.25973576165947526</v>
      </c>
      <c r="T1480">
        <v>1.3633061750949709</v>
      </c>
      <c r="U1480">
        <v>0.21274209694874638</v>
      </c>
      <c r="V1480">
        <v>0.24096477926098608</v>
      </c>
      <c r="W1480">
        <v>9.8040274496878188E-2</v>
      </c>
      <c r="X1480">
        <v>1.6763857225102884E-2</v>
      </c>
      <c r="Y1480">
        <v>4.2946955063304666E-3</v>
      </c>
    </row>
    <row r="1481" spans="1:25" x14ac:dyDescent="0.2">
      <c r="A1481" s="1077"/>
      <c r="B1481" s="1444">
        <v>1231</v>
      </c>
      <c r="C1481" s="1081">
        <v>0.97431158685200281</v>
      </c>
      <c r="D1481" s="1081">
        <v>0.99012317339342604</v>
      </c>
      <c r="E1481" s="1081">
        <v>0.99365656793627244</v>
      </c>
      <c r="F1481" s="1081">
        <v>0.97040351314584294</v>
      </c>
      <c r="G1481" s="1081">
        <v>0.99846162076644185</v>
      </c>
      <c r="H1481" s="1081">
        <v>1.0274496928139081</v>
      </c>
      <c r="I1481" s="1081">
        <v>0.98661445764068356</v>
      </c>
      <c r="K1481">
        <v>2.3976265371625818</v>
      </c>
      <c r="L1481">
        <v>0</v>
      </c>
      <c r="M1481">
        <v>1.7581273020276086E-3</v>
      </c>
      <c r="N1481">
        <v>0.15702286003869198</v>
      </c>
      <c r="O1481">
        <v>2.158165329717222E-2</v>
      </c>
      <c r="P1481">
        <v>2.798970230503902E-2</v>
      </c>
      <c r="Q1481">
        <v>5.6115240880955956E-3</v>
      </c>
      <c r="R1481">
        <v>1.7355404363099372E-3</v>
      </c>
      <c r="S1481">
        <v>0.26550914466787368</v>
      </c>
      <c r="T1481">
        <v>1.3309098642809349</v>
      </c>
      <c r="U1481">
        <v>0.21753996904190034</v>
      </c>
      <c r="V1481">
        <v>0.24693605220634199</v>
      </c>
      <c r="W1481">
        <v>0.10354396595258472</v>
      </c>
      <c r="X1481">
        <v>1.6280819202780419E-2</v>
      </c>
      <c r="Y1481">
        <v>4.7235689468845795E-3</v>
      </c>
    </row>
    <row r="1482" spans="1:25" x14ac:dyDescent="0.2">
      <c r="A1482" s="1077"/>
      <c r="B1482" s="1444">
        <v>1232</v>
      </c>
      <c r="C1482" s="1081">
        <v>1.0036638782465963</v>
      </c>
      <c r="D1482" s="1081">
        <v>1.0028965313431766</v>
      </c>
      <c r="E1482" s="1081">
        <v>1.009541347736965</v>
      </c>
      <c r="F1482" s="1081">
        <v>1.0082420538366368</v>
      </c>
      <c r="G1482" s="1081">
        <v>1.0324549031181882</v>
      </c>
      <c r="H1482" s="1081">
        <v>0.98736851338950316</v>
      </c>
      <c r="I1482" s="1081">
        <v>1.0034341759913508</v>
      </c>
      <c r="K1482">
        <v>2.4237770462451085</v>
      </c>
      <c r="L1482">
        <v>0</v>
      </c>
      <c r="M1482">
        <v>1.5824879133798388E-3</v>
      </c>
      <c r="N1482">
        <v>0.14820518474698768</v>
      </c>
      <c r="O1482">
        <v>2.0901997044462866E-2</v>
      </c>
      <c r="P1482">
        <v>2.8892713311394494E-2</v>
      </c>
      <c r="Q1482">
        <v>5.5222009261963623E-3</v>
      </c>
      <c r="R1482">
        <v>1.5613322159846398E-3</v>
      </c>
      <c r="S1482">
        <v>0.25719107304667743</v>
      </c>
      <c r="T1482">
        <v>1.3831519809868578</v>
      </c>
      <c r="U1482">
        <v>0.2112320950048851</v>
      </c>
      <c r="V1482">
        <v>0.25081017604163652</v>
      </c>
      <c r="W1482">
        <v>9.6812236774024465E-2</v>
      </c>
      <c r="X1482">
        <v>1.6829112460498678E-2</v>
      </c>
      <c r="Y1482">
        <v>4.2494315988835171E-3</v>
      </c>
    </row>
    <row r="1483" spans="1:25" x14ac:dyDescent="0.2">
      <c r="A1483" s="1077"/>
      <c r="B1483" s="1444">
        <v>1233</v>
      </c>
      <c r="C1483" s="1081">
        <v>0.99620398530304044</v>
      </c>
      <c r="D1483" s="1081">
        <v>0.98913963125240045</v>
      </c>
      <c r="E1483" s="1081">
        <v>1.0027733596307793</v>
      </c>
      <c r="F1483" s="1081">
        <v>0.95104170178050018</v>
      </c>
      <c r="G1483" s="1081">
        <v>0.96554073902867543</v>
      </c>
      <c r="H1483" s="1081">
        <v>0.97451426146557762</v>
      </c>
      <c r="I1483" s="1081">
        <v>1.0282770407639699</v>
      </c>
      <c r="K1483">
        <v>2.3414245687889261</v>
      </c>
      <c r="L1483">
        <v>0</v>
      </c>
      <c r="M1483">
        <v>1.6007069557215515E-3</v>
      </c>
      <c r="N1483">
        <v>0.14685236885055464</v>
      </c>
      <c r="O1483">
        <v>2.1118080922295491E-2</v>
      </c>
      <c r="P1483">
        <v>2.7668168700417824E-2</v>
      </c>
      <c r="Q1483">
        <v>5.5415899835677242E-3</v>
      </c>
      <c r="R1483">
        <v>1.5790254294368478E-3</v>
      </c>
      <c r="S1483">
        <v>0.26619280642629989</v>
      </c>
      <c r="T1483">
        <v>1.3045425701711486</v>
      </c>
      <c r="U1483">
        <v>0.21279062332304718</v>
      </c>
      <c r="V1483">
        <v>0.23987476594498763</v>
      </c>
      <c r="W1483">
        <v>9.6313310043060027E-2</v>
      </c>
      <c r="X1483">
        <v>1.6254379256497822E-2</v>
      </c>
      <c r="Y1483">
        <v>4.2975866933341799E-3</v>
      </c>
    </row>
    <row r="1484" spans="1:25" x14ac:dyDescent="0.2">
      <c r="A1484" s="1077"/>
      <c r="B1484" s="1444">
        <v>1234</v>
      </c>
      <c r="C1484" s="1081">
        <v>1.0017363115274431</v>
      </c>
      <c r="D1484" s="1081">
        <v>0.99501364080734422</v>
      </c>
      <c r="E1484" s="1081">
        <v>1.001469822353485</v>
      </c>
      <c r="F1484" s="1081">
        <v>1.008297125816249</v>
      </c>
      <c r="G1484" s="1081">
        <v>0.98099729723653617</v>
      </c>
      <c r="H1484" s="1081">
        <v>0.98916041660015375</v>
      </c>
      <c r="I1484" s="1081">
        <v>0.98901173258182051</v>
      </c>
      <c r="K1484">
        <v>2.4127425622493783</v>
      </c>
      <c r="L1484">
        <v>0</v>
      </c>
      <c r="M1484">
        <v>1.6180584113898639E-3</v>
      </c>
      <c r="N1484">
        <v>0.14789091839084689</v>
      </c>
      <c r="O1484">
        <v>2.0973247620846142E-2</v>
      </c>
      <c r="P1484">
        <v>2.8577228864941306E-2</v>
      </c>
      <c r="Q1484">
        <v>5.4963862033197228E-3</v>
      </c>
      <c r="R1484">
        <v>1.5964663709446402E-3</v>
      </c>
      <c r="S1484">
        <v>0.25507611981297607</v>
      </c>
      <c r="T1484">
        <v>1.3830513158100104</v>
      </c>
      <c r="U1484">
        <v>0.21161098712079029</v>
      </c>
      <c r="V1484">
        <v>0.24217272581166241</v>
      </c>
      <c r="W1484">
        <v>9.706949390579403E-2</v>
      </c>
      <c r="X1484">
        <v>1.6500675561920784E-2</v>
      </c>
      <c r="Y1484">
        <v>4.3450551867135669E-3</v>
      </c>
    </row>
    <row r="1485" spans="1:25" x14ac:dyDescent="0.2">
      <c r="A1485" s="1077"/>
      <c r="B1485" s="1444">
        <v>1235</v>
      </c>
      <c r="C1485" s="1081">
        <v>1.0021897091834322</v>
      </c>
      <c r="D1485" s="1081">
        <v>0.99053079599666283</v>
      </c>
      <c r="E1485" s="1081">
        <v>1.0318773543592628</v>
      </c>
      <c r="F1485" s="1081">
        <v>1.022510388246983</v>
      </c>
      <c r="G1485" s="1081">
        <v>0.96165358778651522</v>
      </c>
      <c r="H1485" s="1081">
        <v>0.99804824795188973</v>
      </c>
      <c r="I1485" s="1081">
        <v>0.99196438427322364</v>
      </c>
      <c r="K1485">
        <v>2.4416205817981993</v>
      </c>
      <c r="L1485">
        <v>0</v>
      </c>
      <c r="M1485">
        <v>1.5333844840301201E-3</v>
      </c>
      <c r="N1485">
        <v>0.15363831341844764</v>
      </c>
      <c r="O1485">
        <v>2.1004825329078082E-2</v>
      </c>
      <c r="P1485">
        <v>2.9487565403098208E-2</v>
      </c>
      <c r="Q1485">
        <v>5.6739228025925858E-3</v>
      </c>
      <c r="R1485">
        <v>1.5131045869691774E-3</v>
      </c>
      <c r="S1485">
        <v>0.25730083209316013</v>
      </c>
      <c r="T1485">
        <v>1.4032218967077668</v>
      </c>
      <c r="U1485">
        <v>0.21161922942683317</v>
      </c>
      <c r="V1485">
        <v>0.23873971291455809</v>
      </c>
      <c r="W1485">
        <v>9.9059061514119862E-2</v>
      </c>
      <c r="X1485">
        <v>1.7777330194666204E-2</v>
      </c>
      <c r="Y1485">
        <v>4.1181718909370606E-3</v>
      </c>
    </row>
    <row r="1486" spans="1:25" x14ac:dyDescent="0.2">
      <c r="A1486" s="1077"/>
      <c r="B1486" s="1444">
        <v>1236</v>
      </c>
      <c r="C1486" s="1081">
        <v>1.0396187549501217</v>
      </c>
      <c r="D1486" s="1081">
        <v>1.0409992905994794</v>
      </c>
      <c r="E1486" s="1081">
        <v>1.0191179191809703</v>
      </c>
      <c r="F1486" s="1081">
        <v>0.9638055147165151</v>
      </c>
      <c r="G1486" s="1081">
        <v>1.0027520166084036</v>
      </c>
      <c r="H1486" s="1081">
        <v>0.98148194381505083</v>
      </c>
      <c r="I1486" s="1081">
        <v>1.0108350358844722</v>
      </c>
      <c r="K1486">
        <v>2.323446200646003</v>
      </c>
      <c r="L1486">
        <v>0</v>
      </c>
      <c r="M1486">
        <v>1.4765519487016229E-3</v>
      </c>
      <c r="N1486">
        <v>0.14232743186899369</v>
      </c>
      <c r="O1486">
        <v>2.0020318648224282E-2</v>
      </c>
      <c r="P1486">
        <v>2.7887764314334585E-2</v>
      </c>
      <c r="Q1486">
        <v>5.3400220117786812E-3</v>
      </c>
      <c r="R1486">
        <v>1.4566940799862667E-3</v>
      </c>
      <c r="S1486">
        <v>0.24510621324049742</v>
      </c>
      <c r="T1486">
        <v>1.322392124150066</v>
      </c>
      <c r="U1486">
        <v>0.20395825849062407</v>
      </c>
      <c r="V1486">
        <v>0.24355451407323367</v>
      </c>
      <c r="W1486">
        <v>9.2450937081639137E-2</v>
      </c>
      <c r="X1486">
        <v>1.6463833548675751E-2</v>
      </c>
      <c r="Y1486">
        <v>3.9646410866482074E-3</v>
      </c>
    </row>
    <row r="1487" spans="1:25" x14ac:dyDescent="0.2">
      <c r="A1487" s="1077"/>
      <c r="B1487" s="1444">
        <v>1237</v>
      </c>
      <c r="C1487" s="1081">
        <v>1.0223097258506944</v>
      </c>
      <c r="D1487" s="1081">
        <v>0.96188019998699115</v>
      </c>
      <c r="E1487" s="1081">
        <v>1.0251402215787966</v>
      </c>
      <c r="F1487" s="1081">
        <v>1.0174840817923976</v>
      </c>
      <c r="G1487" s="1081">
        <v>1.0417475552959357</v>
      </c>
      <c r="H1487" s="1081">
        <v>1.0182326403410071</v>
      </c>
      <c r="I1487" s="1081">
        <v>0.9999836046239613</v>
      </c>
      <c r="K1487">
        <v>2.4450808873139644</v>
      </c>
      <c r="L1487">
        <v>0</v>
      </c>
      <c r="M1487">
        <v>1.5653588202382009E-3</v>
      </c>
      <c r="N1487">
        <v>0.15372922554244789</v>
      </c>
      <c r="O1487">
        <v>2.0720394169342474E-2</v>
      </c>
      <c r="P1487">
        <v>2.9394017115553148E-2</v>
      </c>
      <c r="Q1487">
        <v>5.5599024061725281E-3</v>
      </c>
      <c r="R1487">
        <v>1.5450664345355966E-3</v>
      </c>
      <c r="S1487">
        <v>0.25970617975634347</v>
      </c>
      <c r="T1487">
        <v>1.3961750611142143</v>
      </c>
      <c r="U1487">
        <v>0.20743174049208496</v>
      </c>
      <c r="V1487">
        <v>0.25120434246253331</v>
      </c>
      <c r="W1487">
        <v>9.9506516354267785E-2</v>
      </c>
      <c r="X1487">
        <v>1.7468638782911591E-2</v>
      </c>
      <c r="Y1487">
        <v>4.2051615037926359E-3</v>
      </c>
    </row>
    <row r="1488" spans="1:25" x14ac:dyDescent="0.2">
      <c r="A1488" s="1077"/>
      <c r="B1488" s="1444">
        <v>1238</v>
      </c>
      <c r="C1488" s="1081">
        <v>0.99514089564968478</v>
      </c>
      <c r="D1488" s="1081">
        <v>0.96045151773029713</v>
      </c>
      <c r="E1488" s="1081">
        <v>0.97128399057404979</v>
      </c>
      <c r="F1488" s="1081">
        <v>0.99960519623445176</v>
      </c>
      <c r="G1488" s="1081">
        <v>1.018221094743242</v>
      </c>
      <c r="H1488" s="1081">
        <v>1.0019777371991423</v>
      </c>
      <c r="I1488" s="1081">
        <v>1.0016962141589136</v>
      </c>
      <c r="K1488">
        <v>2.4193319988462783</v>
      </c>
      <c r="L1488">
        <v>0</v>
      </c>
      <c r="M1488">
        <v>1.7699751649810746E-3</v>
      </c>
      <c r="N1488">
        <v>0.14768731077382341</v>
      </c>
      <c r="O1488">
        <v>2.1256827570861454E-2</v>
      </c>
      <c r="P1488">
        <v>2.8015477349077587E-2</v>
      </c>
      <c r="Q1488">
        <v>5.4029683426960566E-3</v>
      </c>
      <c r="R1488">
        <v>1.7466580229035017E-3</v>
      </c>
      <c r="S1488">
        <v>0.26559582683011501</v>
      </c>
      <c r="T1488">
        <v>1.3704780749653083</v>
      </c>
      <c r="U1488">
        <v>0.21291000509410443</v>
      </c>
      <c r="V1488">
        <v>0.24905423444134389</v>
      </c>
      <c r="W1488">
        <v>9.8709883108690097E-2</v>
      </c>
      <c r="X1488">
        <v>1.5490880159654543E-2</v>
      </c>
      <c r="Y1488">
        <v>4.7538273526808268E-3</v>
      </c>
    </row>
    <row r="1489" spans="1:25" x14ac:dyDescent="0.2">
      <c r="A1489" s="1077"/>
      <c r="B1489" s="1444">
        <v>1239</v>
      </c>
      <c r="C1489" s="1081">
        <v>0.97378305937757015</v>
      </c>
      <c r="D1489" s="1081">
        <v>1.0098356925478795</v>
      </c>
      <c r="E1489" s="1081">
        <v>1.0168081491550098</v>
      </c>
      <c r="F1489" s="1081">
        <v>0.99948471894858537</v>
      </c>
      <c r="G1489" s="1081">
        <v>0.9984957859988568</v>
      </c>
      <c r="H1489" s="1081">
        <v>1.018725994450175</v>
      </c>
      <c r="I1489" s="1081">
        <v>0.98619307393303712</v>
      </c>
      <c r="K1489">
        <v>2.4379248610951025</v>
      </c>
      <c r="L1489">
        <v>0</v>
      </c>
      <c r="M1489">
        <v>1.6551072709100746E-3</v>
      </c>
      <c r="N1489">
        <v>0.15850967314300013</v>
      </c>
      <c r="O1489">
        <v>2.1515677233399283E-2</v>
      </c>
      <c r="P1489">
        <v>2.899161569258462E-2</v>
      </c>
      <c r="Q1489">
        <v>5.725701684466033E-3</v>
      </c>
      <c r="R1489">
        <v>1.6336618301324103E-3</v>
      </c>
      <c r="S1489">
        <v>0.26238643748396306</v>
      </c>
      <c r="T1489">
        <v>1.3712957712736689</v>
      </c>
      <c r="U1489">
        <v>0.2177393739430219</v>
      </c>
      <c r="V1489">
        <v>0.24689492912815394</v>
      </c>
      <c r="W1489">
        <v>0.10310181117088189</v>
      </c>
      <c r="X1489">
        <v>1.7339026817593708E-2</v>
      </c>
      <c r="Y1489">
        <v>4.4462889651428533E-3</v>
      </c>
    </row>
    <row r="1490" spans="1:25" x14ac:dyDescent="0.2">
      <c r="A1490" s="1077"/>
      <c r="B1490" s="1444">
        <v>1240</v>
      </c>
      <c r="C1490" s="1081">
        <v>1.007035780992048</v>
      </c>
      <c r="D1490" s="1081">
        <v>0.9938105816866919</v>
      </c>
      <c r="E1490" s="1081">
        <v>0.98274771539801764</v>
      </c>
      <c r="F1490" s="1081">
        <v>0.98140899695504058</v>
      </c>
      <c r="G1490" s="1081">
        <v>0.98759134429807738</v>
      </c>
      <c r="H1490" s="1081">
        <v>0.99339986532514579</v>
      </c>
      <c r="I1490" s="1081">
        <v>0.98945306710737546</v>
      </c>
      <c r="K1490">
        <v>2.3689610172595414</v>
      </c>
      <c r="L1490">
        <v>0</v>
      </c>
      <c r="M1490">
        <v>1.6808186394621334E-3</v>
      </c>
      <c r="N1490">
        <v>0.14518232876253911</v>
      </c>
      <c r="O1490">
        <v>2.0856090662768639E-2</v>
      </c>
      <c r="P1490">
        <v>2.7660337964266007E-2</v>
      </c>
      <c r="Q1490">
        <v>5.3633430512350852E-3</v>
      </c>
      <c r="R1490">
        <v>1.6584848212337947E-3</v>
      </c>
      <c r="S1490">
        <v>0.25420582931760166</v>
      </c>
      <c r="T1490">
        <v>1.3457729068430508</v>
      </c>
      <c r="U1490">
        <v>0.21043392645657669</v>
      </c>
      <c r="V1490">
        <v>0.24303761747871552</v>
      </c>
      <c r="W1490">
        <v>9.6364675798775876E-2</v>
      </c>
      <c r="X1490">
        <v>1.5592445778216125E-2</v>
      </c>
      <c r="Y1490">
        <v>4.5138489640240021E-3</v>
      </c>
    </row>
    <row r="1491" spans="1:25" x14ac:dyDescent="0.2">
      <c r="A1491" s="1077"/>
      <c r="B1491" s="1444">
        <v>1241</v>
      </c>
      <c r="C1491" s="1081">
        <v>1.0177782493464156</v>
      </c>
      <c r="D1491" s="1081">
        <v>1.0161827678742172</v>
      </c>
      <c r="E1491" s="1081">
        <v>1.0394997168596414</v>
      </c>
      <c r="F1491" s="1081">
        <v>1.0170745897820839</v>
      </c>
      <c r="G1491" s="1081">
        <v>0.9909125010514811</v>
      </c>
      <c r="H1491" s="1081">
        <v>1.0041759266195502</v>
      </c>
      <c r="I1491" s="1081">
        <v>1.0340797246710258</v>
      </c>
      <c r="K1491">
        <v>2.4364174197500468</v>
      </c>
      <c r="L1491">
        <v>0</v>
      </c>
      <c r="M1491">
        <v>1.4868234890334526E-3</v>
      </c>
      <c r="N1491">
        <v>0.15244687672105903</v>
      </c>
      <c r="O1491">
        <v>2.0572076645915933E-2</v>
      </c>
      <c r="P1491">
        <v>2.9615947013314107E-2</v>
      </c>
      <c r="Q1491">
        <v>5.5989322873780138E-3</v>
      </c>
      <c r="R1491">
        <v>1.4672793822778309E-3</v>
      </c>
      <c r="S1491">
        <v>0.26134951790249761</v>
      </c>
      <c r="T1491">
        <v>1.3959310152201101</v>
      </c>
      <c r="U1491">
        <v>0.20840375422811153</v>
      </c>
      <c r="V1491">
        <v>0.24275172056017455</v>
      </c>
      <c r="W1491">
        <v>9.7858866495425509E-2</v>
      </c>
      <c r="X1491">
        <v>1.791480599277245E-2</v>
      </c>
      <c r="Y1491">
        <v>3.9934507900418808E-3</v>
      </c>
    </row>
    <row r="1492" spans="1:25" x14ac:dyDescent="0.2">
      <c r="A1492" s="1077"/>
      <c r="B1492" s="1444">
        <v>1242</v>
      </c>
      <c r="C1492" s="1081">
        <v>0.95730681855820754</v>
      </c>
      <c r="D1492" s="1081">
        <v>0.99579032376478427</v>
      </c>
      <c r="E1492" s="1081">
        <v>0.98672559162499707</v>
      </c>
      <c r="F1492" s="1081">
        <v>0.9661806182960333</v>
      </c>
      <c r="G1492" s="1081">
        <v>1.0079950642425761</v>
      </c>
      <c r="H1492" s="1081">
        <v>1.0245104010695605</v>
      </c>
      <c r="I1492" s="1081">
        <v>1.0118279490423385</v>
      </c>
      <c r="K1492">
        <v>2.4114780950530572</v>
      </c>
      <c r="L1492">
        <v>0</v>
      </c>
      <c r="M1492">
        <v>1.8077642788607974E-3</v>
      </c>
      <c r="N1492">
        <v>0.1581020417884699</v>
      </c>
      <c r="O1492">
        <v>2.1932646608391639E-2</v>
      </c>
      <c r="P1492">
        <v>2.7995584709661802E-2</v>
      </c>
      <c r="Q1492">
        <v>5.6629795215982631E-3</v>
      </c>
      <c r="R1492">
        <v>1.7844730905267957E-3</v>
      </c>
      <c r="S1492">
        <v>0.27601782376676981</v>
      </c>
      <c r="T1492">
        <v>1.3249736119175446</v>
      </c>
      <c r="U1492">
        <v>0.22137945068531945</v>
      </c>
      <c r="V1492">
        <v>0.24972683825699554</v>
      </c>
      <c r="W1492">
        <v>0.10468931176505347</v>
      </c>
      <c r="X1492">
        <v>1.6164349720568832E-2</v>
      </c>
      <c r="Y1492">
        <v>4.8567475010177419E-3</v>
      </c>
    </row>
    <row r="1493" spans="1:25" x14ac:dyDescent="0.2">
      <c r="A1493" s="1077"/>
      <c r="B1493" s="1444">
        <v>1243</v>
      </c>
      <c r="C1493" s="1081">
        <v>0.99020872948867544</v>
      </c>
      <c r="D1493" s="1081">
        <v>0.99167498254532349</v>
      </c>
      <c r="E1493" s="1081">
        <v>1.0019579158206686</v>
      </c>
      <c r="F1493" s="1081">
        <v>1.0224064052192949</v>
      </c>
      <c r="G1493" s="1081">
        <v>0.98924852355281756</v>
      </c>
      <c r="H1493" s="1081">
        <v>0.99072812705296986</v>
      </c>
      <c r="I1493" s="1081">
        <v>1.0240893340020714</v>
      </c>
      <c r="K1493">
        <v>2.4541143377789534</v>
      </c>
      <c r="L1493">
        <v>0</v>
      </c>
      <c r="M1493">
        <v>1.6390414396311023E-3</v>
      </c>
      <c r="N1493">
        <v>0.15003303141509983</v>
      </c>
      <c r="O1493">
        <v>2.123343146014325E-2</v>
      </c>
      <c r="P1493">
        <v>2.9088860057388768E-2</v>
      </c>
      <c r="Q1493">
        <v>5.5672998576399551E-3</v>
      </c>
      <c r="R1493">
        <v>1.6172040029164469E-3</v>
      </c>
      <c r="S1493">
        <v>0.26779192354417025</v>
      </c>
      <c r="T1493">
        <v>1.4024153935246406</v>
      </c>
      <c r="U1493">
        <v>0.21407615613654152</v>
      </c>
      <c r="V1493">
        <v>0.2443051425309605</v>
      </c>
      <c r="W1493">
        <v>9.8446963874086163E-2</v>
      </c>
      <c r="X1493">
        <v>1.6776476630214674E-2</v>
      </c>
      <c r="Y1493">
        <v>4.4014961847822828E-3</v>
      </c>
    </row>
    <row r="1494" spans="1:25" x14ac:dyDescent="0.2">
      <c r="A1494" s="1077"/>
      <c r="B1494" s="1444">
        <v>1244</v>
      </c>
      <c r="C1494" s="1081">
        <v>0.98188686930470304</v>
      </c>
      <c r="D1494" s="1081">
        <v>1.0124000794354622</v>
      </c>
      <c r="E1494" s="1081">
        <v>1.016347473736481</v>
      </c>
      <c r="F1494" s="1081">
        <v>0.99451856420945928</v>
      </c>
      <c r="G1494" s="1081">
        <v>0.99700540885162459</v>
      </c>
      <c r="H1494" s="1081">
        <v>0.99052538127482748</v>
      </c>
      <c r="I1494" s="1081">
        <v>0.98666658633389093</v>
      </c>
      <c r="K1494">
        <v>2.4132844907852258</v>
      </c>
      <c r="L1494">
        <v>0</v>
      </c>
      <c r="M1494">
        <v>1.5966468562117566E-3</v>
      </c>
      <c r="N1494">
        <v>0.15264143356451429</v>
      </c>
      <c r="O1494">
        <v>2.1325887970400109E-2</v>
      </c>
      <c r="P1494">
        <v>2.8785916748553436E-2</v>
      </c>
      <c r="Q1494">
        <v>5.6725919914351955E-3</v>
      </c>
      <c r="R1494">
        <v>1.5753699009600829E-3</v>
      </c>
      <c r="S1494">
        <v>0.25760834198781069</v>
      </c>
      <c r="T1494">
        <v>1.3644722519193953</v>
      </c>
      <c r="U1494">
        <v>0.21594069707322933</v>
      </c>
      <c r="V1494">
        <v>0.24611317987392747</v>
      </c>
      <c r="W1494">
        <v>9.9311679526377927E-2</v>
      </c>
      <c r="X1494">
        <v>1.7146149534967396E-2</v>
      </c>
      <c r="Y1494">
        <v>4.2876375498650653E-3</v>
      </c>
    </row>
    <row r="1495" spans="1:25" x14ac:dyDescent="0.2">
      <c r="A1495" s="1077"/>
      <c r="B1495" s="1444">
        <v>1245</v>
      </c>
      <c r="C1495" s="1081">
        <v>0.98818055364712309</v>
      </c>
      <c r="D1495" s="1081">
        <v>1.0059977746038158</v>
      </c>
      <c r="E1495" s="1081">
        <v>0.9836727011474079</v>
      </c>
      <c r="F1495" s="1081">
        <v>1.0310848359993083</v>
      </c>
      <c r="G1495" s="1081">
        <v>0.96573065443096873</v>
      </c>
      <c r="H1495" s="1081">
        <v>0.99058650611894672</v>
      </c>
      <c r="I1495" s="1081">
        <v>0.99690645760601559</v>
      </c>
      <c r="K1495">
        <v>2.4489383264315268</v>
      </c>
      <c r="L1495">
        <v>0</v>
      </c>
      <c r="M1495">
        <v>1.7002082860973144E-3</v>
      </c>
      <c r="N1495">
        <v>0.14726298206638827</v>
      </c>
      <c r="O1495">
        <v>2.1197743509787405E-2</v>
      </c>
      <c r="P1495">
        <v>2.8685051487664943E-2</v>
      </c>
      <c r="Q1495">
        <v>5.4563205725920725E-3</v>
      </c>
      <c r="R1495">
        <v>1.6775526667527879E-3</v>
      </c>
      <c r="S1495">
        <v>0.25918391692572101</v>
      </c>
      <c r="T1495">
        <v>1.4139122584625425</v>
      </c>
      <c r="U1495">
        <v>0.21445235490111597</v>
      </c>
      <c r="V1495">
        <v>0.24048129236608765</v>
      </c>
      <c r="W1495">
        <v>9.7691268213166135E-2</v>
      </c>
      <c r="X1495">
        <v>1.6072048191991938E-2</v>
      </c>
      <c r="Y1495">
        <v>4.5657453538131164E-3</v>
      </c>
    </row>
    <row r="1496" spans="1:25" x14ac:dyDescent="0.2">
      <c r="A1496" s="1077"/>
      <c r="B1496" s="1444">
        <v>1246</v>
      </c>
      <c r="C1496" s="1081">
        <v>1.0370428190125023</v>
      </c>
      <c r="D1496" s="1081">
        <v>0.98712127118347259</v>
      </c>
      <c r="E1496" s="1081">
        <v>1.0271238223894468</v>
      </c>
      <c r="F1496" s="1081">
        <v>0.98137439106848823</v>
      </c>
      <c r="G1496" s="1081">
        <v>1.0000373599838224</v>
      </c>
      <c r="H1496" s="1081">
        <v>1.0244172522135604</v>
      </c>
      <c r="I1496" s="1081">
        <v>1.0404950094828185</v>
      </c>
      <c r="K1496">
        <v>2.383626100717569</v>
      </c>
      <c r="L1496">
        <v>0</v>
      </c>
      <c r="M1496">
        <v>1.5373070162606947E-3</v>
      </c>
      <c r="N1496">
        <v>0.15189212887423981</v>
      </c>
      <c r="O1496">
        <v>2.0311231247028438E-2</v>
      </c>
      <c r="P1496">
        <v>2.8647834142334572E-2</v>
      </c>
      <c r="Q1496">
        <v>5.4608336254456935E-3</v>
      </c>
      <c r="R1496">
        <v>1.5174985913318998E-3</v>
      </c>
      <c r="S1496">
        <v>0.26349022739316547</v>
      </c>
      <c r="T1496">
        <v>1.3466682501835612</v>
      </c>
      <c r="U1496">
        <v>0.20449135669534169</v>
      </c>
      <c r="V1496">
        <v>0.24321200846315488</v>
      </c>
      <c r="W1496">
        <v>9.8203907995690329E-2</v>
      </c>
      <c r="X1496">
        <v>1.7137999600205466E-2</v>
      </c>
      <c r="Y1496">
        <v>4.1301309223292434E-3</v>
      </c>
    </row>
    <row r="1497" spans="1:25" x14ac:dyDescent="0.2">
      <c r="A1497" s="1077"/>
      <c r="B1497" s="1444">
        <v>1247</v>
      </c>
      <c r="C1497" s="1081">
        <v>0.97575456120785142</v>
      </c>
      <c r="D1497" s="1081">
        <v>0.97071896413359526</v>
      </c>
      <c r="E1497" s="1081">
        <v>0.98681038886446726</v>
      </c>
      <c r="F1497" s="1081">
        <v>0.97026868622062012</v>
      </c>
      <c r="G1497" s="1081">
        <v>1.0132229600787961</v>
      </c>
      <c r="H1497" s="1081">
        <v>1.0247411534003492</v>
      </c>
      <c r="I1497" s="1081">
        <v>1.010720349798726</v>
      </c>
      <c r="K1497">
        <v>2.4065695275283416</v>
      </c>
      <c r="L1497">
        <v>0</v>
      </c>
      <c r="M1497">
        <v>1.783652725136484E-3</v>
      </c>
      <c r="N1497">
        <v>0.15603377892711454</v>
      </c>
      <c r="O1497">
        <v>2.1639096877340711E-2</v>
      </c>
      <c r="P1497">
        <v>2.7984741768868466E-2</v>
      </c>
      <c r="Q1497">
        <v>5.5876651393452371E-3</v>
      </c>
      <c r="R1497">
        <v>1.7606773642207584E-3</v>
      </c>
      <c r="S1497">
        <v>0.2740001997090854</v>
      </c>
      <c r="T1497">
        <v>1.3305815662446383</v>
      </c>
      <c r="U1497">
        <v>0.21719431842887238</v>
      </c>
      <c r="V1497">
        <v>0.24938766503274509</v>
      </c>
      <c r="W1497">
        <v>0.1033145229438881</v>
      </c>
      <c r="X1497">
        <v>1.6076964439082804E-2</v>
      </c>
      <c r="Y1497">
        <v>4.7919833782717773E-3</v>
      </c>
    </row>
    <row r="1498" spans="1:25" x14ac:dyDescent="0.2">
      <c r="A1498" s="1077"/>
      <c r="B1498" s="1444">
        <v>1248</v>
      </c>
      <c r="C1498" s="1081">
        <v>0.99336616979626069</v>
      </c>
      <c r="D1498" s="1081">
        <v>1.0065961576889439</v>
      </c>
      <c r="E1498" s="1081">
        <v>1.0167591086411072</v>
      </c>
      <c r="F1498" s="1081">
        <v>0.99050052604451289</v>
      </c>
      <c r="G1498" s="1081">
        <v>1.0084074261469738</v>
      </c>
      <c r="H1498" s="1081">
        <v>0.9900323508334723</v>
      </c>
      <c r="I1498" s="1081">
        <v>1.0441490558631863</v>
      </c>
      <c r="K1498">
        <v>2.4161736343050193</v>
      </c>
      <c r="L1498">
        <v>0</v>
      </c>
      <c r="M1498">
        <v>1.5780555434137078E-3</v>
      </c>
      <c r="N1498">
        <v>0.15105057373564823</v>
      </c>
      <c r="O1498">
        <v>2.1106401425225962E-2</v>
      </c>
      <c r="P1498">
        <v>2.8874848804281355E-2</v>
      </c>
      <c r="Q1498">
        <v>5.6165118482069563E-3</v>
      </c>
      <c r="R1498">
        <v>1.5570158640287144E-3</v>
      </c>
      <c r="S1498">
        <v>0.270202027992482</v>
      </c>
      <c r="T1498">
        <v>1.3589683799392609</v>
      </c>
      <c r="U1498">
        <v>0.21344671490604394</v>
      </c>
      <c r="V1498">
        <v>0.24732344974331485</v>
      </c>
      <c r="W1498">
        <v>9.8252903980685244E-2</v>
      </c>
      <c r="X1498">
        <v>1.7115177697506409E-2</v>
      </c>
      <c r="Y1498">
        <v>4.2376839117445287E-3</v>
      </c>
    </row>
    <row r="1499" spans="1:25" x14ac:dyDescent="0.2">
      <c r="A1499" s="1077"/>
      <c r="B1499" s="1444">
        <v>1249</v>
      </c>
      <c r="C1499" s="1081">
        <v>1.0016645173706513</v>
      </c>
      <c r="D1499" s="1081">
        <v>1.0013319125192022</v>
      </c>
      <c r="E1499" s="1081">
        <v>1.0138270245915828</v>
      </c>
      <c r="F1499" s="1081">
        <v>0.99552956049273067</v>
      </c>
      <c r="G1499" s="1081">
        <v>1.0034183062166933</v>
      </c>
      <c r="H1499" s="1081">
        <v>1.0102589650217395</v>
      </c>
      <c r="I1499" s="1081">
        <v>1.0256249521721501</v>
      </c>
      <c r="K1499">
        <v>2.4177910570888281</v>
      </c>
      <c r="L1499">
        <v>0</v>
      </c>
      <c r="M1499">
        <v>1.608574867493155E-3</v>
      </c>
      <c r="N1499">
        <v>0.15265674214662087</v>
      </c>
      <c r="O1499">
        <v>2.0953757303342573E-2</v>
      </c>
      <c r="P1499">
        <v>2.880072778516787E-2</v>
      </c>
      <c r="Q1499">
        <v>5.5596208839413727E-3</v>
      </c>
      <c r="R1499">
        <v>1.5875576710109619E-3</v>
      </c>
      <c r="S1499">
        <v>0.26563977054032195</v>
      </c>
      <c r="T1499">
        <v>1.3658049001723196</v>
      </c>
      <c r="U1499">
        <v>0.21166837385969495</v>
      </c>
      <c r="V1499">
        <v>0.24596174435325208</v>
      </c>
      <c r="W1499">
        <v>9.9468774979489027E-2</v>
      </c>
      <c r="X1499">
        <v>1.6976853618914194E-2</v>
      </c>
      <c r="Y1499">
        <v>4.3208086422462395E-3</v>
      </c>
    </row>
    <row r="1500" spans="1:25" x14ac:dyDescent="0.2">
      <c r="A1500" s="1077"/>
      <c r="B1500" s="1444">
        <v>1250</v>
      </c>
      <c r="C1500" s="1081">
        <v>0.97853897692498437</v>
      </c>
      <c r="D1500" s="1081">
        <v>0.97484384370911603</v>
      </c>
      <c r="E1500" s="1081">
        <v>0.99508793429951403</v>
      </c>
      <c r="F1500" s="1081">
        <v>0.98419402227585262</v>
      </c>
      <c r="G1500" s="1081">
        <v>1.0081471125855659</v>
      </c>
      <c r="H1500" s="1081">
        <v>0.96444823657362411</v>
      </c>
      <c r="I1500" s="1081">
        <v>1.0104836499367122</v>
      </c>
      <c r="K1500">
        <v>2.4027470551019028</v>
      </c>
      <c r="L1500">
        <v>0</v>
      </c>
      <c r="M1500">
        <v>1.6439401439645922E-3</v>
      </c>
      <c r="N1500">
        <v>0.14733572490485281</v>
      </c>
      <c r="O1500">
        <v>2.1563041217755024E-2</v>
      </c>
      <c r="P1500">
        <v>2.8307881900848243E-2</v>
      </c>
      <c r="Q1500">
        <v>5.6147825048913419E-3</v>
      </c>
      <c r="R1500">
        <v>1.6214406217487814E-3</v>
      </c>
      <c r="S1500">
        <v>0.26732173516803553</v>
      </c>
      <c r="T1500">
        <v>1.3498540020041123</v>
      </c>
      <c r="U1500">
        <v>0.21660516937891208</v>
      </c>
      <c r="V1500">
        <v>0.24830853969998962</v>
      </c>
      <c r="W1500">
        <v>9.7073092309052644E-2</v>
      </c>
      <c r="X1500">
        <v>1.6372558671021095E-2</v>
      </c>
      <c r="Y1500">
        <v>4.4130268646428768E-3</v>
      </c>
    </row>
    <row r="1501" spans="1:25" x14ac:dyDescent="0.2">
      <c r="A1501" s="1077"/>
      <c r="B1501" s="1444">
        <v>1251</v>
      </c>
      <c r="C1501" s="1081">
        <v>1.0349618534334173</v>
      </c>
      <c r="D1501" s="1081">
        <v>1.0175159856457896</v>
      </c>
      <c r="E1501" s="1081">
        <v>1.0385220697858089</v>
      </c>
      <c r="F1501" s="1081">
        <v>1.0312095323459904</v>
      </c>
      <c r="G1501" s="1081">
        <v>0.98558534688487676</v>
      </c>
      <c r="H1501" s="1081">
        <v>1.0016944308733937</v>
      </c>
      <c r="I1501" s="1081">
        <v>0.97863293662973816</v>
      </c>
      <c r="K1501">
        <v>2.4261172037932321</v>
      </c>
      <c r="L1501">
        <v>0</v>
      </c>
      <c r="M1501">
        <v>1.4610811625968361E-3</v>
      </c>
      <c r="N1501">
        <v>0.1493619673248239</v>
      </c>
      <c r="O1501">
        <v>2.0224053053662126E-2</v>
      </c>
      <c r="P1501">
        <v>2.9531984556834943E-2</v>
      </c>
      <c r="Q1501">
        <v>5.4989219986980014E-3</v>
      </c>
      <c r="R1501">
        <v>1.4418278571551122E-3</v>
      </c>
      <c r="S1501">
        <v>0.24286406467730906</v>
      </c>
      <c r="T1501">
        <v>1.4153092018818441</v>
      </c>
      <c r="U1501">
        <v>0.20494035232457608</v>
      </c>
      <c r="V1501">
        <v>0.24082783202219166</v>
      </c>
      <c r="W1501">
        <v>9.593264143463702E-2</v>
      </c>
      <c r="X1501">
        <v>1.7721257695344435E-2</v>
      </c>
      <c r="Y1501">
        <v>3.9241801287508418E-3</v>
      </c>
    </row>
    <row r="1502" spans="1:25" x14ac:dyDescent="0.2">
      <c r="A1502" s="1077"/>
      <c r="B1502" s="1444">
        <v>1252</v>
      </c>
      <c r="C1502" s="1081">
        <v>0.98241845838654518</v>
      </c>
      <c r="D1502" s="1081">
        <v>0.98775988106920642</v>
      </c>
      <c r="E1502" s="1081">
        <v>1.0163244241179368</v>
      </c>
      <c r="F1502" s="1081">
        <v>1.0273769005418723</v>
      </c>
      <c r="G1502" s="1081">
        <v>1.0173828221607069</v>
      </c>
      <c r="H1502" s="1081">
        <v>1.0267260993419045</v>
      </c>
      <c r="I1502" s="1081">
        <v>0.99811380546314565</v>
      </c>
      <c r="K1502">
        <v>2.4829975684655059</v>
      </c>
      <c r="L1502">
        <v>0</v>
      </c>
      <c r="M1502">
        <v>1.6631744020987333E-3</v>
      </c>
      <c r="N1502">
        <v>0.15906620246049941</v>
      </c>
      <c r="O1502">
        <v>2.1430184896559509E-2</v>
      </c>
      <c r="P1502">
        <v>2.9581453349121045E-2</v>
      </c>
      <c r="Q1502">
        <v>5.700203629609258E-3</v>
      </c>
      <c r="R1502">
        <v>1.6417923487572455E-3</v>
      </c>
      <c r="S1502">
        <v>0.26683419464403962</v>
      </c>
      <c r="T1502">
        <v>1.4095531370580061</v>
      </c>
      <c r="U1502">
        <v>0.21582377062261127</v>
      </c>
      <c r="V1502">
        <v>0.24955715697363398</v>
      </c>
      <c r="W1502">
        <v>0.10349316694617358</v>
      </c>
      <c r="X1502">
        <v>1.7511062381975771E-2</v>
      </c>
      <c r="Y1502">
        <v>4.4684175566149101E-3</v>
      </c>
    </row>
    <row r="1503" spans="1:25" x14ac:dyDescent="0.2">
      <c r="A1503" s="1077"/>
      <c r="B1503" s="1444">
        <v>1253</v>
      </c>
      <c r="C1503" s="1081">
        <v>1.0083489147377902</v>
      </c>
      <c r="D1503" s="1081">
        <v>0.99027516100256618</v>
      </c>
      <c r="E1503" s="1081">
        <v>0.99608250376425866</v>
      </c>
      <c r="F1503" s="1081">
        <v>1.0024972325535713</v>
      </c>
      <c r="G1503" s="1081">
        <v>1.0250547137739674</v>
      </c>
      <c r="H1503" s="1081">
        <v>0.97872279700323339</v>
      </c>
      <c r="I1503" s="1081">
        <v>1.000375628936695</v>
      </c>
      <c r="K1503">
        <v>2.4058585417646698</v>
      </c>
      <c r="L1503">
        <v>0</v>
      </c>
      <c r="M1503">
        <v>1.6100454664911485E-3</v>
      </c>
      <c r="N1503">
        <v>0.14476163648987539</v>
      </c>
      <c r="O1503">
        <v>2.0854048360950981E-2</v>
      </c>
      <c r="P1503">
        <v>2.8443294366547679E-2</v>
      </c>
      <c r="Q1503">
        <v>5.4356131076004951E-3</v>
      </c>
      <c r="R1503">
        <v>1.5883312254487774E-3</v>
      </c>
      <c r="S1503">
        <v>0.25600449947773724</v>
      </c>
      <c r="T1503">
        <v>1.3749789934256051</v>
      </c>
      <c r="U1503">
        <v>0.2102050144042498</v>
      </c>
      <c r="V1503">
        <v>0.24930770008262559</v>
      </c>
      <c r="W1503">
        <v>9.5320578293976929E-2</v>
      </c>
      <c r="X1503">
        <v>1.6245963994117339E-2</v>
      </c>
      <c r="Y1503">
        <v>4.3229140024238222E-3</v>
      </c>
    </row>
    <row r="1504" spans="1:25" x14ac:dyDescent="0.2">
      <c r="A1504" s="1077"/>
      <c r="B1504" s="1444">
        <v>1254</v>
      </c>
      <c r="C1504" s="1081">
        <v>0.98755929915895091</v>
      </c>
      <c r="D1504" s="1081">
        <v>1.0058412525743674</v>
      </c>
      <c r="E1504" s="1081">
        <v>1.0366908849145255</v>
      </c>
      <c r="F1504" s="1081">
        <v>0.99350982153067358</v>
      </c>
      <c r="G1504" s="1081">
        <v>1.02486994068191</v>
      </c>
      <c r="H1504" s="1081">
        <v>0.97292354493470845</v>
      </c>
      <c r="I1504" s="1081">
        <v>0.99763573879173018</v>
      </c>
      <c r="K1504">
        <v>2.4152625756441468</v>
      </c>
      <c r="L1504">
        <v>0</v>
      </c>
      <c r="M1504">
        <v>1.496720097853116E-3</v>
      </c>
      <c r="N1504">
        <v>0.15210331221482271</v>
      </c>
      <c r="O1504">
        <v>2.1247443814000243E-2</v>
      </c>
      <c r="P1504">
        <v>2.9258420286922465E-2</v>
      </c>
      <c r="Q1504">
        <v>5.7667754748347037E-3</v>
      </c>
      <c r="R1504">
        <v>1.4764139242276822E-3</v>
      </c>
      <c r="S1504">
        <v>0.25847535955854256</v>
      </c>
      <c r="T1504">
        <v>1.3635276615171532</v>
      </c>
      <c r="U1504">
        <v>0.21477105477234942</v>
      </c>
      <c r="V1504">
        <v>0.25043137216998934</v>
      </c>
      <c r="W1504">
        <v>9.7796641524809269E-2</v>
      </c>
      <c r="X1504">
        <v>1.7886528482316758E-2</v>
      </c>
      <c r="Y1504">
        <v>4.0183120020284343E-3</v>
      </c>
    </row>
    <row r="1505" spans="1:25" x14ac:dyDescent="0.2">
      <c r="A1505" s="1077"/>
      <c r="B1505" s="1444">
        <v>1255</v>
      </c>
      <c r="C1505" s="1081">
        <v>1.0072182691417233</v>
      </c>
      <c r="D1505" s="1081">
        <v>1.0388425510789794</v>
      </c>
      <c r="E1505" s="1081">
        <v>1.0006819265911582</v>
      </c>
      <c r="F1505" s="1081">
        <v>0.97348036130167004</v>
      </c>
      <c r="G1505" s="1081">
        <v>0.96318259085411262</v>
      </c>
      <c r="H1505" s="1081">
        <v>1.007709952198359</v>
      </c>
      <c r="I1505" s="1081">
        <v>0.96921365728106945</v>
      </c>
      <c r="K1505">
        <v>2.3493396333138277</v>
      </c>
      <c r="L1505">
        <v>0</v>
      </c>
      <c r="M1505">
        <v>1.6266128002210627E-3</v>
      </c>
      <c r="N1505">
        <v>0.14835626492228637</v>
      </c>
      <c r="O1505">
        <v>2.0661703759426102E-2</v>
      </c>
      <c r="P1505">
        <v>2.7706187707730298E-2</v>
      </c>
      <c r="Q1505">
        <v>5.4104568857219933E-3</v>
      </c>
      <c r="R1505">
        <v>1.6053061657054053E-3</v>
      </c>
      <c r="S1505">
        <v>0.24481160874359364</v>
      </c>
      <c r="T1505">
        <v>1.3352775982069143</v>
      </c>
      <c r="U1505">
        <v>0.2104565837872063</v>
      </c>
      <c r="V1505">
        <v>0.23879429274463473</v>
      </c>
      <c r="W1505">
        <v>9.7420499044334877E-2</v>
      </c>
      <c r="X1505">
        <v>1.6096629952479742E-2</v>
      </c>
      <c r="Y1505">
        <v>4.3691141940148115E-3</v>
      </c>
    </row>
    <row r="1506" spans="1:25" x14ac:dyDescent="0.2">
      <c r="A1506" s="1077"/>
      <c r="B1506" s="1444">
        <v>1256</v>
      </c>
      <c r="C1506" s="1081">
        <v>0.99879784112404524</v>
      </c>
      <c r="D1506" s="1081">
        <v>0.9864946728065741</v>
      </c>
      <c r="E1506" s="1081">
        <v>0.99066585622246062</v>
      </c>
      <c r="F1506" s="1081">
        <v>0.99942893783564302</v>
      </c>
      <c r="G1506" s="1081">
        <v>0.98107978344044844</v>
      </c>
      <c r="H1506" s="1081">
        <v>1.0300571516033488</v>
      </c>
      <c r="I1506" s="1081">
        <v>0.977524319120887</v>
      </c>
      <c r="K1506">
        <v>2.4125235698610363</v>
      </c>
      <c r="L1506">
        <v>0</v>
      </c>
      <c r="M1506">
        <v>1.7314623371877745E-3</v>
      </c>
      <c r="N1506">
        <v>0.15325461330167783</v>
      </c>
      <c r="O1506">
        <v>2.106758397447079E-2</v>
      </c>
      <c r="P1506">
        <v>2.8220201416252359E-2</v>
      </c>
      <c r="Q1506">
        <v>5.4613447739150639E-3</v>
      </c>
      <c r="R1506">
        <v>1.7092743479848059E-3</v>
      </c>
      <c r="S1506">
        <v>0.2572783975756136</v>
      </c>
      <c r="T1506">
        <v>1.3706537335114886</v>
      </c>
      <c r="U1506">
        <v>0.21219659619321141</v>
      </c>
      <c r="V1506">
        <v>0.24240793681980238</v>
      </c>
      <c r="W1506">
        <v>0.10124002176555805</v>
      </c>
      <c r="X1506">
        <v>1.6113247205171693E-2</v>
      </c>
      <c r="Y1506">
        <v>4.6520813130772618E-3</v>
      </c>
    </row>
    <row r="1507" spans="1:25" x14ac:dyDescent="0.2">
      <c r="A1507" s="1077"/>
      <c r="B1507" s="1444">
        <v>1257</v>
      </c>
      <c r="C1507" s="1081">
        <v>1.0287294106359048</v>
      </c>
      <c r="D1507" s="1081">
        <v>1.0151406732215102</v>
      </c>
      <c r="E1507" s="1081">
        <v>0.99430467132214817</v>
      </c>
      <c r="F1507" s="1081">
        <v>1.0102032689955016</v>
      </c>
      <c r="G1507" s="1081">
        <v>1.0059961006817064</v>
      </c>
      <c r="H1507" s="1081">
        <v>1.0266456683216598</v>
      </c>
      <c r="I1507" s="1081">
        <v>0.9645130011658154</v>
      </c>
      <c r="K1507">
        <v>2.398759951489807</v>
      </c>
      <c r="L1507">
        <v>0</v>
      </c>
      <c r="M1507">
        <v>1.6524928847575513E-3</v>
      </c>
      <c r="N1507">
        <v>0.1478762700840833</v>
      </c>
      <c r="O1507">
        <v>2.0328539436151542E-2</v>
      </c>
      <c r="P1507">
        <v>2.8250791911012471E-2</v>
      </c>
      <c r="Q1507">
        <v>5.2891534504446915E-3</v>
      </c>
      <c r="R1507">
        <v>1.6312464904353866E-3</v>
      </c>
      <c r="S1507">
        <v>0.24273636657317982</v>
      </c>
      <c r="T1507">
        <v>1.3855094318279453</v>
      </c>
      <c r="U1507">
        <v>0.20603467103512677</v>
      </c>
      <c r="V1507">
        <v>0.24483339336845067</v>
      </c>
      <c r="W1507">
        <v>9.7474791145508416E-2</v>
      </c>
      <c r="X1507">
        <v>1.6008073845521453E-2</v>
      </c>
      <c r="Y1507">
        <v>4.4397152067040709E-3</v>
      </c>
    </row>
    <row r="1508" spans="1:25" x14ac:dyDescent="0.2">
      <c r="A1508" s="1077"/>
      <c r="B1508" s="1444">
        <v>1258</v>
      </c>
      <c r="C1508" s="1081">
        <v>1.0065717242370262</v>
      </c>
      <c r="D1508" s="1081">
        <v>0.99466643327116433</v>
      </c>
      <c r="E1508" s="1081">
        <v>0.96353177248193089</v>
      </c>
      <c r="F1508" s="1081">
        <v>0.97331633525683248</v>
      </c>
      <c r="G1508" s="1081">
        <v>0.95472762836009584</v>
      </c>
      <c r="H1508" s="1081">
        <v>0.96393686426434066</v>
      </c>
      <c r="I1508" s="1081">
        <v>1.006090375626254</v>
      </c>
      <c r="K1508">
        <v>2.3417306805210285</v>
      </c>
      <c r="L1508">
        <v>0</v>
      </c>
      <c r="M1508">
        <v>1.6974644522145773E-3</v>
      </c>
      <c r="N1508">
        <v>0.13827757888641945</v>
      </c>
      <c r="O1508">
        <v>2.0849125180994244E-2</v>
      </c>
      <c r="P1508">
        <v>2.7053439302970141E-2</v>
      </c>
      <c r="Q1508">
        <v>5.2574572819754075E-3</v>
      </c>
      <c r="R1508">
        <v>1.6742200534608086E-3</v>
      </c>
      <c r="S1508">
        <v>0.25582598758956027</v>
      </c>
      <c r="T1508">
        <v>1.3342734575135535</v>
      </c>
      <c r="U1508">
        <v>0.21046597099087089</v>
      </c>
      <c r="V1508">
        <v>0.23751792338392641</v>
      </c>
      <c r="W1508">
        <v>9.2858692231973974E-2</v>
      </c>
      <c r="X1508">
        <v>1.4817617478508502E-2</v>
      </c>
      <c r="Y1508">
        <v>4.5566750790280268E-3</v>
      </c>
    </row>
    <row r="1509" spans="1:25" x14ac:dyDescent="0.2">
      <c r="A1509" s="1077"/>
      <c r="B1509" s="1444">
        <v>1259</v>
      </c>
      <c r="C1509" s="1081">
        <v>1.0208283582404458</v>
      </c>
      <c r="D1509" s="1081">
        <v>0.98215372940424339</v>
      </c>
      <c r="E1509" s="1081">
        <v>0.99191909482557539</v>
      </c>
      <c r="F1509" s="1081">
        <v>0.97317746802123828</v>
      </c>
      <c r="G1509" s="1081">
        <v>0.99732070671341111</v>
      </c>
      <c r="H1509" s="1081">
        <v>0.99365209765600804</v>
      </c>
      <c r="I1509" s="1081">
        <v>1.0001539944609608</v>
      </c>
      <c r="K1509">
        <v>2.3555939749264589</v>
      </c>
      <c r="L1509">
        <v>0</v>
      </c>
      <c r="M1509">
        <v>1.6315667729229313E-3</v>
      </c>
      <c r="N1509">
        <v>0.14489192661784075</v>
      </c>
      <c r="O1509">
        <v>2.0633749644839453E-2</v>
      </c>
      <c r="P1509">
        <v>2.7686291117995872E-2</v>
      </c>
      <c r="Q1509">
        <v>5.3556570250916759E-3</v>
      </c>
      <c r="R1509">
        <v>1.6098928903050317E-3</v>
      </c>
      <c r="S1509">
        <v>0.25508702128360217</v>
      </c>
      <c r="T1509">
        <v>1.3346778305042708</v>
      </c>
      <c r="U1509">
        <v>0.20762136789581093</v>
      </c>
      <c r="V1509">
        <v>0.24382966556497165</v>
      </c>
      <c r="W1509">
        <v>9.5643869900115017E-2</v>
      </c>
      <c r="X1509">
        <v>1.5806671508176297E-2</v>
      </c>
      <c r="Y1509">
        <v>4.3815977463616358E-3</v>
      </c>
    </row>
    <row r="1510" spans="1:25" x14ac:dyDescent="0.2">
      <c r="A1510" s="1077"/>
      <c r="B1510" s="1444">
        <v>1260</v>
      </c>
      <c r="C1510" s="1081">
        <v>1.0137955270951993</v>
      </c>
      <c r="D1510" s="1081">
        <v>1.0067500574402339</v>
      </c>
      <c r="E1510" s="1081">
        <v>0.99914361792373185</v>
      </c>
      <c r="F1510" s="1081">
        <v>1.0031132811427093</v>
      </c>
      <c r="G1510" s="1081">
        <v>1.0082214130580514</v>
      </c>
      <c r="H1510" s="1081">
        <v>0.98497719642275827</v>
      </c>
      <c r="I1510" s="1081">
        <v>1.0407134812251257</v>
      </c>
      <c r="K1510">
        <v>2.4095571219133216</v>
      </c>
      <c r="L1510">
        <v>0</v>
      </c>
      <c r="M1510">
        <v>1.5956292692038256E-3</v>
      </c>
      <c r="N1510">
        <v>0.14481122262029963</v>
      </c>
      <c r="O1510">
        <v>2.0668854159997682E-2</v>
      </c>
      <c r="P1510">
        <v>2.8560895172179693E-2</v>
      </c>
      <c r="Q1510">
        <v>5.4039663927709621E-3</v>
      </c>
      <c r="R1510">
        <v>1.5742461017766362E-3</v>
      </c>
      <c r="S1510">
        <v>0.26327787846598666</v>
      </c>
      <c r="T1510">
        <v>1.375890317995375</v>
      </c>
      <c r="U1510">
        <v>0.20908600616147158</v>
      </c>
      <c r="V1510">
        <v>0.24608917020235141</v>
      </c>
      <c r="W1510">
        <v>9.5179578299138895E-2</v>
      </c>
      <c r="X1510">
        <v>1.6326036672228671E-2</v>
      </c>
      <c r="Y1510">
        <v>4.2845789389480233E-3</v>
      </c>
    </row>
    <row r="1511" spans="1:25" x14ac:dyDescent="0.2">
      <c r="A1511" s="1077"/>
      <c r="B1511" s="1444">
        <v>1261</v>
      </c>
      <c r="C1511" s="1081">
        <v>1.0122868612475742</v>
      </c>
      <c r="D1511" s="1081">
        <v>0.97645542779267547</v>
      </c>
      <c r="E1511" s="1081">
        <v>1.0198471152651947</v>
      </c>
      <c r="F1511" s="1081">
        <v>0.97834535905671782</v>
      </c>
      <c r="G1511" s="1081">
        <v>1.0255871306498145</v>
      </c>
      <c r="H1511" s="1081">
        <v>0.99475472964114897</v>
      </c>
      <c r="I1511" s="1081">
        <v>1.0035416496099301</v>
      </c>
      <c r="K1511">
        <v>2.3842187025118649</v>
      </c>
      <c r="L1511">
        <v>0</v>
      </c>
      <c r="M1511">
        <v>1.5563584650967021E-3</v>
      </c>
      <c r="N1511">
        <v>0.15037786341267373</v>
      </c>
      <c r="O1511">
        <v>2.0852930329646011E-2</v>
      </c>
      <c r="P1511">
        <v>2.8526854995967837E-2</v>
      </c>
      <c r="Q1511">
        <v>5.5661393512705911E-3</v>
      </c>
      <c r="R1511">
        <v>1.5357065734467833E-3</v>
      </c>
      <c r="S1511">
        <v>0.25919131423777048</v>
      </c>
      <c r="T1511">
        <v>1.3423570482480298</v>
      </c>
      <c r="U1511">
        <v>0.20946763101920218</v>
      </c>
      <c r="V1511">
        <v>0.24907030049675044</v>
      </c>
      <c r="W1511">
        <v>9.7638536466564591E-2</v>
      </c>
      <c r="X1511">
        <v>1.7011048798250186E-2</v>
      </c>
      <c r="Y1511">
        <v>4.1796870473862638E-3</v>
      </c>
    </row>
    <row r="1512" spans="1:25" x14ac:dyDescent="0.2">
      <c r="A1512" s="1077"/>
      <c r="B1512" s="1444">
        <v>1262</v>
      </c>
      <c r="C1512" s="1081">
        <v>0.9965539756621874</v>
      </c>
      <c r="D1512" s="1081">
        <v>0.98846317057116606</v>
      </c>
      <c r="E1512" s="1081">
        <v>1.0264131249005335</v>
      </c>
      <c r="F1512" s="1081">
        <v>1.0140330004239209</v>
      </c>
      <c r="G1512" s="1081">
        <v>0.98200938163107532</v>
      </c>
      <c r="H1512" s="1081">
        <v>1.0213113967626783</v>
      </c>
      <c r="I1512" s="1081">
        <v>0.96618805573371935</v>
      </c>
      <c r="K1512">
        <v>2.4381894370581381</v>
      </c>
      <c r="L1512">
        <v>0</v>
      </c>
      <c r="M1512">
        <v>1.5968011014207569E-3</v>
      </c>
      <c r="N1512">
        <v>0.15742640171620353</v>
      </c>
      <c r="O1512">
        <v>2.1129660771460258E-2</v>
      </c>
      <c r="P1512">
        <v>2.9233624623861004E-2</v>
      </c>
      <c r="Q1512">
        <v>5.6768773923653237E-3</v>
      </c>
      <c r="R1512">
        <v>1.5761635169578379E-3</v>
      </c>
      <c r="S1512">
        <v>0.25417816603384963</v>
      </c>
      <c r="T1512">
        <v>1.3914676012172253</v>
      </c>
      <c r="U1512">
        <v>0.21279715802211557</v>
      </c>
      <c r="V1512">
        <v>0.24258359243269303</v>
      </c>
      <c r="W1512">
        <v>0.10182412589425371</v>
      </c>
      <c r="X1512">
        <v>1.76030690275772E-2</v>
      </c>
      <c r="Y1512">
        <v>4.2897975109955095E-3</v>
      </c>
    </row>
    <row r="1513" spans="1:25" x14ac:dyDescent="0.2">
      <c r="A1513" s="1077"/>
      <c r="B1513" s="1444">
        <v>1263</v>
      </c>
      <c r="C1513" s="1081">
        <v>1.0060283097336011</v>
      </c>
      <c r="D1513" s="1081">
        <v>1.0067535171002484</v>
      </c>
      <c r="E1513" s="1081">
        <v>1.0429819553151485</v>
      </c>
      <c r="F1513" s="1081">
        <v>1.0043364354702076</v>
      </c>
      <c r="G1513" s="1081">
        <v>1.0172705066234027</v>
      </c>
      <c r="H1513" s="1081">
        <v>1.0395718881211637</v>
      </c>
      <c r="I1513" s="1081">
        <v>0.97819828902743422</v>
      </c>
      <c r="K1513">
        <v>2.4333172486425214</v>
      </c>
      <c r="L1513">
        <v>0</v>
      </c>
      <c r="M1513">
        <v>1.549106385725408E-3</v>
      </c>
      <c r="N1513">
        <v>0.16058039358426041</v>
      </c>
      <c r="O1513">
        <v>2.0857385233179444E-2</v>
      </c>
      <c r="P1513">
        <v>2.945249124143547E-2</v>
      </c>
      <c r="Q1513">
        <v>5.6960393571752373E-3</v>
      </c>
      <c r="R1513">
        <v>1.529436903142444E-3</v>
      </c>
      <c r="S1513">
        <v>0.2542349928948926</v>
      </c>
      <c r="T1513">
        <v>1.3785241866571112</v>
      </c>
      <c r="U1513">
        <v>0.21084971676713124</v>
      </c>
      <c r="V1513">
        <v>0.24795220693078529</v>
      </c>
      <c r="W1513">
        <v>0.10287361571105387</v>
      </c>
      <c r="X1513">
        <v>1.8153266676461652E-2</v>
      </c>
      <c r="Y1513">
        <v>4.1626230716141129E-3</v>
      </c>
    </row>
    <row r="1514" spans="1:25" x14ac:dyDescent="0.2">
      <c r="A1514" s="1077"/>
      <c r="B1514" s="1444">
        <v>1264</v>
      </c>
      <c r="C1514" s="1081">
        <v>1.0262091545254908</v>
      </c>
      <c r="D1514" s="1081">
        <v>1.010465842418822</v>
      </c>
      <c r="E1514" s="1081">
        <v>1.0103151262558576</v>
      </c>
      <c r="F1514" s="1081">
        <v>0.99239826440325396</v>
      </c>
      <c r="G1514" s="1081">
        <v>0.97054875549826836</v>
      </c>
      <c r="H1514" s="1081">
        <v>1.0322531952126586</v>
      </c>
      <c r="I1514" s="1081">
        <v>1.0002821053556747</v>
      </c>
      <c r="K1514">
        <v>2.3858321432442424</v>
      </c>
      <c r="L1514">
        <v>0</v>
      </c>
      <c r="M1514">
        <v>1.6128100776947056E-3</v>
      </c>
      <c r="N1514">
        <v>0.15148741561230927</v>
      </c>
      <c r="O1514">
        <v>2.0409502594358794E-2</v>
      </c>
      <c r="P1514">
        <v>2.8332333458392554E-2</v>
      </c>
      <c r="Q1514">
        <v>5.3962589587467696E-3</v>
      </c>
      <c r="R1514">
        <v>1.5921865378051461E-3</v>
      </c>
      <c r="S1514">
        <v>0.25352797781331243</v>
      </c>
      <c r="T1514">
        <v>1.3614333962574481</v>
      </c>
      <c r="U1514">
        <v>0.20659401815532005</v>
      </c>
      <c r="V1514">
        <v>0.23887259298440994</v>
      </c>
      <c r="W1514">
        <v>9.8911148170156671E-2</v>
      </c>
      <c r="X1514">
        <v>1.6554715887923524E-2</v>
      </c>
      <c r="Y1514">
        <v>4.3334068917544807E-3</v>
      </c>
    </row>
    <row r="1515" spans="1:25" x14ac:dyDescent="0.2">
      <c r="A1515" s="1077"/>
      <c r="B1515" s="1444">
        <v>1265</v>
      </c>
      <c r="C1515" s="1081">
        <v>0.96567953480114876</v>
      </c>
      <c r="D1515" s="1081">
        <v>0.97172392703814536</v>
      </c>
      <c r="E1515" s="1081">
        <v>1.0061944896855703</v>
      </c>
      <c r="F1515" s="1081">
        <v>1.005093043028964</v>
      </c>
      <c r="G1515" s="1081">
        <v>1.0030862449871945</v>
      </c>
      <c r="H1515" s="1081">
        <v>0.96973308831583194</v>
      </c>
      <c r="I1515" s="1081">
        <v>0.98621943713184046</v>
      </c>
      <c r="K1515">
        <v>2.4410933112348778</v>
      </c>
      <c r="L1515">
        <v>0</v>
      </c>
      <c r="M1515">
        <v>1.6379635495356662E-3</v>
      </c>
      <c r="N1515">
        <v>0.15182081977759102</v>
      </c>
      <c r="O1515">
        <v>2.1873281729694494E-2</v>
      </c>
      <c r="P1515">
        <v>2.8951784797786928E-2</v>
      </c>
      <c r="Q1515">
        <v>5.7594851194460615E-3</v>
      </c>
      <c r="R1515">
        <v>1.6156679971410179E-3</v>
      </c>
      <c r="S1515">
        <v>0.26536266688728621</v>
      </c>
      <c r="T1515">
        <v>1.3787591560654096</v>
      </c>
      <c r="U1515">
        <v>0.2195289034708014</v>
      </c>
      <c r="V1515">
        <v>0.24825365296646451</v>
      </c>
      <c r="W1515">
        <v>9.9370331395865555E-2</v>
      </c>
      <c r="X1515">
        <v>1.7038208893516794E-2</v>
      </c>
      <c r="Y1515">
        <v>4.3973156834057354E-3</v>
      </c>
    </row>
    <row r="1516" spans="1:25" x14ac:dyDescent="0.2">
      <c r="A1516" s="1077"/>
      <c r="B1516" s="1444">
        <v>1266</v>
      </c>
      <c r="C1516" s="1081">
        <v>1.0119840996283025</v>
      </c>
      <c r="D1516" s="1081">
        <v>1.0093853093401735</v>
      </c>
      <c r="E1516" s="1081">
        <v>1.0055267439497888</v>
      </c>
      <c r="F1516" s="1081">
        <v>0.9632472744092383</v>
      </c>
      <c r="G1516" s="1081">
        <v>1.0368867974742682</v>
      </c>
      <c r="H1516" s="1081">
        <v>1.0143353204502727</v>
      </c>
      <c r="I1516" s="1081">
        <v>1.0082238990041812</v>
      </c>
      <c r="K1516">
        <v>2.3630547778281028</v>
      </c>
      <c r="L1516">
        <v>0</v>
      </c>
      <c r="M1516">
        <v>1.623535905920113E-3</v>
      </c>
      <c r="N1516">
        <v>0.15027151816843604</v>
      </c>
      <c r="O1516">
        <v>2.0698125184919959E-2</v>
      </c>
      <c r="P1516">
        <v>2.7946814280165013E-2</v>
      </c>
      <c r="Q1516">
        <v>5.4464079259736158E-3</v>
      </c>
      <c r="R1516">
        <v>1.6024084809613858E-3</v>
      </c>
      <c r="S1516">
        <v>0.257715661505168</v>
      </c>
      <c r="T1516">
        <v>1.3213423470699961</v>
      </c>
      <c r="U1516">
        <v>0.20948183362321593</v>
      </c>
      <c r="V1516">
        <v>0.25107065095918707</v>
      </c>
      <c r="W1516">
        <v>9.8395139097903359E-2</v>
      </c>
      <c r="X1516">
        <v>1.634617978672907E-2</v>
      </c>
      <c r="Y1516">
        <v>4.3612276513631081E-3</v>
      </c>
    </row>
    <row r="1517" spans="1:25" x14ac:dyDescent="0.2">
      <c r="A1517" s="1077"/>
      <c r="B1517" s="1444">
        <v>1267</v>
      </c>
      <c r="C1517" s="1081">
        <v>1.0116939035712325</v>
      </c>
      <c r="D1517" s="1081">
        <v>0.99657568646047767</v>
      </c>
      <c r="E1517" s="1081">
        <v>0.98060934333247718</v>
      </c>
      <c r="F1517" s="1081">
        <v>1.0433254979605759</v>
      </c>
      <c r="G1517" s="1081">
        <v>1.0271969106034897</v>
      </c>
      <c r="H1517" s="1081">
        <v>1.0072518811277564</v>
      </c>
      <c r="I1517" s="1081">
        <v>0.98668794101186863</v>
      </c>
      <c r="K1517">
        <v>2.4613764797115985</v>
      </c>
      <c r="L1517">
        <v>0</v>
      </c>
      <c r="M1517">
        <v>1.7028875828778262E-3</v>
      </c>
      <c r="N1517">
        <v>0.14616714691114763</v>
      </c>
      <c r="O1517">
        <v>2.074597769262284E-2</v>
      </c>
      <c r="P1517">
        <v>2.8816092381300635E-2</v>
      </c>
      <c r="Q1517">
        <v>5.3234544948747176E-3</v>
      </c>
      <c r="R1517">
        <v>1.6805716981214682E-3</v>
      </c>
      <c r="S1517">
        <v>0.2531088960186737</v>
      </c>
      <c r="T1517">
        <v>1.4306288357604753</v>
      </c>
      <c r="U1517">
        <v>0.20945782587967635</v>
      </c>
      <c r="V1517">
        <v>0.24952731975619674</v>
      </c>
      <c r="W1517">
        <v>9.7143532379613345E-2</v>
      </c>
      <c r="X1517">
        <v>1.5905752159798999E-2</v>
      </c>
      <c r="Y1517">
        <v>4.5739621619752414E-3</v>
      </c>
    </row>
    <row r="1518" spans="1:25" x14ac:dyDescent="0.2">
      <c r="A1518" s="1077"/>
      <c r="B1518" s="1444">
        <v>1268</v>
      </c>
      <c r="C1518" s="1081">
        <v>0.97308176683612801</v>
      </c>
      <c r="D1518" s="1081">
        <v>0.98481410347633058</v>
      </c>
      <c r="E1518" s="1081">
        <v>1.0150628215899602</v>
      </c>
      <c r="F1518" s="1081">
        <v>1.0275755768271342</v>
      </c>
      <c r="G1518" s="1081">
        <v>0.97926656224465747</v>
      </c>
      <c r="H1518" s="1081">
        <v>1.0141668846188563</v>
      </c>
      <c r="I1518" s="1081">
        <v>0.96790832112217917</v>
      </c>
      <c r="K1518">
        <v>2.4723754130531215</v>
      </c>
      <c r="L1518">
        <v>0</v>
      </c>
      <c r="M1518">
        <v>1.6640425574057428E-3</v>
      </c>
      <c r="N1518">
        <v>0.15851890412041877</v>
      </c>
      <c r="O1518">
        <v>2.1649162633767368E-2</v>
      </c>
      <c r="P1518">
        <v>2.9417998681005031E-2</v>
      </c>
      <c r="Q1518">
        <v>5.7512144703917552E-3</v>
      </c>
      <c r="R1518">
        <v>1.6423844141525055E-3</v>
      </c>
      <c r="S1518">
        <v>0.26055519190381182</v>
      </c>
      <c r="T1518">
        <v>1.4097975936343234</v>
      </c>
      <c r="U1518">
        <v>0.21789015106353971</v>
      </c>
      <c r="V1518">
        <v>0.24366479189809426</v>
      </c>
      <c r="W1518">
        <v>0.10321349103584232</v>
      </c>
      <c r="X1518">
        <v>1.7468542791734685E-2</v>
      </c>
      <c r="Y1518">
        <v>4.4700289634465014E-3</v>
      </c>
    </row>
    <row r="1519" spans="1:25" x14ac:dyDescent="0.2">
      <c r="A1519" s="1077"/>
      <c r="B1519" s="1444">
        <v>1269</v>
      </c>
      <c r="C1519" s="1081">
        <v>0.98383421903139834</v>
      </c>
      <c r="D1519" s="1081">
        <v>1.0176586298998538</v>
      </c>
      <c r="E1519" s="1081">
        <v>0.98827817058266287</v>
      </c>
      <c r="F1519" s="1081">
        <v>0.99808430939873471</v>
      </c>
      <c r="G1519" s="1081">
        <v>0.9729377742575116</v>
      </c>
      <c r="H1519" s="1081">
        <v>1.0318862419865111</v>
      </c>
      <c r="I1519" s="1081">
        <v>1.0068973060569308</v>
      </c>
      <c r="K1519">
        <v>2.4236565432145167</v>
      </c>
      <c r="L1519">
        <v>0</v>
      </c>
      <c r="M1519">
        <v>1.7575797084768733E-3</v>
      </c>
      <c r="N1519">
        <v>0.15445082418532757</v>
      </c>
      <c r="O1519">
        <v>2.1240563387577072E-2</v>
      </c>
      <c r="P1519">
        <v>2.8286685304973143E-2</v>
      </c>
      <c r="Q1519">
        <v>5.492909745605702E-3</v>
      </c>
      <c r="R1519">
        <v>1.7350969587387958E-3</v>
      </c>
      <c r="S1519">
        <v>0.26504499892976568</v>
      </c>
      <c r="T1519">
        <v>1.3687582285060276</v>
      </c>
      <c r="U1519">
        <v>0.21541571745429561</v>
      </c>
      <c r="V1519">
        <v>0.2419754268874682</v>
      </c>
      <c r="W1519">
        <v>0.10217634526018536</v>
      </c>
      <c r="X1519">
        <v>1.6114964355899427E-2</v>
      </c>
      <c r="Y1519">
        <v>4.7223619471282747E-3</v>
      </c>
    </row>
    <row r="1520" spans="1:25" x14ac:dyDescent="0.2">
      <c r="A1520" s="1077"/>
      <c r="B1520" s="1444">
        <v>1270</v>
      </c>
      <c r="C1520" s="1081">
        <v>0.9957672934024846</v>
      </c>
      <c r="D1520" s="1081">
        <v>1.0096212719316029</v>
      </c>
      <c r="E1520" s="1081">
        <v>0.97948321315932085</v>
      </c>
      <c r="F1520" s="1081">
        <v>0.97495165941579731</v>
      </c>
      <c r="G1520" s="1081">
        <v>1.0299572248385107</v>
      </c>
      <c r="H1520" s="1081">
        <v>0.99497852681092624</v>
      </c>
      <c r="I1520" s="1081">
        <v>1.0257613838963406</v>
      </c>
      <c r="K1520">
        <v>2.382717244950709</v>
      </c>
      <c r="L1520">
        <v>0</v>
      </c>
      <c r="M1520">
        <v>1.7081325698720493E-3</v>
      </c>
      <c r="N1520">
        <v>0.14609470030068999</v>
      </c>
      <c r="O1520">
        <v>2.1016827018088449E-2</v>
      </c>
      <c r="P1520">
        <v>2.7749423202995411E-2</v>
      </c>
      <c r="Q1520">
        <v>5.3867858432593268E-3</v>
      </c>
      <c r="R1520">
        <v>1.6854718300760637E-3</v>
      </c>
      <c r="S1520">
        <v>0.26452687290576393</v>
      </c>
      <c r="T1520">
        <v>1.3368496093474103</v>
      </c>
      <c r="U1520">
        <v>0.21280410580746026</v>
      </c>
      <c r="V1520">
        <v>0.25098934028513342</v>
      </c>
      <c r="W1520">
        <v>9.7161427253543778E-2</v>
      </c>
      <c r="X1520">
        <v>1.5573515020333226E-2</v>
      </c>
      <c r="Y1520">
        <v>4.5872987058275857E-3</v>
      </c>
    </row>
    <row r="1521" spans="1:25" x14ac:dyDescent="0.2">
      <c r="A1521" s="1077"/>
      <c r="B1521" s="1444">
        <v>1271</v>
      </c>
      <c r="C1521" s="1081">
        <v>0.97054786478843824</v>
      </c>
      <c r="D1521" s="1081">
        <v>1.0089084528541228</v>
      </c>
      <c r="E1521" s="1081">
        <v>0.96237286593117288</v>
      </c>
      <c r="F1521" s="1081">
        <v>0.99593571133872505</v>
      </c>
      <c r="G1521" s="1081">
        <v>1.0337468979067199</v>
      </c>
      <c r="H1521" s="1081">
        <v>0.98445005725293666</v>
      </c>
      <c r="I1521" s="1081">
        <v>1.0105537465405769</v>
      </c>
      <c r="K1521">
        <v>2.4221140164429773</v>
      </c>
      <c r="L1521">
        <v>0</v>
      </c>
      <c r="M1521">
        <v>1.7966069528612073E-3</v>
      </c>
      <c r="N1521">
        <v>0.14588311561764428</v>
      </c>
      <c r="O1521">
        <v>2.1554672081721717E-2</v>
      </c>
      <c r="P1521">
        <v>2.7893590730695771E-2</v>
      </c>
      <c r="Q1521">
        <v>5.4289130923108175E-3</v>
      </c>
      <c r="R1521">
        <v>1.7725175737819308E-3</v>
      </c>
      <c r="S1521">
        <v>0.26639753859737941</v>
      </c>
      <c r="T1521">
        <v>1.3652565245551094</v>
      </c>
      <c r="U1521">
        <v>0.2182737870880529</v>
      </c>
      <c r="V1521">
        <v>0.25332998957222252</v>
      </c>
      <c r="W1521">
        <v>9.8035614616942657E-2</v>
      </c>
      <c r="X1521">
        <v>1.5260151344406822E-2</v>
      </c>
      <c r="Y1521">
        <v>4.8242085255732559E-3</v>
      </c>
    </row>
    <row r="1522" spans="1:25" x14ac:dyDescent="0.2">
      <c r="A1522" s="1077"/>
      <c r="B1522" s="1444">
        <v>1272</v>
      </c>
      <c r="C1522" s="1081">
        <v>0.99980723478655353</v>
      </c>
      <c r="D1522" s="1081">
        <v>0.9655293844838676</v>
      </c>
      <c r="E1522" s="1081">
        <v>1.009258257223302</v>
      </c>
      <c r="F1522" s="1081">
        <v>0.99067407283510123</v>
      </c>
      <c r="G1522" s="1081">
        <v>1.0219247899476471</v>
      </c>
      <c r="H1522" s="1081">
        <v>0.98261061714669484</v>
      </c>
      <c r="I1522" s="1081">
        <v>1.0283274448856317</v>
      </c>
      <c r="K1522">
        <v>2.4129432588881361</v>
      </c>
      <c r="L1522">
        <v>0</v>
      </c>
      <c r="M1522">
        <v>1.5951367972921796E-3</v>
      </c>
      <c r="N1522">
        <v>0.14925237421686002</v>
      </c>
      <c r="O1522">
        <v>2.1158449921904778E-2</v>
      </c>
      <c r="P1522">
        <v>2.8711353989191116E-2</v>
      </c>
      <c r="Q1522">
        <v>5.5883722756763544E-3</v>
      </c>
      <c r="R1522">
        <v>1.5737087448959779E-3</v>
      </c>
      <c r="S1522">
        <v>0.26927887481040869</v>
      </c>
      <c r="T1522">
        <v>1.3590453542709762</v>
      </c>
      <c r="U1522">
        <v>0.21204592968393052</v>
      </c>
      <c r="V1522">
        <v>0.24925328566532728</v>
      </c>
      <c r="W1522">
        <v>9.7512577791719457E-2</v>
      </c>
      <c r="X1522">
        <v>1.6834997883877628E-2</v>
      </c>
      <c r="Y1522">
        <v>4.2831164306585193E-3</v>
      </c>
    </row>
    <row r="1523" spans="1:25" x14ac:dyDescent="0.2">
      <c r="A1523" s="1077"/>
      <c r="B1523" s="1444">
        <v>1273</v>
      </c>
      <c r="C1523" s="1081">
        <v>1.0005299200664617</v>
      </c>
      <c r="D1523" s="1081">
        <v>0.9892993656350193</v>
      </c>
      <c r="E1523" s="1081">
        <v>1.0204076612859188</v>
      </c>
      <c r="F1523" s="1081">
        <v>1.0200800629639561</v>
      </c>
      <c r="G1523" s="1081">
        <v>1.0055150506333559</v>
      </c>
      <c r="H1523" s="1081">
        <v>0.99854689251702167</v>
      </c>
      <c r="I1523" s="1081">
        <v>0.99481053764625726</v>
      </c>
      <c r="K1523">
        <v>2.4453400690390095</v>
      </c>
      <c r="L1523">
        <v>0</v>
      </c>
      <c r="M1523">
        <v>1.5742746620866137E-3</v>
      </c>
      <c r="N1523">
        <v>0.15237417513698395</v>
      </c>
      <c r="O1523">
        <v>2.1037772874367689E-2</v>
      </c>
      <c r="P1523">
        <v>2.932019445303333E-2</v>
      </c>
      <c r="Q1523">
        <v>5.618608143078495E-3</v>
      </c>
      <c r="R1523">
        <v>1.5534643659945284E-3</v>
      </c>
      <c r="S1523">
        <v>0.25857690896517244</v>
      </c>
      <c r="T1523">
        <v>1.3996323453810853</v>
      </c>
      <c r="U1523">
        <v>0.21193094624211223</v>
      </c>
      <c r="V1523">
        <v>0.24636698612510402</v>
      </c>
      <c r="W1523">
        <v>9.890228064716465E-2</v>
      </c>
      <c r="X1523">
        <v>1.7372643462155311E-2</v>
      </c>
      <c r="Y1523">
        <v>4.2280179048464865E-3</v>
      </c>
    </row>
    <row r="1524" spans="1:25" x14ac:dyDescent="0.2">
      <c r="A1524" s="1077"/>
      <c r="B1524" s="1444">
        <v>1274</v>
      </c>
      <c r="C1524" s="1081">
        <v>0.99202970866142826</v>
      </c>
      <c r="D1524" s="1081">
        <v>1.0143073195627901</v>
      </c>
      <c r="E1524" s="1081">
        <v>1.0317406143323846</v>
      </c>
      <c r="F1524" s="1081">
        <v>0.98717056780448054</v>
      </c>
      <c r="G1524" s="1081">
        <v>1.0213334509039942</v>
      </c>
      <c r="H1524" s="1081">
        <v>0.99506063847203308</v>
      </c>
      <c r="I1524" s="1081">
        <v>0.9731281939169919</v>
      </c>
      <c r="K1524">
        <v>2.4004030921920219</v>
      </c>
      <c r="L1524">
        <v>0</v>
      </c>
      <c r="M1524">
        <v>1.5368510145707262E-3</v>
      </c>
      <c r="N1524">
        <v>0.15391599700447348</v>
      </c>
      <c r="O1524">
        <v>2.1109410379185688E-2</v>
      </c>
      <c r="P1524">
        <v>2.8910856348092991E-2</v>
      </c>
      <c r="Q1524">
        <v>5.7014037277119877E-3</v>
      </c>
      <c r="R1524">
        <v>1.5164642438187717E-3</v>
      </c>
      <c r="S1524">
        <v>0.25173967510480927</v>
      </c>
      <c r="T1524">
        <v>1.3547210559412335</v>
      </c>
      <c r="U1524">
        <v>0.21378608170678409</v>
      </c>
      <c r="V1524">
        <v>0.24956073849467542</v>
      </c>
      <c r="W1524">
        <v>9.9245965469199476E-2</v>
      </c>
      <c r="X1524">
        <v>1.7604979017233846E-2</v>
      </c>
      <c r="Y1524">
        <v>4.1273157693710724E-3</v>
      </c>
    </row>
    <row r="1525" spans="1:25" x14ac:dyDescent="0.2">
      <c r="A1525" s="1077"/>
      <c r="B1525" s="1444">
        <v>1275</v>
      </c>
      <c r="C1525" s="1081">
        <v>1.0080432493873119</v>
      </c>
      <c r="D1525" s="1081">
        <v>1.011259244032118</v>
      </c>
      <c r="E1525" s="1081">
        <v>1.0150752498338147</v>
      </c>
      <c r="F1525" s="1081">
        <v>1.0259544797792426</v>
      </c>
      <c r="G1525" s="1081">
        <v>1.0151421473937057</v>
      </c>
      <c r="H1525" s="1081">
        <v>0.96671499200934297</v>
      </c>
      <c r="I1525" s="1081">
        <v>0.99104987414067902</v>
      </c>
      <c r="K1525">
        <v>2.4315214906309932</v>
      </c>
      <c r="L1525">
        <v>0</v>
      </c>
      <c r="M1525">
        <v>1.5222311006809056E-3</v>
      </c>
      <c r="N1525">
        <v>0.14492132792582726</v>
      </c>
      <c r="O1525">
        <v>2.0776846417031161E-2</v>
      </c>
      <c r="P1525">
        <v>2.9193927855269888E-2</v>
      </c>
      <c r="Q1525">
        <v>5.5195474388073954E-3</v>
      </c>
      <c r="R1525">
        <v>1.5014461807709104E-3</v>
      </c>
      <c r="S1525">
        <v>0.25018340946807821</v>
      </c>
      <c r="T1525">
        <v>1.4075737820328125</v>
      </c>
      <c r="U1525">
        <v>0.21033321326540119</v>
      </c>
      <c r="V1525">
        <v>0.24756431069027243</v>
      </c>
      <c r="W1525">
        <v>9.4359263207785302E-2</v>
      </c>
      <c r="X1525">
        <v>1.7030205697159729E-2</v>
      </c>
      <c r="Y1525">
        <v>4.0864415524579489E-3</v>
      </c>
    </row>
    <row r="1526" spans="1:25" x14ac:dyDescent="0.2">
      <c r="A1526" s="1077"/>
      <c r="B1526" s="1444">
        <v>1276</v>
      </c>
      <c r="C1526" s="1081">
        <v>1.0321276026974902</v>
      </c>
      <c r="D1526" s="1081">
        <v>1.0128762307509962</v>
      </c>
      <c r="E1526" s="1081">
        <v>1.0072626045895361</v>
      </c>
      <c r="F1526" s="1081">
        <v>1.0013390716018615</v>
      </c>
      <c r="G1526" s="1081">
        <v>0.95713257762919224</v>
      </c>
      <c r="H1526" s="1081">
        <v>0.97042340768407842</v>
      </c>
      <c r="I1526" s="1081">
        <v>0.98134077231608985</v>
      </c>
      <c r="K1526">
        <v>2.3647106905279762</v>
      </c>
      <c r="L1526">
        <v>0</v>
      </c>
      <c r="M1526">
        <v>1.5163055637946632E-3</v>
      </c>
      <c r="N1526">
        <v>0.1409999209592426</v>
      </c>
      <c r="O1526">
        <v>2.0279876127684386E-2</v>
      </c>
      <c r="P1526">
        <v>2.8225149940886804E-2</v>
      </c>
      <c r="Q1526">
        <v>5.3456381664325585E-3</v>
      </c>
      <c r="R1526">
        <v>1.4956806717852582E-3</v>
      </c>
      <c r="S1526">
        <v>0.24199689361167626</v>
      </c>
      <c r="T1526">
        <v>1.373632724229179</v>
      </c>
      <c r="U1526">
        <v>0.20539923911318986</v>
      </c>
      <c r="V1526">
        <v>0.23624376867021865</v>
      </c>
      <c r="W1526">
        <v>9.2229537796805802E-2</v>
      </c>
      <c r="X1526">
        <v>1.6307817067068582E-2</v>
      </c>
      <c r="Y1526">
        <v>4.0707497375985294E-3</v>
      </c>
    </row>
    <row r="1527" spans="1:25" x14ac:dyDescent="0.2">
      <c r="A1527" s="1077"/>
      <c r="B1527" s="1444">
        <v>1277</v>
      </c>
      <c r="C1527" s="1081">
        <v>1.0011311280163224</v>
      </c>
      <c r="D1527" s="1081">
        <v>0.96375894137345908</v>
      </c>
      <c r="E1527" s="1081">
        <v>0.96085825677613534</v>
      </c>
      <c r="F1527" s="1081">
        <v>1.0111886666599321</v>
      </c>
      <c r="G1527" s="1081">
        <v>1.0139794185194277</v>
      </c>
      <c r="H1527" s="1081">
        <v>0.97994719287384624</v>
      </c>
      <c r="I1527" s="1081">
        <v>0.96602879027695099</v>
      </c>
      <c r="K1527">
        <v>2.4094447264389949</v>
      </c>
      <c r="L1527">
        <v>0</v>
      </c>
      <c r="M1527">
        <v>1.7567845789976033E-3</v>
      </c>
      <c r="N1527">
        <v>0.14198759705625136</v>
      </c>
      <c r="O1527">
        <v>2.1106734731548102E-2</v>
      </c>
      <c r="P1527">
        <v>2.7791165203558253E-2</v>
      </c>
      <c r="Q1527">
        <v>5.3078306441393741E-3</v>
      </c>
      <c r="R1527">
        <v>1.733120911421791E-3</v>
      </c>
      <c r="S1527">
        <v>0.25225982414714515</v>
      </c>
      <c r="T1527">
        <v>1.3861328451597676</v>
      </c>
      <c r="U1527">
        <v>0.21160066595291704</v>
      </c>
      <c r="V1527">
        <v>0.24799371165305487</v>
      </c>
      <c r="W1527">
        <v>9.5506357749710946E-2</v>
      </c>
      <c r="X1527">
        <v>1.5064674010742964E-2</v>
      </c>
      <c r="Y1527">
        <v>4.7169837977352105E-3</v>
      </c>
    </row>
    <row r="1528" spans="1:25" x14ac:dyDescent="0.2">
      <c r="A1528" s="1077"/>
      <c r="B1528" s="1444">
        <v>1278</v>
      </c>
      <c r="C1528" s="1081">
        <v>0.96142663316685406</v>
      </c>
      <c r="D1528" s="1081">
        <v>0.97945327473477184</v>
      </c>
      <c r="E1528" s="1081">
        <v>0.97065400516190314</v>
      </c>
      <c r="F1528" s="1081">
        <v>0.95656091739950699</v>
      </c>
      <c r="G1528" s="1081">
        <v>1.0282959988896427</v>
      </c>
      <c r="H1528" s="1081">
        <v>1.0141946149296568</v>
      </c>
      <c r="I1528" s="1081">
        <v>1.0181303789289113</v>
      </c>
      <c r="K1528">
        <v>2.3949586039740991</v>
      </c>
      <c r="L1528">
        <v>0</v>
      </c>
      <c r="M1528">
        <v>1.8488085014851177E-3</v>
      </c>
      <c r="N1528">
        <v>0.1539959868110807</v>
      </c>
      <c r="O1528">
        <v>2.1907177886827119E-2</v>
      </c>
      <c r="P1528">
        <v>2.7528626330885382E-2</v>
      </c>
      <c r="Q1528">
        <v>5.5646892854534589E-3</v>
      </c>
      <c r="R1528">
        <v>1.8247462175218733E-3</v>
      </c>
      <c r="S1528">
        <v>0.27777055085184527</v>
      </c>
      <c r="T1528">
        <v>1.3114505806265657</v>
      </c>
      <c r="U1528">
        <v>0.22037387209558021</v>
      </c>
      <c r="V1528">
        <v>0.25297614928098855</v>
      </c>
      <c r="W1528">
        <v>0.10296586011553324</v>
      </c>
      <c r="X1528">
        <v>1.5482815296634506E-2</v>
      </c>
      <c r="Y1528">
        <v>4.9663576766655953E-3</v>
      </c>
    </row>
    <row r="1529" spans="1:25" x14ac:dyDescent="0.2">
      <c r="A1529" s="1077"/>
      <c r="B1529" s="1444">
        <v>1279</v>
      </c>
      <c r="C1529" s="1081">
        <v>1.0211762278644068</v>
      </c>
      <c r="D1529" s="1081">
        <v>0.99983389654485699</v>
      </c>
      <c r="E1529" s="1081">
        <v>1.0309912895561091</v>
      </c>
      <c r="F1529" s="1081">
        <v>0.98501770150897039</v>
      </c>
      <c r="G1529" s="1081">
        <v>1.0187843906651397</v>
      </c>
      <c r="H1529" s="1081">
        <v>0.99550339868443882</v>
      </c>
      <c r="I1529" s="1081">
        <v>0.96908682000398405</v>
      </c>
      <c r="K1529">
        <v>2.3748673204567208</v>
      </c>
      <c r="L1529">
        <v>0</v>
      </c>
      <c r="M1529">
        <v>1.5007224586528773E-3</v>
      </c>
      <c r="N1529">
        <v>0.14995952055914852</v>
      </c>
      <c r="O1529">
        <v>2.057135645629948E-2</v>
      </c>
      <c r="P1529">
        <v>2.8647811852577133E-2</v>
      </c>
      <c r="Q1529">
        <v>5.551970049805093E-3</v>
      </c>
      <c r="R1529">
        <v>1.4808237976556267E-3</v>
      </c>
      <c r="S1529">
        <v>0.24532648547458638</v>
      </c>
      <c r="T1529">
        <v>1.3517505578966962</v>
      </c>
      <c r="U1529">
        <v>0.2076816568066305</v>
      </c>
      <c r="V1529">
        <v>0.24733241593216215</v>
      </c>
      <c r="W1529">
        <v>9.6736828452598275E-2</v>
      </c>
      <c r="X1529">
        <v>1.7298301413429019E-2</v>
      </c>
      <c r="Y1529">
        <v>4.0303142237849126E-3</v>
      </c>
    </row>
    <row r="1530" spans="1:25" x14ac:dyDescent="0.2">
      <c r="A1530" s="1077"/>
      <c r="B1530" s="1444">
        <v>1280</v>
      </c>
      <c r="C1530" s="1081">
        <v>0.97815621967411759</v>
      </c>
      <c r="D1530" s="1081">
        <v>1.0039448399649431</v>
      </c>
      <c r="E1530" s="1081">
        <v>0.97701581665200643</v>
      </c>
      <c r="F1530" s="1081">
        <v>0.96728561322809581</v>
      </c>
      <c r="G1530" s="1081">
        <v>1.0134382398339683</v>
      </c>
      <c r="H1530" s="1081">
        <v>1.0409651098807662</v>
      </c>
      <c r="I1530" s="1081">
        <v>0.9720983816569797</v>
      </c>
      <c r="K1530">
        <v>2.3859668590942551</v>
      </c>
      <c r="L1530">
        <v>0</v>
      </c>
      <c r="M1530">
        <v>1.8308280056293358E-3</v>
      </c>
      <c r="N1530">
        <v>0.1555162094142645</v>
      </c>
      <c r="O1530">
        <v>2.1420109851206914E-2</v>
      </c>
      <c r="P1530">
        <v>2.7520823392144209E-2</v>
      </c>
      <c r="Q1530">
        <v>5.4763859057559757E-3</v>
      </c>
      <c r="R1530">
        <v>1.8076125296649919E-3</v>
      </c>
      <c r="S1530">
        <v>0.25978413057485933</v>
      </c>
      <c r="T1530">
        <v>1.3262865713617802</v>
      </c>
      <c r="U1530">
        <v>0.21662691460977063</v>
      </c>
      <c r="V1530">
        <v>0.24930364925535195</v>
      </c>
      <c r="W1530">
        <v>0.10358169839999742</v>
      </c>
      <c r="X1530">
        <v>1.5553856378651174E-2</v>
      </c>
      <c r="Y1530">
        <v>4.919725426437851E-3</v>
      </c>
    </row>
    <row r="1531" spans="1:25" x14ac:dyDescent="0.2">
      <c r="A1531" s="1077"/>
      <c r="B1531" s="1444">
        <v>1281</v>
      </c>
      <c r="C1531" s="1081">
        <v>0.95975003893048638</v>
      </c>
      <c r="D1531" s="1081">
        <v>0.99750957248083438</v>
      </c>
      <c r="E1531" s="1081">
        <v>0.96605251112184032</v>
      </c>
      <c r="F1531" s="1081">
        <v>1.010379964853195</v>
      </c>
      <c r="G1531" s="1081">
        <v>1.0004171005552873</v>
      </c>
      <c r="H1531" s="1081">
        <v>0.97848276595234518</v>
      </c>
      <c r="I1531" s="1081">
        <v>0.97638485443721279</v>
      </c>
      <c r="K1531">
        <v>2.4377696471146764</v>
      </c>
      <c r="L1531">
        <v>0</v>
      </c>
      <c r="M1531">
        <v>1.7966397759282906E-3</v>
      </c>
      <c r="N1531">
        <v>0.14750873687417812</v>
      </c>
      <c r="O1531">
        <v>2.1854263295592622E-2</v>
      </c>
      <c r="P1531">
        <v>2.8135700331041066E-2</v>
      </c>
      <c r="Q1531">
        <v>5.5251777712745434E-3</v>
      </c>
      <c r="R1531">
        <v>1.7724030446379948E-3</v>
      </c>
      <c r="S1531">
        <v>0.26128854155954967</v>
      </c>
      <c r="T1531">
        <v>1.3851369173547408</v>
      </c>
      <c r="U1531">
        <v>0.22074254076177319</v>
      </c>
      <c r="V1531">
        <v>0.24834144145064094</v>
      </c>
      <c r="W1531">
        <v>9.8905280811989585E-2</v>
      </c>
      <c r="X1531">
        <v>1.5531386820187638E-2</v>
      </c>
      <c r="Y1531">
        <v>4.8238968149979843E-3</v>
      </c>
    </row>
    <row r="1532" spans="1:25" x14ac:dyDescent="0.2">
      <c r="A1532" s="1077"/>
      <c r="B1532" s="1444">
        <v>1282</v>
      </c>
      <c r="C1532" s="1081">
        <v>0.96419780478411055</v>
      </c>
      <c r="D1532" s="1081">
        <v>0.99073942177376417</v>
      </c>
      <c r="E1532" s="1081">
        <v>0.99699027602152701</v>
      </c>
      <c r="F1532" s="1081">
        <v>1.0347866585154784</v>
      </c>
      <c r="G1532" s="1081">
        <v>1.0020597215614382</v>
      </c>
      <c r="H1532" s="1081">
        <v>1.0024360159817214</v>
      </c>
      <c r="I1532" s="1081">
        <v>0.99997061507894514</v>
      </c>
      <c r="K1532">
        <v>2.4927458410053314</v>
      </c>
      <c r="L1532">
        <v>0</v>
      </c>
      <c r="M1532">
        <v>1.7211458613545013E-3</v>
      </c>
      <c r="N1532">
        <v>0.15522613225430623</v>
      </c>
      <c r="O1532">
        <v>2.1807342923815705E-2</v>
      </c>
      <c r="P1532">
        <v>2.9367990565312061E-2</v>
      </c>
      <c r="Q1532">
        <v>5.689288498189623E-3</v>
      </c>
      <c r="R1532">
        <v>1.698482348139271E-3</v>
      </c>
      <c r="S1532">
        <v>0.26965924383553513</v>
      </c>
      <c r="T1532">
        <v>1.4192859839795238</v>
      </c>
      <c r="U1532">
        <v>0.21983362582018856</v>
      </c>
      <c r="V1532">
        <v>0.24821035681865858</v>
      </c>
      <c r="W1532">
        <v>0.10215580819440689</v>
      </c>
      <c r="X1532">
        <v>1.6910022581526709E-2</v>
      </c>
      <c r="Y1532">
        <v>4.6227090470795096E-3</v>
      </c>
    </row>
    <row r="1533" spans="1:25" x14ac:dyDescent="0.2">
      <c r="A1533" s="1077"/>
      <c r="B1533" s="1444">
        <v>1283</v>
      </c>
      <c r="C1533" s="1081">
        <v>1.0174416976760585</v>
      </c>
      <c r="D1533" s="1081">
        <v>1.0067551639591166</v>
      </c>
      <c r="E1533" s="1081">
        <v>1.0148358768220753</v>
      </c>
      <c r="F1533" s="1081">
        <v>0.95479970194535524</v>
      </c>
      <c r="G1533" s="1081">
        <v>0.97639808235229775</v>
      </c>
      <c r="H1533" s="1081">
        <v>0.96901299910633543</v>
      </c>
      <c r="I1533" s="1081">
        <v>1.0232368168550219</v>
      </c>
      <c r="K1533">
        <v>2.3276583497986447</v>
      </c>
      <c r="L1533">
        <v>0</v>
      </c>
      <c r="M1533">
        <v>1.5139935018317981E-3</v>
      </c>
      <c r="N1533">
        <v>0.14403772275393978</v>
      </c>
      <c r="O1533">
        <v>2.0604992916782649E-2</v>
      </c>
      <c r="P1533">
        <v>2.7805766656651718E-2</v>
      </c>
      <c r="Q1533">
        <v>5.4725869848688737E-3</v>
      </c>
      <c r="R1533">
        <v>1.4933700846749577E-3</v>
      </c>
      <c r="S1533">
        <v>0.25669214408914581</v>
      </c>
      <c r="T1533">
        <v>1.3099469494152878</v>
      </c>
      <c r="U1533">
        <v>0.2083894891712571</v>
      </c>
      <c r="V1533">
        <v>0.24037965463613267</v>
      </c>
      <c r="W1533">
        <v>9.3797129074672081E-2</v>
      </c>
      <c r="X1533">
        <v>1.6488076435891588E-2</v>
      </c>
      <c r="Y1533">
        <v>4.0644610811691288E-3</v>
      </c>
    </row>
    <row r="1534" spans="1:25" x14ac:dyDescent="0.2">
      <c r="A1534" s="1077"/>
      <c r="B1534" s="1444">
        <v>1284</v>
      </c>
      <c r="C1534" s="1081">
        <v>1.0036210119341651</v>
      </c>
      <c r="D1534" s="1081">
        <v>1.0047908865870037</v>
      </c>
      <c r="E1534" s="1081">
        <v>0.99646767462009078</v>
      </c>
      <c r="F1534" s="1081">
        <v>0.9878170391126434</v>
      </c>
      <c r="G1534" s="1081">
        <v>0.98650233359214734</v>
      </c>
      <c r="H1534" s="1081">
        <v>0.98227856462767005</v>
      </c>
      <c r="I1534" s="1081">
        <v>1.0249637008788024</v>
      </c>
      <c r="K1534">
        <v>2.3873971018299538</v>
      </c>
      <c r="L1534">
        <v>0</v>
      </c>
      <c r="M1534">
        <v>1.6170261856667694E-3</v>
      </c>
      <c r="N1534">
        <v>0.1455658190454153</v>
      </c>
      <c r="O1534">
        <v>2.088557314702796E-2</v>
      </c>
      <c r="P1534">
        <v>2.8185981607804583E-2</v>
      </c>
      <c r="Q1534">
        <v>5.4459424773267272E-3</v>
      </c>
      <c r="R1534">
        <v>1.5952967421533938E-3</v>
      </c>
      <c r="S1534">
        <v>0.26192182146412402</v>
      </c>
      <c r="T1534">
        <v>1.3548525396854567</v>
      </c>
      <c r="U1534">
        <v>0.21119656868337294</v>
      </c>
      <c r="V1534">
        <v>0.24301345673424327</v>
      </c>
      <c r="W1534">
        <v>9.5828100402291963E-2</v>
      </c>
      <c r="X1534">
        <v>1.6181156183692012E-2</v>
      </c>
      <c r="Y1534">
        <v>4.3418718427118237E-3</v>
      </c>
    </row>
    <row r="1535" spans="1:25" x14ac:dyDescent="0.2">
      <c r="A1535" s="1077"/>
      <c r="B1535" s="1444">
        <v>1285</v>
      </c>
      <c r="C1535" s="1081">
        <v>0.99976873622735385</v>
      </c>
      <c r="D1535" s="1081">
        <v>1.0418637554615375</v>
      </c>
      <c r="E1535" s="1081">
        <v>0.95386607471399298</v>
      </c>
      <c r="F1535" s="1081">
        <v>1.0107476837502387</v>
      </c>
      <c r="G1535" s="1081">
        <v>1.0181494982929966</v>
      </c>
      <c r="H1535" s="1081">
        <v>0.96992530283859946</v>
      </c>
      <c r="I1535" s="1081">
        <v>0.9832431002760329</v>
      </c>
      <c r="K1535">
        <v>2.3954645517644773</v>
      </c>
      <c r="L1535">
        <v>0</v>
      </c>
      <c r="M1535">
        <v>1.7364262184486794E-3</v>
      </c>
      <c r="N1535">
        <v>0.13738006389339974</v>
      </c>
      <c r="O1535">
        <v>2.0771680120506637E-2</v>
      </c>
      <c r="P1535">
        <v>2.7567511995208911E-2</v>
      </c>
      <c r="Q1535">
        <v>5.1861124226552429E-3</v>
      </c>
      <c r="R1535">
        <v>1.7127951007119445E-3</v>
      </c>
      <c r="S1535">
        <v>0.24634981536391781</v>
      </c>
      <c r="T1535">
        <v>1.3853768732023022</v>
      </c>
      <c r="U1535">
        <v>0.21186527776907368</v>
      </c>
      <c r="V1535">
        <v>0.2488182995002281</v>
      </c>
      <c r="W1535">
        <v>9.2805234650600477E-2</v>
      </c>
      <c r="X1535">
        <v>1.4705650322936267E-2</v>
      </c>
      <c r="Y1535">
        <v>4.6616636413847083E-3</v>
      </c>
    </row>
    <row r="1536" spans="1:25" x14ac:dyDescent="0.2">
      <c r="A1536" s="1077"/>
      <c r="B1536" s="1444">
        <v>1286</v>
      </c>
      <c r="C1536" s="1081">
        <v>1.002957167422633</v>
      </c>
      <c r="D1536" s="1081">
        <v>0.97885010247023196</v>
      </c>
      <c r="E1536" s="1081">
        <v>0.97685443842587127</v>
      </c>
      <c r="F1536" s="1081">
        <v>0.99965586256813699</v>
      </c>
      <c r="G1536" s="1081">
        <v>0.96658409914963472</v>
      </c>
      <c r="H1536" s="1081">
        <v>1.0005913169059011</v>
      </c>
      <c r="I1536" s="1081">
        <v>0.99543179371652757</v>
      </c>
      <c r="K1536">
        <v>2.3995070379727044</v>
      </c>
      <c r="L1536">
        <v>0</v>
      </c>
      <c r="M1536">
        <v>1.7264634730706702E-3</v>
      </c>
      <c r="N1536">
        <v>0.14650359684581732</v>
      </c>
      <c r="O1536">
        <v>2.100699460104927E-2</v>
      </c>
      <c r="P1536">
        <v>2.7905939308688385E-2</v>
      </c>
      <c r="Q1536">
        <v>5.3698841655684384E-3</v>
      </c>
      <c r="R1536">
        <v>1.7036880274529905E-3</v>
      </c>
      <c r="S1536">
        <v>0.25931069875726925</v>
      </c>
      <c r="T1536">
        <v>1.3706673287563997</v>
      </c>
      <c r="U1536">
        <v>0.21126965455867455</v>
      </c>
      <c r="V1536">
        <v>0.23972094811521083</v>
      </c>
      <c r="W1536">
        <v>9.7588372498661424E-2</v>
      </c>
      <c r="X1536">
        <v>1.5549518620863094E-2</v>
      </c>
      <c r="Y1536">
        <v>4.6368771901197292E-3</v>
      </c>
    </row>
    <row r="1537" spans="1:25" x14ac:dyDescent="0.2">
      <c r="A1537" s="1077"/>
      <c r="B1537" s="1444">
        <v>1287</v>
      </c>
      <c r="C1537" s="1081">
        <v>1.0257740117323149</v>
      </c>
      <c r="D1537" s="1081">
        <v>0.9778615975624354</v>
      </c>
      <c r="E1537" s="1081">
        <v>1.0064148942322455</v>
      </c>
      <c r="F1537" s="1081">
        <v>1.0416003292799971</v>
      </c>
      <c r="G1537" s="1081">
        <v>0.96501173289782871</v>
      </c>
      <c r="H1537" s="1081">
        <v>0.9777984639804721</v>
      </c>
      <c r="I1537" s="1081">
        <v>0.98035644606264383</v>
      </c>
      <c r="K1537">
        <v>2.4357547901818353</v>
      </c>
      <c r="L1537">
        <v>0</v>
      </c>
      <c r="M1537">
        <v>1.5519665950638176E-3</v>
      </c>
      <c r="N1537">
        <v>0.14396202862601659</v>
      </c>
      <c r="O1537">
        <v>2.056348522138576E-2</v>
      </c>
      <c r="P1537">
        <v>2.9090534544232168E-2</v>
      </c>
      <c r="Q1537">
        <v>5.4157962666022607E-3</v>
      </c>
      <c r="R1537">
        <v>1.5310158613548327E-3</v>
      </c>
      <c r="S1537">
        <v>0.24820085590846189</v>
      </c>
      <c r="T1537">
        <v>1.4288438247331829</v>
      </c>
      <c r="U1537">
        <v>0.20666864347014519</v>
      </c>
      <c r="V1537">
        <v>0.23796640154253712</v>
      </c>
      <c r="W1537">
        <v>9.4214284694723274E-2</v>
      </c>
      <c r="X1537">
        <v>1.6682965432893607E-2</v>
      </c>
      <c r="Y1537">
        <v>4.1669204753647998E-3</v>
      </c>
    </row>
    <row r="1538" spans="1:25" x14ac:dyDescent="0.2">
      <c r="A1538" s="1077"/>
      <c r="B1538" s="1444">
        <v>1288</v>
      </c>
      <c r="C1538" s="1081">
        <v>1.0208907841334558</v>
      </c>
      <c r="D1538" s="1081">
        <v>0.99211901824036042</v>
      </c>
      <c r="E1538" s="1081">
        <v>1.0043550372060068</v>
      </c>
      <c r="F1538" s="1081">
        <v>0.96010826987285613</v>
      </c>
      <c r="G1538" s="1081">
        <v>1.005326366670646</v>
      </c>
      <c r="H1538" s="1081">
        <v>1.0083718026021937</v>
      </c>
      <c r="I1538" s="1081">
        <v>0.97665612122362766</v>
      </c>
      <c r="K1538">
        <v>2.3387954502465291</v>
      </c>
      <c r="L1538">
        <v>0</v>
      </c>
      <c r="M1538">
        <v>1.6099052005587508E-3</v>
      </c>
      <c r="N1538">
        <v>0.148471938436431</v>
      </c>
      <c r="O1538">
        <v>2.0594811292418046E-2</v>
      </c>
      <c r="P1538">
        <v>2.7639349541953229E-2</v>
      </c>
      <c r="Q1538">
        <v>5.4128609201517571E-3</v>
      </c>
      <c r="R1538">
        <v>1.588831256210518E-3</v>
      </c>
      <c r="S1538">
        <v>0.24911455993648143</v>
      </c>
      <c r="T1538">
        <v>1.3170120367163862</v>
      </c>
      <c r="U1538">
        <v>0.20765029896790921</v>
      </c>
      <c r="V1538">
        <v>0.24514815430436843</v>
      </c>
      <c r="W1538">
        <v>9.7284267611439434E-2</v>
      </c>
      <c r="X1538">
        <v>1.6163971542013648E-2</v>
      </c>
      <c r="Y1538">
        <v>4.324274921322183E-3</v>
      </c>
    </row>
    <row r="1539" spans="1:25" x14ac:dyDescent="0.2">
      <c r="A1539" s="1077"/>
      <c r="B1539" s="1444">
        <v>1289</v>
      </c>
      <c r="C1539" s="1081">
        <v>0.96228276731098839</v>
      </c>
      <c r="D1539" s="1081">
        <v>0.98561930319343494</v>
      </c>
      <c r="E1539" s="1081">
        <v>0.97348716921319167</v>
      </c>
      <c r="F1539" s="1081">
        <v>1.0033233388234928</v>
      </c>
      <c r="G1539" s="1081">
        <v>0.9757458621496915</v>
      </c>
      <c r="H1539" s="1081">
        <v>1.0083989754808149</v>
      </c>
      <c r="I1539" s="1081">
        <v>1.0098620160194953</v>
      </c>
      <c r="K1539">
        <v>2.4454493796609404</v>
      </c>
      <c r="L1539">
        <v>0</v>
      </c>
      <c r="M1539">
        <v>1.8233743368385215E-3</v>
      </c>
      <c r="N1539">
        <v>0.15317413060041007</v>
      </c>
      <c r="O1539">
        <v>2.1859440427836652E-2</v>
      </c>
      <c r="P1539">
        <v>2.8271548557400022E-2</v>
      </c>
      <c r="Q1539">
        <v>5.5686467025880138E-3</v>
      </c>
      <c r="R1539">
        <v>1.799506686838238E-3</v>
      </c>
      <c r="S1539">
        <v>0.27391009689150025</v>
      </c>
      <c r="T1539">
        <v>1.3756232551139713</v>
      </c>
      <c r="U1539">
        <v>0.22018782586007635</v>
      </c>
      <c r="V1539">
        <v>0.24392692896593299</v>
      </c>
      <c r="W1539">
        <v>0.10224018425873352</v>
      </c>
      <c r="X1539">
        <v>1.5813525938136678E-2</v>
      </c>
      <c r="Y1539">
        <v>4.8976639943537938E-3</v>
      </c>
    </row>
    <row r="1540" spans="1:25" x14ac:dyDescent="0.2">
      <c r="A1540" s="1077"/>
      <c r="B1540" s="1444">
        <v>1290</v>
      </c>
      <c r="C1540" s="1081">
        <v>0.96492843049159671</v>
      </c>
      <c r="D1540" s="1081">
        <v>1.0204100776426159</v>
      </c>
      <c r="E1540" s="1081">
        <v>0.98051759334848443</v>
      </c>
      <c r="F1540" s="1081">
        <v>0.99764340407397079</v>
      </c>
      <c r="G1540" s="1081">
        <v>1.005307011928116</v>
      </c>
      <c r="H1540" s="1081">
        <v>1.0140594473286402</v>
      </c>
      <c r="I1540" s="1081">
        <v>0.99600461702472487</v>
      </c>
      <c r="K1540">
        <v>2.4334098710246943</v>
      </c>
      <c r="L1540">
        <v>0</v>
      </c>
      <c r="M1540">
        <v>1.7885025326388445E-3</v>
      </c>
      <c r="N1540">
        <v>0.15348696765600167</v>
      </c>
      <c r="O1540">
        <v>2.1638567203643037E-2</v>
      </c>
      <c r="P1540">
        <v>2.8262562000414986E-2</v>
      </c>
      <c r="Q1540">
        <v>5.5519769302985206E-3</v>
      </c>
      <c r="R1540">
        <v>1.7652220294800897E-3</v>
      </c>
      <c r="S1540">
        <v>0.26533441924786871</v>
      </c>
      <c r="T1540">
        <v>1.367986661158578</v>
      </c>
      <c r="U1540">
        <v>0.21960892244188407</v>
      </c>
      <c r="V1540">
        <v>0.24877548749574374</v>
      </c>
      <c r="W1540">
        <v>0.10201397661453179</v>
      </c>
      <c r="X1540">
        <v>1.5969258319926131E-2</v>
      </c>
      <c r="Y1540">
        <v>4.8043524589591758E-3</v>
      </c>
    </row>
    <row r="1541" spans="1:25" x14ac:dyDescent="0.2">
      <c r="A1541" s="1077"/>
      <c r="B1541" s="1444">
        <v>1291</v>
      </c>
      <c r="C1541" s="1081">
        <v>1.0179655542029733</v>
      </c>
      <c r="D1541" s="1081">
        <v>0.97253051964853365</v>
      </c>
      <c r="E1541" s="1081">
        <v>1.0049695636990215</v>
      </c>
      <c r="F1541" s="1081">
        <v>0.99187076710013955</v>
      </c>
      <c r="G1541" s="1081">
        <v>1.0271483773347343</v>
      </c>
      <c r="H1541" s="1081">
        <v>1.0315627811487054</v>
      </c>
      <c r="I1541" s="1081">
        <v>1.0253843502350357</v>
      </c>
      <c r="K1541">
        <v>2.4140184297542238</v>
      </c>
      <c r="L1541">
        <v>0</v>
      </c>
      <c r="M1541">
        <v>1.6568103227059864E-3</v>
      </c>
      <c r="N1541">
        <v>0.1531272178890509</v>
      </c>
      <c r="O1541">
        <v>2.0745207385650676E-2</v>
      </c>
      <c r="P1541">
        <v>2.8554670426528012E-2</v>
      </c>
      <c r="Q1541">
        <v>5.4557493418978939E-3</v>
      </c>
      <c r="R1541">
        <v>1.6356099573314532E-3</v>
      </c>
      <c r="S1541">
        <v>0.26694064772598075</v>
      </c>
      <c r="T1541">
        <v>1.3605948924292071</v>
      </c>
      <c r="U1541">
        <v>0.20824906872763893</v>
      </c>
      <c r="V1541">
        <v>0.2490476253082296</v>
      </c>
      <c r="W1541">
        <v>0.10029807263222609</v>
      </c>
      <c r="X1541">
        <v>1.6574887128007452E-2</v>
      </c>
      <c r="Y1541">
        <v>4.451591125178689E-3</v>
      </c>
    </row>
    <row r="1542" spans="1:25" x14ac:dyDescent="0.2">
      <c r="A1542" s="1077"/>
      <c r="B1542" s="1444">
        <v>1292</v>
      </c>
      <c r="C1542" s="1081">
        <v>1.0238912756227494</v>
      </c>
      <c r="D1542" s="1081">
        <v>1.0048789684055364</v>
      </c>
      <c r="E1542" s="1081">
        <v>0.96571685886688885</v>
      </c>
      <c r="F1542" s="1081">
        <v>1.0030471481883665</v>
      </c>
      <c r="G1542" s="1081">
        <v>0.9885247330417738</v>
      </c>
      <c r="H1542" s="1081">
        <v>0.99735598731813591</v>
      </c>
      <c r="I1542" s="1081">
        <v>1.0078069295357075</v>
      </c>
      <c r="K1542">
        <v>2.3855339456323628</v>
      </c>
      <c r="L1542">
        <v>0</v>
      </c>
      <c r="M1542">
        <v>1.7149828978569896E-3</v>
      </c>
      <c r="N1542">
        <v>0.14069782334980321</v>
      </c>
      <c r="O1542">
        <v>2.0451850386938742E-2</v>
      </c>
      <c r="P1542">
        <v>2.7625326183018828E-2</v>
      </c>
      <c r="Q1542">
        <v>5.1688432163702631E-3</v>
      </c>
      <c r="R1542">
        <v>1.6922855134626153E-3</v>
      </c>
      <c r="S1542">
        <v>0.25344282407255753</v>
      </c>
      <c r="T1542">
        <v>1.3750770783807176</v>
      </c>
      <c r="U1542">
        <v>0.20691310317719594</v>
      </c>
      <c r="V1542">
        <v>0.24223951674278807</v>
      </c>
      <c r="W1542">
        <v>9.4357869666087016E-2</v>
      </c>
      <c r="X1542">
        <v>1.497656453540331E-2</v>
      </c>
      <c r="Y1542">
        <v>4.6058433058756522E-3</v>
      </c>
    </row>
    <row r="1543" spans="1:25" x14ac:dyDescent="0.2">
      <c r="A1543" s="1077"/>
      <c r="B1543" s="1444">
        <v>1293</v>
      </c>
      <c r="C1543" s="1081">
        <v>1.0322142346535867</v>
      </c>
      <c r="D1543" s="1081">
        <v>1.0041788813621721</v>
      </c>
      <c r="E1543" s="1081">
        <v>1.0102403633694328</v>
      </c>
      <c r="F1543" s="1081">
        <v>0.98089224434507438</v>
      </c>
      <c r="G1543" s="1081">
        <v>1.0020324871019661</v>
      </c>
      <c r="H1543" s="1081">
        <v>1.0229293725583559</v>
      </c>
      <c r="I1543" s="1081">
        <v>0.97565278526162458</v>
      </c>
      <c r="K1543">
        <v>2.36220616022969</v>
      </c>
      <c r="L1543">
        <v>0</v>
      </c>
      <c r="M1543">
        <v>1.5913747463149142E-3</v>
      </c>
      <c r="N1543">
        <v>0.14942266923629552</v>
      </c>
      <c r="O1543">
        <v>2.0318598791398294E-2</v>
      </c>
      <c r="P1543">
        <v>2.8060752502246239E-2</v>
      </c>
      <c r="Q1543">
        <v>5.3718226321414434E-3</v>
      </c>
      <c r="R1543">
        <v>1.5708398255649552E-3</v>
      </c>
      <c r="S1543">
        <v>0.24586075702845425</v>
      </c>
      <c r="T1543">
        <v>1.3456471360579563</v>
      </c>
      <c r="U1543">
        <v>0.2053918746907771</v>
      </c>
      <c r="V1543">
        <v>0.24389404877097079</v>
      </c>
      <c r="W1543">
        <v>9.756730721978657E-2</v>
      </c>
      <c r="X1543">
        <v>1.6416420042432392E-2</v>
      </c>
      <c r="Y1543">
        <v>4.2753081779784811E-3</v>
      </c>
    </row>
    <row r="1544" spans="1:25" x14ac:dyDescent="0.2">
      <c r="A1544" s="1077"/>
      <c r="B1544" s="1444">
        <v>1294</v>
      </c>
      <c r="C1544" s="1081">
        <v>1.0110469640955109</v>
      </c>
      <c r="D1544" s="1081">
        <v>0.98850421208436123</v>
      </c>
      <c r="E1544" s="1081">
        <v>0.98843359711431622</v>
      </c>
      <c r="F1544" s="1081">
        <v>0.99040009586204059</v>
      </c>
      <c r="G1544" s="1081">
        <v>0.96975509184512942</v>
      </c>
      <c r="H1544" s="1081">
        <v>1.0044688757885187</v>
      </c>
      <c r="I1544" s="1081">
        <v>0.99705024055358116</v>
      </c>
      <c r="K1544">
        <v>2.3833872500156756</v>
      </c>
      <c r="L1544">
        <v>0</v>
      </c>
      <c r="M1544">
        <v>1.674972630711261E-3</v>
      </c>
      <c r="N1544">
        <v>0.14720867186644288</v>
      </c>
      <c r="O1544">
        <v>2.0801562059361758E-2</v>
      </c>
      <c r="P1544">
        <v>2.7927112801394424E-2</v>
      </c>
      <c r="Q1544">
        <v>5.380227872020419E-3</v>
      </c>
      <c r="R1544">
        <v>1.6529617485345552E-3</v>
      </c>
      <c r="S1544">
        <v>0.25680529651238154</v>
      </c>
      <c r="T1544">
        <v>1.3582235318371769</v>
      </c>
      <c r="U1544">
        <v>0.20961823928608495</v>
      </c>
      <c r="V1544">
        <v>0.23972456851881818</v>
      </c>
      <c r="W1544">
        <v>9.7376248486815767E-2</v>
      </c>
      <c r="X1544">
        <v>1.5844984676538856E-2</v>
      </c>
      <c r="Y1544">
        <v>4.4988169808170995E-3</v>
      </c>
    </row>
    <row r="1545" spans="1:25" x14ac:dyDescent="0.2">
      <c r="A1545" s="1077"/>
      <c r="B1545" s="1444">
        <v>1295</v>
      </c>
      <c r="C1545" s="1081">
        <v>1.026786997125438</v>
      </c>
      <c r="D1545" s="1081">
        <v>1.0003018611892809</v>
      </c>
      <c r="E1545" s="1081">
        <v>0.95928515158966943</v>
      </c>
      <c r="F1545" s="1081">
        <v>1.0071279364034618</v>
      </c>
      <c r="G1545" s="1081">
        <v>1.0012573314329543</v>
      </c>
      <c r="H1545" s="1081">
        <v>0.9985775075619916</v>
      </c>
      <c r="I1545" s="1081">
        <v>0.98360974677484125</v>
      </c>
      <c r="K1545">
        <v>2.3846291550982328</v>
      </c>
      <c r="L1545">
        <v>0</v>
      </c>
      <c r="M1545">
        <v>1.7368430579764406E-3</v>
      </c>
      <c r="N1545">
        <v>0.139743930611406</v>
      </c>
      <c r="O1545">
        <v>2.0410534652363511E-2</v>
      </c>
      <c r="P1545">
        <v>2.749801990210201E-2</v>
      </c>
      <c r="Q1545">
        <v>5.1244614426266058E-3</v>
      </c>
      <c r="R1545">
        <v>1.7138844783592801E-3</v>
      </c>
      <c r="S1545">
        <v>0.24727400924042622</v>
      </c>
      <c r="T1545">
        <v>1.3805324371315018</v>
      </c>
      <c r="U1545">
        <v>0.2063082919118561</v>
      </c>
      <c r="V1545">
        <v>0.24426838504539292</v>
      </c>
      <c r="W1545">
        <v>9.4087934743277785E-2</v>
      </c>
      <c r="X1545">
        <v>1.4739480428669783E-2</v>
      </c>
      <c r="Y1545">
        <v>4.6646285682275107E-3</v>
      </c>
    </row>
    <row r="1546" spans="1:25" x14ac:dyDescent="0.2">
      <c r="A1546" s="1077"/>
      <c r="B1546" s="1444">
        <v>1296</v>
      </c>
      <c r="C1546" s="1081">
        <v>0.99731099120833677</v>
      </c>
      <c r="D1546" s="1081">
        <v>0.98600616074554848</v>
      </c>
      <c r="E1546" s="1081">
        <v>1.0328873338566518</v>
      </c>
      <c r="F1546" s="1081">
        <v>1.008903611672779</v>
      </c>
      <c r="G1546" s="1081">
        <v>0.979003268202711</v>
      </c>
      <c r="H1546" s="1081">
        <v>1.0135706153495412</v>
      </c>
      <c r="I1546" s="1081">
        <v>0.99726403089580229</v>
      </c>
      <c r="K1546">
        <v>2.437721588671443</v>
      </c>
      <c r="L1546">
        <v>0</v>
      </c>
      <c r="M1546">
        <v>1.5631331814081352E-3</v>
      </c>
      <c r="N1546">
        <v>0.1571287403733265</v>
      </c>
      <c r="O1546">
        <v>2.1129526793408696E-2</v>
      </c>
      <c r="P1546">
        <v>2.9372447974710284E-2</v>
      </c>
      <c r="Q1546">
        <v>5.713302541590721E-3</v>
      </c>
      <c r="R1546">
        <v>1.5427764433086921E-3</v>
      </c>
      <c r="S1546">
        <v>0.26187379635136893</v>
      </c>
      <c r="T1546">
        <v>1.3845710831222067</v>
      </c>
      <c r="U1546">
        <v>0.21265792216631058</v>
      </c>
      <c r="V1546">
        <v>0.24200123654731093</v>
      </c>
      <c r="W1546">
        <v>0.10125026518419598</v>
      </c>
      <c r="X1546">
        <v>1.7844695452543673E-2</v>
      </c>
      <c r="Y1546">
        <v>4.1989289025684065E-3</v>
      </c>
    </row>
    <row r="1547" spans="1:25" x14ac:dyDescent="0.2">
      <c r="A1547" s="1077"/>
      <c r="B1547" s="1444">
        <v>1297</v>
      </c>
      <c r="C1547" s="1081">
        <v>1.0099085188838657</v>
      </c>
      <c r="D1547" s="1081">
        <v>1.0177448766284514</v>
      </c>
      <c r="E1547" s="1081">
        <v>0.9896004703562481</v>
      </c>
      <c r="F1547" s="1081">
        <v>1.0229346002631934</v>
      </c>
      <c r="G1547" s="1081">
        <v>0.99085465901083292</v>
      </c>
      <c r="H1547" s="1081">
        <v>0.99869010388769697</v>
      </c>
      <c r="I1547" s="1081">
        <v>1.0106005725082727</v>
      </c>
      <c r="K1547">
        <v>2.4296832103050976</v>
      </c>
      <c r="L1547">
        <v>0</v>
      </c>
      <c r="M1547">
        <v>1.6525575700639581E-3</v>
      </c>
      <c r="N1547">
        <v>0.14574078363375506</v>
      </c>
      <c r="O1547">
        <v>2.0692642699694744E-2</v>
      </c>
      <c r="P1547">
        <v>2.8602714692441827E-2</v>
      </c>
      <c r="Q1547">
        <v>5.3583759599478628E-3</v>
      </c>
      <c r="R1547">
        <v>1.6307155868058179E-3</v>
      </c>
      <c r="S1547">
        <v>0.25633758452423855</v>
      </c>
      <c r="T1547">
        <v>1.4028667429993293</v>
      </c>
      <c r="U1547">
        <v>0.20985847942824418</v>
      </c>
      <c r="V1547">
        <v>0.24339430321716787</v>
      </c>
      <c r="W1547">
        <v>9.6337844405755685E-2</v>
      </c>
      <c r="X1547">
        <v>1.6077310465742588E-2</v>
      </c>
      <c r="Y1547">
        <v>4.4382702620367207E-3</v>
      </c>
    </row>
    <row r="1548" spans="1:25" x14ac:dyDescent="0.2">
      <c r="A1548" s="1077"/>
      <c r="B1548" s="1444">
        <v>1298</v>
      </c>
      <c r="C1548" s="1081">
        <v>1.0002214954467665</v>
      </c>
      <c r="D1548" s="1081">
        <v>1.0076539249628154</v>
      </c>
      <c r="E1548" s="1081">
        <v>0.9859358049577176</v>
      </c>
      <c r="F1548" s="1081">
        <v>1.0194659839437368</v>
      </c>
      <c r="G1548" s="1081">
        <v>0.98933031015545736</v>
      </c>
      <c r="H1548" s="1081">
        <v>0.98391498413306389</v>
      </c>
      <c r="I1548" s="1081">
        <v>0.99833422091981772</v>
      </c>
      <c r="K1548">
        <v>2.4252244865792045</v>
      </c>
      <c r="L1548">
        <v>0</v>
      </c>
      <c r="M1548">
        <v>1.6600316435035338E-3</v>
      </c>
      <c r="N1548">
        <v>0.14475740446827357</v>
      </c>
      <c r="O1548">
        <v>2.0936477337780441E-2</v>
      </c>
      <c r="P1548">
        <v>2.8481549666370634E-2</v>
      </c>
      <c r="Q1548">
        <v>5.401447531899326E-3</v>
      </c>
      <c r="R1548">
        <v>1.63776139769992E-3</v>
      </c>
      <c r="S1548">
        <v>0.25567242338660923</v>
      </c>
      <c r="T1548">
        <v>1.3980292330109683</v>
      </c>
      <c r="U1548">
        <v>0.21187843372911849</v>
      </c>
      <c r="V1548">
        <v>0.24374526951676814</v>
      </c>
      <c r="W1548">
        <v>9.5898481193021801E-2</v>
      </c>
      <c r="X1548">
        <v>1.5988590347557938E-2</v>
      </c>
      <c r="Y1548">
        <v>4.4574466366395296E-3</v>
      </c>
    </row>
    <row r="1549" spans="1:25" x14ac:dyDescent="0.2">
      <c r="A1549" s="1077"/>
      <c r="B1549" s="1444">
        <v>1299</v>
      </c>
      <c r="C1549" s="1081">
        <v>1.0026622027085277</v>
      </c>
      <c r="D1549" s="1081">
        <v>0.99623203062567822</v>
      </c>
      <c r="E1549" s="1081">
        <v>1.0233252449159747</v>
      </c>
      <c r="F1549" s="1081">
        <v>0.96882937957408621</v>
      </c>
      <c r="G1549" s="1081">
        <v>0.99126172259612078</v>
      </c>
      <c r="H1549" s="1081">
        <v>1.0208509480335837</v>
      </c>
      <c r="I1549" s="1081">
        <v>1.0310927601205628</v>
      </c>
      <c r="K1549">
        <v>2.3862214280790828</v>
      </c>
      <c r="L1549">
        <v>0</v>
      </c>
      <c r="M1549">
        <v>1.5938427661134457E-3</v>
      </c>
      <c r="N1549">
        <v>0.1556773552322635</v>
      </c>
      <c r="O1549">
        <v>2.0962745768884156E-2</v>
      </c>
      <c r="P1549">
        <v>2.8503056913446699E-2</v>
      </c>
      <c r="Q1549">
        <v>5.6148159757747271E-3</v>
      </c>
      <c r="R1549">
        <v>1.5732341249385532E-3</v>
      </c>
      <c r="S1549">
        <v>0.26848080492867088</v>
      </c>
      <c r="T1549">
        <v>1.329373660679297</v>
      </c>
      <c r="U1549">
        <v>0.21149022904669976</v>
      </c>
      <c r="V1549">
        <v>0.24379154585744894</v>
      </c>
      <c r="W1549">
        <v>0.10087421199745708</v>
      </c>
      <c r="X1549">
        <v>1.7191785648720315E-2</v>
      </c>
      <c r="Y1549">
        <v>4.2818246715928343E-3</v>
      </c>
    </row>
    <row r="1550" spans="1:25" x14ac:dyDescent="0.2">
      <c r="A1550" s="1077"/>
      <c r="B1550" s="1444">
        <v>1300</v>
      </c>
      <c r="C1550" s="1081">
        <v>0.99390471425948801</v>
      </c>
      <c r="D1550" s="1081">
        <v>0.95532875660458727</v>
      </c>
      <c r="E1550" s="1081">
        <v>0.98264167240438927</v>
      </c>
      <c r="F1550" s="1081">
        <v>1.0226264851792799</v>
      </c>
      <c r="G1550" s="1081">
        <v>0.99844194322403013</v>
      </c>
      <c r="H1550" s="1081">
        <v>1.0118275557800083</v>
      </c>
      <c r="I1550" s="1081">
        <v>0.97984272355343149</v>
      </c>
      <c r="K1550">
        <v>2.4505934165739069</v>
      </c>
      <c r="L1550">
        <v>0</v>
      </c>
      <c r="M1550">
        <v>1.7501362148862095E-3</v>
      </c>
      <c r="N1550">
        <v>0.15115827874551327</v>
      </c>
      <c r="O1550">
        <v>2.131595391049998E-2</v>
      </c>
      <c r="P1550">
        <v>2.8594521004820541E-2</v>
      </c>
      <c r="Q1550">
        <v>5.4810113800141452E-3</v>
      </c>
      <c r="R1550">
        <v>1.7273048661704091E-3</v>
      </c>
      <c r="S1550">
        <v>0.26175692574612835</v>
      </c>
      <c r="T1550">
        <v>1.4022907148944013</v>
      </c>
      <c r="U1550">
        <v>0.21321373061322929</v>
      </c>
      <c r="V1550">
        <v>0.24571020846793493</v>
      </c>
      <c r="W1550">
        <v>0.10033761952564944</v>
      </c>
      <c r="X1550">
        <v>1.6056129194608266E-2</v>
      </c>
      <c r="Y1550">
        <v>4.7011544398197517E-3</v>
      </c>
    </row>
    <row r="1551" spans="1:25" x14ac:dyDescent="0.2">
      <c r="A1551" s="1077"/>
      <c r="B1551" s="1444">
        <v>1301</v>
      </c>
      <c r="C1551" s="1081">
        <v>0.98720052736610953</v>
      </c>
      <c r="D1551" s="1081">
        <v>0.95304219384627709</v>
      </c>
      <c r="E1551" s="1081">
        <v>0.97548708984779353</v>
      </c>
      <c r="F1551" s="1081">
        <v>0.95944921095007785</v>
      </c>
      <c r="G1551" s="1081">
        <v>0.99688711762197779</v>
      </c>
      <c r="H1551" s="1081">
        <v>1.0063289488109943</v>
      </c>
      <c r="I1551" s="1081">
        <v>0.98211681804098661</v>
      </c>
      <c r="K1551">
        <v>2.3651039639863205</v>
      </c>
      <c r="L1551">
        <v>0</v>
      </c>
      <c r="M1551">
        <v>1.7794987870662481E-3</v>
      </c>
      <c r="N1551">
        <v>0.15039190138409483</v>
      </c>
      <c r="O1551">
        <v>2.1467185203295519E-2</v>
      </c>
      <c r="P1551">
        <v>2.7327797646438862E-2</v>
      </c>
      <c r="Q1551">
        <v>5.4798824093230539E-3</v>
      </c>
      <c r="R1551">
        <v>1.7561575457518957E-3</v>
      </c>
      <c r="S1551">
        <v>0.26393686195050886</v>
      </c>
      <c r="T1551">
        <v>1.3155101789254615</v>
      </c>
      <c r="U1551">
        <v>0.2146369987592853</v>
      </c>
      <c r="V1551">
        <v>0.24589675449772838</v>
      </c>
      <c r="W1551">
        <v>0.10026143081304921</v>
      </c>
      <c r="X1551">
        <v>1.5438631716092265E-2</v>
      </c>
      <c r="Y1551">
        <v>4.7796819223572904E-3</v>
      </c>
    </row>
    <row r="1552" spans="1:25" x14ac:dyDescent="0.2">
      <c r="A1552" s="1077"/>
      <c r="B1552" s="1444">
        <v>1302</v>
      </c>
      <c r="C1552" s="1081">
        <v>0.98941138666898287</v>
      </c>
      <c r="D1552" s="1081">
        <v>0.99868366313745049</v>
      </c>
      <c r="E1552" s="1081">
        <v>1.001722227637595</v>
      </c>
      <c r="F1552" s="1081">
        <v>1.0213949885701059</v>
      </c>
      <c r="G1552" s="1081">
        <v>1.0111820722327465</v>
      </c>
      <c r="H1552" s="1081">
        <v>1.012801958220241</v>
      </c>
      <c r="I1552" s="1081">
        <v>1.026026155832382</v>
      </c>
      <c r="K1552">
        <v>2.463951332906253</v>
      </c>
      <c r="L1552">
        <v>0</v>
      </c>
      <c r="M1552">
        <v>1.6751330723155647E-3</v>
      </c>
      <c r="N1552">
        <v>0.15327271606619003</v>
      </c>
      <c r="O1552">
        <v>2.1217485001998066E-2</v>
      </c>
      <c r="P1552">
        <v>2.9142447672480129E-2</v>
      </c>
      <c r="Q1552">
        <v>5.5618023206876598E-3</v>
      </c>
      <c r="R1552">
        <v>1.6533011991766442E-3</v>
      </c>
      <c r="S1552">
        <v>0.26951229394651055</v>
      </c>
      <c r="T1552">
        <v>1.4010228440526513</v>
      </c>
      <c r="U1552">
        <v>0.2142478604641524</v>
      </c>
      <c r="V1552">
        <v>0.24810218674390169</v>
      </c>
      <c r="W1552">
        <v>0.10058681199047168</v>
      </c>
      <c r="X1552">
        <v>1.6806975666779789E-2</v>
      </c>
      <c r="Y1552">
        <v>4.4997408535649925E-3</v>
      </c>
    </row>
    <row r="1553" spans="1:25" x14ac:dyDescent="0.2">
      <c r="A1553" s="1077"/>
      <c r="B1553" s="1444">
        <v>1303</v>
      </c>
      <c r="C1553" s="1081">
        <v>1.0233988885483931</v>
      </c>
      <c r="D1553" s="1081">
        <v>1.0313356833468326</v>
      </c>
      <c r="E1553" s="1081">
        <v>0.9951980916318488</v>
      </c>
      <c r="F1553" s="1081">
        <v>0.9758285198330634</v>
      </c>
      <c r="G1553" s="1081">
        <v>1.0045307127730849</v>
      </c>
      <c r="H1553" s="1081">
        <v>1.0349014389425544</v>
      </c>
      <c r="I1553" s="1081">
        <v>1.0185131497567763</v>
      </c>
      <c r="K1553">
        <v>2.3685289977227413</v>
      </c>
      <c r="L1553">
        <v>0</v>
      </c>
      <c r="M1553">
        <v>1.6655504688225255E-3</v>
      </c>
      <c r="N1553">
        <v>0.14946328206207843</v>
      </c>
      <c r="O1553">
        <v>2.036396843545521E-2</v>
      </c>
      <c r="P1553">
        <v>2.7829532441371919E-2</v>
      </c>
      <c r="Q1553">
        <v>5.3031456877666982E-3</v>
      </c>
      <c r="R1553">
        <v>1.644307020007301E-3</v>
      </c>
      <c r="S1553">
        <v>0.25635035849834215</v>
      </c>
      <c r="T1553">
        <v>1.3383827668919248</v>
      </c>
      <c r="U1553">
        <v>0.20711081423643157</v>
      </c>
      <c r="V1553">
        <v>0.24489573079570695</v>
      </c>
      <c r="W1553">
        <v>9.8468375195923608E-2</v>
      </c>
      <c r="X1553">
        <v>1.5907005263757584E-2</v>
      </c>
      <c r="Y1553">
        <v>4.4752616627964049E-3</v>
      </c>
    </row>
    <row r="1554" spans="1:25" x14ac:dyDescent="0.2">
      <c r="A1554" s="1077"/>
      <c r="B1554" s="1444">
        <v>1304</v>
      </c>
      <c r="C1554" s="1081">
        <v>1.0007512514832242</v>
      </c>
      <c r="D1554" s="1081">
        <v>0.99868958360743243</v>
      </c>
      <c r="E1554" s="1081">
        <v>1.0419865023168287</v>
      </c>
      <c r="F1554" s="1081">
        <v>1.0149072127865155</v>
      </c>
      <c r="G1554" s="1081">
        <v>0.99786703116520281</v>
      </c>
      <c r="H1554" s="1081">
        <v>0.96577077454614302</v>
      </c>
      <c r="I1554" s="1081">
        <v>1.0123311355204905</v>
      </c>
      <c r="K1554">
        <v>2.4335729422815184</v>
      </c>
      <c r="L1554">
        <v>0</v>
      </c>
      <c r="M1554">
        <v>1.4522979796280052E-3</v>
      </c>
      <c r="N1554">
        <v>0.14994704761816172</v>
      </c>
      <c r="O1554">
        <v>2.1003833285901743E-2</v>
      </c>
      <c r="P1554">
        <v>2.9678646558837472E-2</v>
      </c>
      <c r="Q1554">
        <v>5.7304293561991921E-3</v>
      </c>
      <c r="R1554">
        <v>1.4324485563632866E-3</v>
      </c>
      <c r="S1554">
        <v>0.2591832761839214</v>
      </c>
      <c r="T1554">
        <v>1.3930113121253196</v>
      </c>
      <c r="U1554">
        <v>0.21195812617777574</v>
      </c>
      <c r="V1554">
        <v>0.24497324964970088</v>
      </c>
      <c r="W1554">
        <v>9.6116492349155688E-2</v>
      </c>
      <c r="X1554">
        <v>1.8091725635928067E-2</v>
      </c>
      <c r="Y1554">
        <v>3.8986527638811695E-3</v>
      </c>
    </row>
    <row r="1555" spans="1:25" x14ac:dyDescent="0.2">
      <c r="A1555" s="1077"/>
      <c r="B1555" s="1444">
        <v>1305</v>
      </c>
      <c r="C1555" s="1081">
        <v>1.0039828398662793</v>
      </c>
      <c r="D1555" s="1081">
        <v>0.98444666522656366</v>
      </c>
      <c r="E1555" s="1081">
        <v>0.99062645583805764</v>
      </c>
      <c r="F1555" s="1081">
        <v>0.96078178013047033</v>
      </c>
      <c r="G1555" s="1081">
        <v>0.98790269158031485</v>
      </c>
      <c r="H1555" s="1081">
        <v>1.0162000206883866</v>
      </c>
      <c r="I1555" s="1081">
        <v>0.98267036135886188</v>
      </c>
      <c r="K1555">
        <v>2.3524983507391912</v>
      </c>
      <c r="L1555">
        <v>0</v>
      </c>
      <c r="M1555">
        <v>1.7002635157802196E-3</v>
      </c>
      <c r="N1555">
        <v>0.15044859240959901</v>
      </c>
      <c r="O1555">
        <v>2.096834046720376E-2</v>
      </c>
      <c r="P1555">
        <v>2.7485898290933779E-2</v>
      </c>
      <c r="Q1555">
        <v>5.4354015140512359E-3</v>
      </c>
      <c r="R1555">
        <v>1.67817821822815E-3</v>
      </c>
      <c r="S1555">
        <v>0.25640687196320239</v>
      </c>
      <c r="T1555">
        <v>1.3176507778147366</v>
      </c>
      <c r="U1555">
        <v>0.21110058785456109</v>
      </c>
      <c r="V1555">
        <v>0.24325097120423644</v>
      </c>
      <c r="W1555">
        <v>9.9388708588687633E-2</v>
      </c>
      <c r="X1555">
        <v>1.5816838030814705E-2</v>
      </c>
      <c r="Y1555">
        <v>4.5674478987160639E-3</v>
      </c>
    </row>
    <row r="1556" spans="1:25" x14ac:dyDescent="0.2">
      <c r="A1556" s="1077"/>
      <c r="B1556" s="1444">
        <v>1306</v>
      </c>
      <c r="C1556" s="1081">
        <v>1.0449147875854721</v>
      </c>
      <c r="D1556" s="1081">
        <v>0.98468195613691778</v>
      </c>
      <c r="E1556" s="1081">
        <v>1.0223802798836359</v>
      </c>
      <c r="F1556" s="1081">
        <v>0.97860086282028313</v>
      </c>
      <c r="G1556" s="1081">
        <v>1.0185267827768354</v>
      </c>
      <c r="H1556" s="1081">
        <v>1.0001171688760733</v>
      </c>
      <c r="I1556" s="1081">
        <v>1.0185313880137443</v>
      </c>
      <c r="K1556">
        <v>2.3622164594066049</v>
      </c>
      <c r="L1556">
        <v>0</v>
      </c>
      <c r="M1556">
        <v>1.5051377260051741E-3</v>
      </c>
      <c r="N1556">
        <v>0.14655493408020898</v>
      </c>
      <c r="O1556">
        <v>2.0166155690093033E-2</v>
      </c>
      <c r="P1556">
        <v>2.8382496911548798E-2</v>
      </c>
      <c r="Q1556">
        <v>5.3963874725602981E-3</v>
      </c>
      <c r="R1556">
        <v>1.4852725884349693E-3</v>
      </c>
      <c r="S1556">
        <v>0.25424050429102873</v>
      </c>
      <c r="T1556">
        <v>1.3427614549723381</v>
      </c>
      <c r="U1556">
        <v>0.20293522503838851</v>
      </c>
      <c r="V1556">
        <v>0.24593081138329131</v>
      </c>
      <c r="W1556">
        <v>9.5015557017558955E-2</v>
      </c>
      <c r="X1556">
        <v>1.6810375321415515E-2</v>
      </c>
      <c r="Y1556">
        <v>4.0424223657427975E-3</v>
      </c>
    </row>
    <row r="1557" spans="1:25" x14ac:dyDescent="0.2">
      <c r="A1557" s="1077"/>
      <c r="B1557" s="1444">
        <v>1307</v>
      </c>
      <c r="C1557" s="1081">
        <v>1.0011281772410057</v>
      </c>
      <c r="D1557" s="1081">
        <v>0.98736975465826449</v>
      </c>
      <c r="E1557" s="1081">
        <v>0.95148927286267959</v>
      </c>
      <c r="F1557" s="1081">
        <v>0.98909465719754586</v>
      </c>
      <c r="G1557" s="1081">
        <v>1.0148112664196816</v>
      </c>
      <c r="H1557" s="1081">
        <v>0.96923977230114533</v>
      </c>
      <c r="I1557" s="1081">
        <v>0.99875369735303421</v>
      </c>
      <c r="K1557">
        <v>2.3768286538348966</v>
      </c>
      <c r="L1557">
        <v>0</v>
      </c>
      <c r="M1557">
        <v>1.7620447909177986E-3</v>
      </c>
      <c r="N1557">
        <v>0.13840462808940332</v>
      </c>
      <c r="O1557">
        <v>2.0988524121739557E-2</v>
      </c>
      <c r="P1557">
        <v>2.724865529557835E-2</v>
      </c>
      <c r="Q1557">
        <v>5.2274142035747991E-3</v>
      </c>
      <c r="R1557">
        <v>1.7380480680810582E-3</v>
      </c>
      <c r="S1557">
        <v>0.25664672345171391</v>
      </c>
      <c r="T1557">
        <v>1.3556479139785338</v>
      </c>
      <c r="U1557">
        <v>0.2115695325545929</v>
      </c>
      <c r="V1557">
        <v>0.24817190703380493</v>
      </c>
      <c r="W1557">
        <v>9.3634595775755017E-2</v>
      </c>
      <c r="X1557">
        <v>1.4582362159109272E-2</v>
      </c>
      <c r="Y1557">
        <v>4.7303938939249821E-3</v>
      </c>
    </row>
    <row r="1558" spans="1:25" x14ac:dyDescent="0.2">
      <c r="A1558" s="1077"/>
      <c r="B1558" s="1444">
        <v>1308</v>
      </c>
      <c r="C1558" s="1081">
        <v>0.98732827844224513</v>
      </c>
      <c r="D1558" s="1081">
        <v>1.020577066952491</v>
      </c>
      <c r="E1558" s="1081">
        <v>1.0315154060794709</v>
      </c>
      <c r="F1558" s="1081">
        <v>1.0185819481344471</v>
      </c>
      <c r="G1558" s="1081">
        <v>0.99402421786520234</v>
      </c>
      <c r="H1558" s="1081">
        <v>1.0341111639420446</v>
      </c>
      <c r="I1558" s="1081">
        <v>1.0174513231067248</v>
      </c>
      <c r="K1558">
        <v>2.4677954028448141</v>
      </c>
      <c r="L1558">
        <v>0</v>
      </c>
      <c r="M1558">
        <v>1.6033474033390984E-3</v>
      </c>
      <c r="N1558">
        <v>0.16054812344742206</v>
      </c>
      <c r="O1558">
        <v>2.118104224462241E-2</v>
      </c>
      <c r="P1558">
        <v>2.9675377470945456E-2</v>
      </c>
      <c r="Q1558">
        <v>5.7194781372690373E-3</v>
      </c>
      <c r="R1558">
        <v>1.5828817023561591E-3</v>
      </c>
      <c r="S1558">
        <v>0.26705638425082151</v>
      </c>
      <c r="T1558">
        <v>1.3978227568329022</v>
      </c>
      <c r="U1558">
        <v>0.21480329846211491</v>
      </c>
      <c r="V1558">
        <v>0.24520162980302376</v>
      </c>
      <c r="W1558">
        <v>0.10353591757386717</v>
      </c>
      <c r="X1558">
        <v>1.7963778125809248E-2</v>
      </c>
      <c r="Y1558">
        <v>4.3080821970005187E-3</v>
      </c>
    </row>
    <row r="1559" spans="1:25" x14ac:dyDescent="0.2">
      <c r="A1559" s="1077"/>
      <c r="B1559" s="1444">
        <v>1309</v>
      </c>
      <c r="C1559" s="1081">
        <v>1.0312555644982231</v>
      </c>
      <c r="D1559" s="1081">
        <v>0.96545489896819725</v>
      </c>
      <c r="E1559" s="1081">
        <v>0.96429550619390858</v>
      </c>
      <c r="F1559" s="1081">
        <v>0.97287242143705199</v>
      </c>
      <c r="G1559" s="1081">
        <v>0.97466330106552113</v>
      </c>
      <c r="H1559" s="1081">
        <v>1.0032575180495373</v>
      </c>
      <c r="I1559" s="1081">
        <v>0.98783914271118622</v>
      </c>
      <c r="K1559">
        <v>2.3392736026420264</v>
      </c>
      <c r="L1559">
        <v>0</v>
      </c>
      <c r="M1559">
        <v>1.7330331590056679E-3</v>
      </c>
      <c r="N1559">
        <v>0.1415790394897572</v>
      </c>
      <c r="O1559">
        <v>2.0484468574845982E-2</v>
      </c>
      <c r="P1559">
        <v>2.6971096755616826E-2</v>
      </c>
      <c r="Q1559">
        <v>5.1695504637787595E-3</v>
      </c>
      <c r="R1559">
        <v>1.7102318033951462E-3</v>
      </c>
      <c r="S1559">
        <v>0.25213576982004743</v>
      </c>
      <c r="T1559">
        <v>1.3336808653179986</v>
      </c>
      <c r="U1559">
        <v>0.205430833807978</v>
      </c>
      <c r="V1559">
        <v>0.2394403017163039</v>
      </c>
      <c r="W1559">
        <v>9.503135120634422E-2</v>
      </c>
      <c r="X1559">
        <v>1.4718439653884155E-2</v>
      </c>
      <c r="Y1559">
        <v>4.654687191079118E-3</v>
      </c>
    </row>
    <row r="1560" spans="1:25" x14ac:dyDescent="0.2">
      <c r="A1560" s="1077"/>
      <c r="B1560" s="1444">
        <v>1310</v>
      </c>
      <c r="C1560" s="1081">
        <v>0.99218611128596201</v>
      </c>
      <c r="D1560" s="1081">
        <v>1.0010743900371948</v>
      </c>
      <c r="E1560" s="1081">
        <v>0.98846209286607234</v>
      </c>
      <c r="F1560" s="1081">
        <v>0.97140173685718234</v>
      </c>
      <c r="G1560" s="1081">
        <v>0.97967573929469076</v>
      </c>
      <c r="H1560" s="1081">
        <v>1.0041965609759842</v>
      </c>
      <c r="I1560" s="1081">
        <v>1.0062085003266874</v>
      </c>
      <c r="K1560">
        <v>2.3740237246120239</v>
      </c>
      <c r="L1560">
        <v>0</v>
      </c>
      <c r="M1560">
        <v>1.7015127201189079E-3</v>
      </c>
      <c r="N1560">
        <v>0.14955355200702378</v>
      </c>
      <c r="O1560">
        <v>2.1138161111600138E-2</v>
      </c>
      <c r="P1560">
        <v>2.7743650199050798E-2</v>
      </c>
      <c r="Q1560">
        <v>5.4674452706404914E-3</v>
      </c>
      <c r="R1560">
        <v>1.6791470101508083E-3</v>
      </c>
      <c r="S1560">
        <v>0.26240060543376376</v>
      </c>
      <c r="T1560">
        <v>1.3321699936440707</v>
      </c>
      <c r="U1560">
        <v>0.21360305215398653</v>
      </c>
      <c r="V1560">
        <v>0.24259206978512182</v>
      </c>
      <c r="W1560">
        <v>9.8925659436399249E-2</v>
      </c>
      <c r="X1560">
        <v>1.5881816649363403E-2</v>
      </c>
      <c r="Y1560">
        <v>4.5700846309673681E-3</v>
      </c>
    </row>
    <row r="1561" spans="1:25" x14ac:dyDescent="0.2">
      <c r="A1561" s="1077"/>
      <c r="B1561" s="1444">
        <v>1311</v>
      </c>
      <c r="C1561" s="1081">
        <v>1.0109299811151724</v>
      </c>
      <c r="D1561" s="1081">
        <v>0.98807500686367711</v>
      </c>
      <c r="E1561" s="1081">
        <v>1.0188506953912695</v>
      </c>
      <c r="F1561" s="1081">
        <v>1.0084145736289276</v>
      </c>
      <c r="G1561" s="1081">
        <v>0.96626424965019975</v>
      </c>
      <c r="H1561" s="1081">
        <v>1.0091144843924944</v>
      </c>
      <c r="I1561" s="1081">
        <v>1.0016713108066095</v>
      </c>
      <c r="K1561">
        <v>2.4189159360295882</v>
      </c>
      <c r="L1561">
        <v>0</v>
      </c>
      <c r="M1561">
        <v>1.5801074906024895E-3</v>
      </c>
      <c r="N1561">
        <v>0.15224339687108512</v>
      </c>
      <c r="O1561">
        <v>2.0825989744953585E-2</v>
      </c>
      <c r="P1561">
        <v>2.8935133283204351E-2</v>
      </c>
      <c r="Q1561">
        <v>5.55344241787594E-3</v>
      </c>
      <c r="R1561">
        <v>1.5594388263559997E-3</v>
      </c>
      <c r="S1561">
        <v>0.25872294710396732</v>
      </c>
      <c r="T1561">
        <v>1.3835922615115543</v>
      </c>
      <c r="U1561">
        <v>0.20974540139256473</v>
      </c>
      <c r="V1561">
        <v>0.23903137007494635</v>
      </c>
      <c r="W1561">
        <v>9.8907476547360387E-2</v>
      </c>
      <c r="X1561">
        <v>1.7134907329852098E-2</v>
      </c>
      <c r="Y1561">
        <v>4.244278416470083E-3</v>
      </c>
    </row>
    <row r="1562" spans="1:25" x14ac:dyDescent="0.2">
      <c r="A1562" s="1077"/>
      <c r="B1562" s="1444">
        <v>1312</v>
      </c>
      <c r="C1562" s="1081">
        <v>1.0128502034993871</v>
      </c>
      <c r="D1562" s="1081">
        <v>0.98550922375527206</v>
      </c>
      <c r="E1562" s="1081">
        <v>1.0453234491102545</v>
      </c>
      <c r="F1562" s="1081">
        <v>1.0060717445175846</v>
      </c>
      <c r="G1562" s="1081">
        <v>0.99610802734487425</v>
      </c>
      <c r="H1562" s="1081">
        <v>1.0217718511888654</v>
      </c>
      <c r="I1562" s="1081">
        <v>1.0031076673956154</v>
      </c>
      <c r="K1562">
        <v>2.4316203246177102</v>
      </c>
      <c r="L1562">
        <v>0</v>
      </c>
      <c r="M1562">
        <v>1.5120284688757073E-3</v>
      </c>
      <c r="N1562">
        <v>0.15781063509733526</v>
      </c>
      <c r="O1562">
        <v>2.0815886503040545E-2</v>
      </c>
      <c r="P1562">
        <v>2.9544025668698681E-2</v>
      </c>
      <c r="Q1562">
        <v>5.6977798772656863E-3</v>
      </c>
      <c r="R1562">
        <v>1.4924953203422308E-3</v>
      </c>
      <c r="S1562">
        <v>0.26022930018342749</v>
      </c>
      <c r="T1562">
        <v>1.3809574035252217</v>
      </c>
      <c r="U1562">
        <v>0.20943752541887448</v>
      </c>
      <c r="V1562">
        <v>0.24391654392254733</v>
      </c>
      <c r="W1562">
        <v>0.10096340264297179</v>
      </c>
      <c r="X1562">
        <v>1.8205274665838503E-2</v>
      </c>
      <c r="Y1562">
        <v>4.0620802610214293E-3</v>
      </c>
    </row>
    <row r="1563" spans="1:25" x14ac:dyDescent="0.2">
      <c r="A1563" s="1077"/>
      <c r="B1563" s="1444">
        <v>1313</v>
      </c>
      <c r="C1563" s="1081">
        <v>0.98967973095066131</v>
      </c>
      <c r="D1563" s="1081">
        <v>1.0028813337399896</v>
      </c>
      <c r="E1563" s="1081">
        <v>0.98530603047246945</v>
      </c>
      <c r="F1563" s="1081">
        <v>1.0186831183558873</v>
      </c>
      <c r="G1563" s="1081">
        <v>1.0041924374856119</v>
      </c>
      <c r="H1563" s="1081">
        <v>1.0086695673696289</v>
      </c>
      <c r="I1563" s="1081">
        <v>0.97890150647681029</v>
      </c>
      <c r="K1563">
        <v>2.4394986975107624</v>
      </c>
      <c r="L1563">
        <v>0</v>
      </c>
      <c r="M1563">
        <v>1.7239667533709938E-3</v>
      </c>
      <c r="N1563">
        <v>0.1500966558648974</v>
      </c>
      <c r="O1563">
        <v>2.1181177169834916E-2</v>
      </c>
      <c r="P1563">
        <v>2.8532054481543345E-2</v>
      </c>
      <c r="Q1563">
        <v>5.4610923189281034E-3</v>
      </c>
      <c r="R1563">
        <v>1.7014063849955456E-3</v>
      </c>
      <c r="S1563">
        <v>0.25604566669755441</v>
      </c>
      <c r="T1563">
        <v>1.3969418275970211</v>
      </c>
      <c r="U1563">
        <v>0.21413312754900587</v>
      </c>
      <c r="V1563">
        <v>0.24695089576792165</v>
      </c>
      <c r="W1563">
        <v>9.9473265312826492E-2</v>
      </c>
      <c r="X1563">
        <v>1.6074827808108375E-2</v>
      </c>
      <c r="Y1563">
        <v>4.6306673114937975E-3</v>
      </c>
    </row>
    <row r="1564" spans="1:25" x14ac:dyDescent="0.2">
      <c r="A1564" s="1077"/>
      <c r="B1564" s="1444">
        <v>1314</v>
      </c>
      <c r="C1564" s="1081">
        <v>1.003723006117698</v>
      </c>
      <c r="D1564" s="1081">
        <v>1.0024242347257135</v>
      </c>
      <c r="E1564" s="1081">
        <v>0.99670662623946249</v>
      </c>
      <c r="F1564" s="1081">
        <v>0.99705736606959494</v>
      </c>
      <c r="G1564" s="1081">
        <v>1.007336058825993</v>
      </c>
      <c r="H1564" s="1081">
        <v>0.98592604734035028</v>
      </c>
      <c r="I1564" s="1081">
        <v>0.9851615090694732</v>
      </c>
      <c r="K1564">
        <v>2.3952346436218912</v>
      </c>
      <c r="L1564">
        <v>0</v>
      </c>
      <c r="M1564">
        <v>1.6229037126122233E-3</v>
      </c>
      <c r="N1564">
        <v>0.14620781935397198</v>
      </c>
      <c r="O1564">
        <v>2.0894445651133423E-2</v>
      </c>
      <c r="P1564">
        <v>2.8281049723864814E-2</v>
      </c>
      <c r="Q1564">
        <v>5.4495672405271275E-3</v>
      </c>
      <c r="R1564">
        <v>1.6011759688122455E-3</v>
      </c>
      <c r="S1564">
        <v>0.25232949667056936</v>
      </c>
      <c r="T1564">
        <v>1.3675313724683387</v>
      </c>
      <c r="U1564">
        <v>0.21117592108680133</v>
      </c>
      <c r="V1564">
        <v>0.24656442232815812</v>
      </c>
      <c r="W1564">
        <v>9.6237033139098718E-2</v>
      </c>
      <c r="X1564">
        <v>1.6227370543634462E-2</v>
      </c>
      <c r="Y1564">
        <v>4.3578731595906705E-3</v>
      </c>
    </row>
    <row r="1565" spans="1:25" x14ac:dyDescent="0.2">
      <c r="A1565" s="1077"/>
      <c r="B1565" s="1444">
        <v>1315</v>
      </c>
      <c r="C1565" s="1081">
        <v>0.97874183598390552</v>
      </c>
      <c r="D1565" s="1081">
        <v>1.0096143833855002</v>
      </c>
      <c r="E1565" s="1081">
        <v>1.0044948835659895</v>
      </c>
      <c r="F1565" s="1081">
        <v>0.98554135716179514</v>
      </c>
      <c r="G1565" s="1081">
        <v>1.0109664581860782</v>
      </c>
      <c r="H1565" s="1081">
        <v>0.99838788828561142</v>
      </c>
      <c r="I1565" s="1081">
        <v>0.99238541524099999</v>
      </c>
      <c r="K1565">
        <v>2.4075266945256573</v>
      </c>
      <c r="L1565">
        <v>0</v>
      </c>
      <c r="M1565">
        <v>1.6557462912801979E-3</v>
      </c>
      <c r="N1565">
        <v>0.15274383510945308</v>
      </c>
      <c r="O1565">
        <v>2.139935501092299E-2</v>
      </c>
      <c r="P1565">
        <v>2.8452589488349847E-2</v>
      </c>
      <c r="Q1565">
        <v>5.6251050173298615E-3</v>
      </c>
      <c r="R1565">
        <v>1.6338555380387273E-3</v>
      </c>
      <c r="S1565">
        <v>0.26087174995449991</v>
      </c>
      <c r="T1565">
        <v>1.351902421134636</v>
      </c>
      <c r="U1565">
        <v>0.21659312711704046</v>
      </c>
      <c r="V1565">
        <v>0.24874285139068819</v>
      </c>
      <c r="W1565">
        <v>0.10007508193258402</v>
      </c>
      <c r="X1565">
        <v>1.6695652949182484E-2</v>
      </c>
      <c r="Y1565">
        <v>4.4468161742080526E-3</v>
      </c>
    </row>
    <row r="1566" spans="1:25" x14ac:dyDescent="0.2">
      <c r="A1566" s="1077"/>
      <c r="B1566" s="1444">
        <v>1316</v>
      </c>
      <c r="C1566" s="1081">
        <v>1.0060941586678924</v>
      </c>
      <c r="D1566" s="1081">
        <v>0.99346863636740146</v>
      </c>
      <c r="E1566" s="1081">
        <v>0.99621972593918318</v>
      </c>
      <c r="F1566" s="1081">
        <v>0.97860585443458847</v>
      </c>
      <c r="G1566" s="1081">
        <v>1.0062656955217832</v>
      </c>
      <c r="H1566" s="1081">
        <v>1.0017435600242282</v>
      </c>
      <c r="I1566" s="1081">
        <v>0.99675926411668947</v>
      </c>
      <c r="K1566">
        <v>2.3773566205606662</v>
      </c>
      <c r="L1566">
        <v>0</v>
      </c>
      <c r="M1566">
        <v>1.6499699640818552E-3</v>
      </c>
      <c r="N1566">
        <v>0.14845946916734715</v>
      </c>
      <c r="O1566">
        <v>2.0886075678194824E-2</v>
      </c>
      <c r="P1566">
        <v>2.798100639980327E-2</v>
      </c>
      <c r="Q1566">
        <v>5.4447135914811292E-3</v>
      </c>
      <c r="R1566">
        <v>1.6282286546230884E-3</v>
      </c>
      <c r="S1566">
        <v>0.25718009093214428</v>
      </c>
      <c r="T1566">
        <v>1.3422135826083115</v>
      </c>
      <c r="U1566">
        <v>0.21067657047215382</v>
      </c>
      <c r="V1566">
        <v>0.2462368911722341</v>
      </c>
      <c r="W1566">
        <v>9.774747780717144E-2</v>
      </c>
      <c r="X1566">
        <v>1.6120982388832406E-2</v>
      </c>
      <c r="Y1566">
        <v>4.4315016524523049E-3</v>
      </c>
    </row>
    <row r="1567" spans="1:25" x14ac:dyDescent="0.2">
      <c r="A1567" s="1077"/>
      <c r="B1567" s="1444">
        <v>1317</v>
      </c>
      <c r="C1567" s="1081">
        <v>1.0178416336166269</v>
      </c>
      <c r="D1567" s="1081">
        <v>1.0095385257288323</v>
      </c>
      <c r="E1567" s="1081">
        <v>1.0481499483092436</v>
      </c>
      <c r="F1567" s="1081">
        <v>0.98270947615633486</v>
      </c>
      <c r="G1567" s="1081">
        <v>0.99992403209782088</v>
      </c>
      <c r="H1567" s="1081">
        <v>1.0090096301870495</v>
      </c>
      <c r="I1567" s="1081">
        <v>1.0295259770818643</v>
      </c>
      <c r="K1567">
        <v>2.3939531844160968</v>
      </c>
      <c r="L1567">
        <v>0</v>
      </c>
      <c r="M1567">
        <v>1.4692661305952461E-3</v>
      </c>
      <c r="N1567">
        <v>0.15463251667254813</v>
      </c>
      <c r="O1567">
        <v>2.0606169409836176E-2</v>
      </c>
      <c r="P1567">
        <v>2.9160112897104302E-2</v>
      </c>
      <c r="Q1567">
        <v>5.656015683561829E-3</v>
      </c>
      <c r="R1567">
        <v>1.4500453343654538E-3</v>
      </c>
      <c r="S1567">
        <v>0.26152257336135598</v>
      </c>
      <c r="T1567">
        <v>1.3489504227327433</v>
      </c>
      <c r="U1567">
        <v>0.20842001493444268</v>
      </c>
      <c r="V1567">
        <v>0.24425539148721684</v>
      </c>
      <c r="W1567">
        <v>9.8770047427264099E-2</v>
      </c>
      <c r="X1567">
        <v>1.8052595213428384E-2</v>
      </c>
      <c r="Y1567">
        <v>3.9465453928267599E-3</v>
      </c>
    </row>
    <row r="1568" spans="1:25" x14ac:dyDescent="0.2">
      <c r="A1568" s="1077"/>
      <c r="B1568" s="1444">
        <v>1318</v>
      </c>
      <c r="C1568" s="1081">
        <v>1.0029805576468616</v>
      </c>
      <c r="D1568" s="1081">
        <v>0.99850169369746666</v>
      </c>
      <c r="E1568" s="1081">
        <v>0.96449648265542753</v>
      </c>
      <c r="F1568" s="1081">
        <v>0.99305523591121747</v>
      </c>
      <c r="G1568" s="1081">
        <v>0.99671959182377246</v>
      </c>
      <c r="H1568" s="1081">
        <v>1.0020514705108172</v>
      </c>
      <c r="I1568" s="1081">
        <v>1.0098975373487642</v>
      </c>
      <c r="K1568">
        <v>2.3927616100052642</v>
      </c>
      <c r="L1568">
        <v>0</v>
      </c>
      <c r="M1568">
        <v>1.7658855061621407E-3</v>
      </c>
      <c r="N1568">
        <v>0.14434842658788574</v>
      </c>
      <c r="O1568">
        <v>2.0906702535162833E-2</v>
      </c>
      <c r="P1568">
        <v>2.7603416508362223E-2</v>
      </c>
      <c r="Q1568">
        <v>5.2771945716199456E-3</v>
      </c>
      <c r="R1568">
        <v>1.7426239518357439E-3</v>
      </c>
      <c r="S1568">
        <v>0.2604833343629564</v>
      </c>
      <c r="T1568">
        <v>1.3613531489353674</v>
      </c>
      <c r="U1568">
        <v>0.21122281169307344</v>
      </c>
      <c r="V1568">
        <v>0.24491460776657359</v>
      </c>
      <c r="W1568">
        <v>9.6878328418469994E-2</v>
      </c>
      <c r="X1568">
        <v>1.5054052239050913E-2</v>
      </c>
      <c r="Y1568">
        <v>4.7428479410655611E-3</v>
      </c>
    </row>
    <row r="1569" spans="1:25" x14ac:dyDescent="0.2">
      <c r="A1569" s="1077"/>
      <c r="B1569" s="1444">
        <v>1319</v>
      </c>
      <c r="C1569" s="1081">
        <v>0.98437179400699426</v>
      </c>
      <c r="D1569" s="1081">
        <v>1.0357349307412913</v>
      </c>
      <c r="E1569" s="1081">
        <v>0.96581873769416271</v>
      </c>
      <c r="F1569" s="1081">
        <v>0.97538480689637941</v>
      </c>
      <c r="G1569" s="1081">
        <v>1.0035361049563687</v>
      </c>
      <c r="H1569" s="1081">
        <v>0.99794031270404526</v>
      </c>
      <c r="I1569" s="1081">
        <v>0.98915312528661092</v>
      </c>
      <c r="K1569">
        <v>2.3711617964766907</v>
      </c>
      <c r="L1569">
        <v>0</v>
      </c>
      <c r="M1569">
        <v>1.7726699866623121E-3</v>
      </c>
      <c r="N1569">
        <v>0.14547651860537533</v>
      </c>
      <c r="O1569">
        <v>2.1131922574302787E-2</v>
      </c>
      <c r="P1569">
        <v>2.7319948850490668E-2</v>
      </c>
      <c r="Q1569">
        <v>5.3412768881126735E-3</v>
      </c>
      <c r="R1569">
        <v>1.7492228646516755E-3</v>
      </c>
      <c r="S1569">
        <v>0.25491723638278846</v>
      </c>
      <c r="T1569">
        <v>1.3371569155957035</v>
      </c>
      <c r="U1569">
        <v>0.21522037581746792</v>
      </c>
      <c r="V1569">
        <v>0.24725026194222144</v>
      </c>
      <c r="W1569">
        <v>9.7556593670352978E-2</v>
      </c>
      <c r="X1569">
        <v>1.5053385265465758E-2</v>
      </c>
      <c r="Y1569">
        <v>4.7608080064195013E-3</v>
      </c>
    </row>
    <row r="1570" spans="1:25" x14ac:dyDescent="0.2">
      <c r="A1570" s="1077"/>
      <c r="B1570" s="1444">
        <v>1320</v>
      </c>
      <c r="C1570" s="1081">
        <v>1.0207431425501134</v>
      </c>
      <c r="D1570" s="1081">
        <v>0.99338797166808579</v>
      </c>
      <c r="E1570" s="1081">
        <v>0.99929399739358282</v>
      </c>
      <c r="F1570" s="1081">
        <v>1.0025153053056823</v>
      </c>
      <c r="G1570" s="1081">
        <v>1.0094767229138486</v>
      </c>
      <c r="H1570" s="1081">
        <v>0.99626186295145969</v>
      </c>
      <c r="I1570" s="1081">
        <v>1.0094368818477131</v>
      </c>
      <c r="K1570">
        <v>2.4017447926378552</v>
      </c>
      <c r="L1570">
        <v>0</v>
      </c>
      <c r="M1570">
        <v>1.6071424696774831E-3</v>
      </c>
      <c r="N1570">
        <v>0.14594483885162099</v>
      </c>
      <c r="O1570">
        <v>2.0588702318295869E-2</v>
      </c>
      <c r="P1570">
        <v>2.8435392303413895E-2</v>
      </c>
      <c r="Q1570">
        <v>5.38382442765263E-3</v>
      </c>
      <c r="R1570">
        <v>1.5858489677988399E-3</v>
      </c>
      <c r="S1570">
        <v>0.25628692000857917</v>
      </c>
      <c r="T1570">
        <v>1.3750733824472372</v>
      </c>
      <c r="U1570">
        <v>0.20766338068593229</v>
      </c>
      <c r="V1570">
        <v>0.24588410272555855</v>
      </c>
      <c r="W1570">
        <v>9.5916087976718065E-2</v>
      </c>
      <c r="X1570">
        <v>1.6273296279347566E-2</v>
      </c>
      <c r="Y1570">
        <v>4.3161581153767061E-3</v>
      </c>
    </row>
    <row r="1571" spans="1:25" x14ac:dyDescent="0.2">
      <c r="A1571" s="1077"/>
      <c r="B1571" s="1444">
        <v>1321</v>
      </c>
      <c r="C1571" s="1081">
        <v>1.0059040529008336</v>
      </c>
      <c r="D1571" s="1081">
        <v>1.0000852103181925</v>
      </c>
      <c r="E1571" s="1081">
        <v>0.98570331528301458</v>
      </c>
      <c r="F1571" s="1081">
        <v>1.0101665743130597</v>
      </c>
      <c r="G1571" s="1081">
        <v>0.97285710737131825</v>
      </c>
      <c r="H1571" s="1081">
        <v>0.99581301718111515</v>
      </c>
      <c r="I1571" s="1081">
        <v>1.0292484486909024</v>
      </c>
      <c r="K1571">
        <v>2.4182375707344295</v>
      </c>
      <c r="L1571">
        <v>0</v>
      </c>
      <c r="M1571">
        <v>1.6741931450968109E-3</v>
      </c>
      <c r="N1571">
        <v>0.14591339655576596</v>
      </c>
      <c r="O1571">
        <v>2.0852609803585789E-2</v>
      </c>
      <c r="P1571">
        <v>2.8359582265603089E-2</v>
      </c>
      <c r="Q1571">
        <v>5.37854335944079E-3</v>
      </c>
      <c r="R1571">
        <v>1.6520012710537068E-3</v>
      </c>
      <c r="S1571">
        <v>0.26412715571047579</v>
      </c>
      <c r="T1571">
        <v>1.3852715637711239</v>
      </c>
      <c r="U1571">
        <v>0.21068070092769156</v>
      </c>
      <c r="V1571">
        <v>0.24057950612217552</v>
      </c>
      <c r="W1571">
        <v>9.6677808126988604E-2</v>
      </c>
      <c r="X1571">
        <v>1.5922693087886845E-2</v>
      </c>
      <c r="Y1571">
        <v>4.4962028777355469E-3</v>
      </c>
    </row>
    <row r="1572" spans="1:25" x14ac:dyDescent="0.2">
      <c r="A1572" s="1077"/>
      <c r="B1572" s="1444">
        <v>1322</v>
      </c>
      <c r="C1572" s="1081">
        <v>0.97958147968961762</v>
      </c>
      <c r="D1572" s="1081">
        <v>1.0100972954607759</v>
      </c>
      <c r="E1572" s="1081">
        <v>0.95880955531135525</v>
      </c>
      <c r="F1572" s="1081">
        <v>1.0222498073124364</v>
      </c>
      <c r="G1572" s="1081">
        <v>0.98366141920036088</v>
      </c>
      <c r="H1572" s="1081">
        <v>0.98280739820291729</v>
      </c>
      <c r="I1572" s="1081">
        <v>0.99555098274047271</v>
      </c>
      <c r="K1572">
        <v>2.4366663263221522</v>
      </c>
      <c r="L1572">
        <v>0</v>
      </c>
      <c r="M1572">
        <v>1.789705575585129E-3</v>
      </c>
      <c r="N1572">
        <v>0.14375888551983465</v>
      </c>
      <c r="O1572">
        <v>2.1347971310563558E-2</v>
      </c>
      <c r="P1572">
        <v>2.8056696633065887E-2</v>
      </c>
      <c r="Q1572">
        <v>5.357202398394584E-3</v>
      </c>
      <c r="R1572">
        <v>1.7656686237929797E-3</v>
      </c>
      <c r="S1572">
        <v>0.25969833264064363</v>
      </c>
      <c r="T1572">
        <v>1.4012504949030951</v>
      </c>
      <c r="U1572">
        <v>0.21624853186004256</v>
      </c>
      <c r="V1572">
        <v>0.24418812537973755</v>
      </c>
      <c r="W1572">
        <v>9.6819423057592099E-2</v>
      </c>
      <c r="X1572">
        <v>1.5159131629517085E-2</v>
      </c>
      <c r="Y1572">
        <v>4.8055679414590871E-3</v>
      </c>
    </row>
    <row r="1573" spans="1:25" x14ac:dyDescent="0.2">
      <c r="A1573" s="1077"/>
      <c r="B1573" s="1444">
        <v>1323</v>
      </c>
      <c r="C1573" s="1081">
        <v>0.98582246110292926</v>
      </c>
      <c r="D1573" s="1081">
        <v>0.99752327469688473</v>
      </c>
      <c r="E1573" s="1081">
        <v>0.98676370381548673</v>
      </c>
      <c r="F1573" s="1081">
        <v>1.0232647072092993</v>
      </c>
      <c r="G1573" s="1081">
        <v>0.97290414562900929</v>
      </c>
      <c r="H1573" s="1081">
        <v>1.027014665951032</v>
      </c>
      <c r="I1573" s="1081">
        <v>0.98206306548505717</v>
      </c>
      <c r="K1573">
        <v>2.4522875835284279</v>
      </c>
      <c r="L1573">
        <v>0</v>
      </c>
      <c r="M1573">
        <v>1.7589525545549079E-3</v>
      </c>
      <c r="N1573">
        <v>0.15385573189235463</v>
      </c>
      <c r="O1573">
        <v>2.1290108615298984E-2</v>
      </c>
      <c r="P1573">
        <v>2.8646520446785149E-2</v>
      </c>
      <c r="Q1573">
        <v>5.4972892340100785E-3</v>
      </c>
      <c r="R1573">
        <v>1.7363455147989049E-3</v>
      </c>
      <c r="S1573">
        <v>0.26013600579260437</v>
      </c>
      <c r="T1573">
        <v>1.4032568260294014</v>
      </c>
      <c r="U1573">
        <v>0.21497601849509781</v>
      </c>
      <c r="V1573">
        <v>0.24184707747643369</v>
      </c>
      <c r="W1573">
        <v>0.10187523075553523</v>
      </c>
      <c r="X1573">
        <v>1.620362172552086E-2</v>
      </c>
      <c r="Y1573">
        <v>4.7257601051374975E-3</v>
      </c>
    </row>
    <row r="1574" spans="1:25" x14ac:dyDescent="0.2">
      <c r="A1574" s="1077"/>
      <c r="B1574" s="1444">
        <v>1324</v>
      </c>
      <c r="C1574" s="1081">
        <v>1.0056789649415738</v>
      </c>
      <c r="D1574" s="1081">
        <v>1.0351409918343621</v>
      </c>
      <c r="E1574" s="1081">
        <v>1.024345506516724</v>
      </c>
      <c r="F1574" s="1081">
        <v>0.99632659045065752</v>
      </c>
      <c r="G1574" s="1081">
        <v>0.99660555915343929</v>
      </c>
      <c r="H1574" s="1081">
        <v>1.0124165751529979</v>
      </c>
      <c r="I1574" s="1081">
        <v>0.99324704554393495</v>
      </c>
      <c r="K1574">
        <v>2.4029976057844782</v>
      </c>
      <c r="L1574">
        <v>0</v>
      </c>
      <c r="M1574">
        <v>1.5593895547074365E-3</v>
      </c>
      <c r="N1574">
        <v>0.15276488418583326</v>
      </c>
      <c r="O1574">
        <v>2.0725113445265099E-2</v>
      </c>
      <c r="P1574">
        <v>2.8825096691546905E-2</v>
      </c>
      <c r="Q1574">
        <v>5.5567882394620708E-3</v>
      </c>
      <c r="R1574">
        <v>1.5390584211876297E-3</v>
      </c>
      <c r="S1574">
        <v>0.25229233464696726</v>
      </c>
      <c r="T1574">
        <v>1.367125888506953</v>
      </c>
      <c r="U1574">
        <v>0.21085929647922375</v>
      </c>
      <c r="V1574">
        <v>0.24451323433857203</v>
      </c>
      <c r="W1574">
        <v>9.8928128261430631E-2</v>
      </c>
      <c r="X1574">
        <v>1.7238362450743124E-2</v>
      </c>
      <c r="Y1574">
        <v>4.1888096720005376E-3</v>
      </c>
    </row>
    <row r="1575" spans="1:25" x14ac:dyDescent="0.2">
      <c r="A1575" s="1077"/>
      <c r="B1575" s="1444">
        <v>1325</v>
      </c>
      <c r="C1575" s="1081">
        <v>1.0466692210597937</v>
      </c>
      <c r="D1575" s="1081">
        <v>0.983426517559151</v>
      </c>
      <c r="E1575" s="1081">
        <v>1.0179533281690334</v>
      </c>
      <c r="F1575" s="1081">
        <v>1.0182476639514435</v>
      </c>
      <c r="G1575" s="1081">
        <v>0.9822259549752701</v>
      </c>
      <c r="H1575" s="1081">
        <v>0.9894724397333432</v>
      </c>
      <c r="I1575" s="1081">
        <v>1.0311129842384843</v>
      </c>
      <c r="K1575">
        <v>2.4087091741733189</v>
      </c>
      <c r="L1575">
        <v>0</v>
      </c>
      <c r="M1575">
        <v>1.5007997927257751E-3</v>
      </c>
      <c r="N1575">
        <v>0.1441731778809231</v>
      </c>
      <c r="O1575">
        <v>2.0135178349946849E-2</v>
      </c>
      <c r="P1575">
        <v>2.8976722804811651E-2</v>
      </c>
      <c r="Q1575">
        <v>5.3644391492351784E-3</v>
      </c>
      <c r="R1575">
        <v>1.4807788152349786E-3</v>
      </c>
      <c r="S1575">
        <v>0.25618261330797215</v>
      </c>
      <c r="T1575">
        <v>1.3970638899235668</v>
      </c>
      <c r="U1575">
        <v>0.20258056160786317</v>
      </c>
      <c r="V1575">
        <v>0.23965077053794062</v>
      </c>
      <c r="W1575">
        <v>9.3713772760322347E-2</v>
      </c>
      <c r="X1575">
        <v>1.6857877031759297E-2</v>
      </c>
      <c r="Y1575">
        <v>4.0301917964643587E-3</v>
      </c>
    </row>
    <row r="1576" spans="1:25" x14ac:dyDescent="0.2">
      <c r="A1576" s="1077"/>
      <c r="B1576" s="1444">
        <v>1326</v>
      </c>
      <c r="C1576" s="1081">
        <v>0.97152640443344263</v>
      </c>
      <c r="D1576" s="1081">
        <v>0.99581478615547214</v>
      </c>
      <c r="E1576" s="1081">
        <v>0.995865932084948</v>
      </c>
      <c r="F1576" s="1081">
        <v>1.0285220321122364</v>
      </c>
      <c r="G1576" s="1081">
        <v>0.99582456915379003</v>
      </c>
      <c r="H1576" s="1081">
        <v>1.0092878199399775</v>
      </c>
      <c r="I1576" s="1081">
        <v>1.0009518645889077</v>
      </c>
      <c r="K1576">
        <v>2.4777706523734149</v>
      </c>
      <c r="L1576">
        <v>0</v>
      </c>
      <c r="M1576">
        <v>1.7219148954300319E-3</v>
      </c>
      <c r="N1576">
        <v>0.15478274539764522</v>
      </c>
      <c r="O1576">
        <v>2.1617757430486863E-2</v>
      </c>
      <c r="P1576">
        <v>2.9157017557983007E-2</v>
      </c>
      <c r="Q1576">
        <v>5.6334448398184774E-3</v>
      </c>
      <c r="R1576">
        <v>1.6993951815128514E-3</v>
      </c>
      <c r="S1576">
        <v>0.26779366917415343</v>
      </c>
      <c r="T1576">
        <v>1.4106685951236204</v>
      </c>
      <c r="U1576">
        <v>0.21817138201945532</v>
      </c>
      <c r="V1576">
        <v>0.24666135790697871</v>
      </c>
      <c r="W1576">
        <v>0.10193229669142691</v>
      </c>
      <c r="X1576">
        <v>1.6749712467155335E-2</v>
      </c>
      <c r="Y1576">
        <v>4.6251934786069549E-3</v>
      </c>
    </row>
    <row r="1577" spans="1:25" x14ac:dyDescent="0.2">
      <c r="A1577" s="1077"/>
      <c r="B1577" s="1444">
        <v>1327</v>
      </c>
      <c r="C1577" s="1081">
        <v>1.0279430917817738</v>
      </c>
      <c r="D1577" s="1081">
        <v>0.99879855582637045</v>
      </c>
      <c r="E1577" s="1081">
        <v>0.98758442946849245</v>
      </c>
      <c r="F1577" s="1081">
        <v>0.97970024524991506</v>
      </c>
      <c r="G1577" s="1081">
        <v>0.97032333753670241</v>
      </c>
      <c r="H1577" s="1081">
        <v>1.0086848414835308</v>
      </c>
      <c r="I1577" s="1081">
        <v>1.0059505331091225</v>
      </c>
      <c r="K1577">
        <v>2.3565847643022431</v>
      </c>
      <c r="L1577">
        <v>0</v>
      </c>
      <c r="M1577">
        <v>1.6534941575474128E-3</v>
      </c>
      <c r="N1577">
        <v>0.14495638246280199</v>
      </c>
      <c r="O1577">
        <v>2.0412523457358001E-2</v>
      </c>
      <c r="P1577">
        <v>2.7611863258401839E-2</v>
      </c>
      <c r="Q1577">
        <v>5.2750702390572668E-3</v>
      </c>
      <c r="R1577">
        <v>1.6318563432700514E-3</v>
      </c>
      <c r="S1577">
        <v>0.2538631908637306</v>
      </c>
      <c r="T1577">
        <v>1.3435319281366054</v>
      </c>
      <c r="U1577">
        <v>0.20616996118474515</v>
      </c>
      <c r="V1577">
        <v>0.23881046059929037</v>
      </c>
      <c r="W1577">
        <v>9.59352611058749E-2</v>
      </c>
      <c r="X1577">
        <v>1.5598385783572121E-2</v>
      </c>
      <c r="Y1577">
        <v>4.4413750250820961E-3</v>
      </c>
    </row>
    <row r="1578" spans="1:25" x14ac:dyDescent="0.2">
      <c r="A1578" s="1077"/>
      <c r="B1578" s="1444">
        <v>1328</v>
      </c>
      <c r="C1578" s="1081">
        <v>0.98411605480647757</v>
      </c>
      <c r="D1578" s="1081">
        <v>1.0002993413623524</v>
      </c>
      <c r="E1578" s="1081">
        <v>0.97826522841352614</v>
      </c>
      <c r="F1578" s="1081">
        <v>0.98958525500666084</v>
      </c>
      <c r="G1578" s="1081">
        <v>1.0257960211607851</v>
      </c>
      <c r="H1578" s="1081">
        <v>0.9853537100798464</v>
      </c>
      <c r="I1578" s="1081">
        <v>0.97764021385323407</v>
      </c>
      <c r="K1578">
        <v>2.3976393630861041</v>
      </c>
      <c r="L1578">
        <v>0</v>
      </c>
      <c r="M1578">
        <v>1.7194574047216752E-3</v>
      </c>
      <c r="N1578">
        <v>0.14650305252935544</v>
      </c>
      <c r="O1578">
        <v>2.1308274329246819E-2</v>
      </c>
      <c r="P1578">
        <v>2.7905383056397632E-2</v>
      </c>
      <c r="Q1578">
        <v>5.454725054429419E-3</v>
      </c>
      <c r="R1578">
        <v>1.6964236104286159E-3</v>
      </c>
      <c r="S1578">
        <v>0.25546696635780436</v>
      </c>
      <c r="T1578">
        <v>1.3568891791355431</v>
      </c>
      <c r="U1578">
        <v>0.21531933985683968</v>
      </c>
      <c r="V1578">
        <v>0.2510245014642975</v>
      </c>
      <c r="W1578">
        <v>9.7504752367303715E-2</v>
      </c>
      <c r="X1578">
        <v>1.5669116887484659E-2</v>
      </c>
      <c r="Y1578">
        <v>4.6171058416938091E-3</v>
      </c>
    </row>
    <row r="1579" spans="1:25" x14ac:dyDescent="0.2">
      <c r="A1579" s="1077"/>
      <c r="B1579" s="1444">
        <v>1329</v>
      </c>
      <c r="C1579" s="1081">
        <v>0.99878183214329497</v>
      </c>
      <c r="D1579" s="1081">
        <v>0.99465577729948296</v>
      </c>
      <c r="E1579" s="1081">
        <v>0.97865537423598359</v>
      </c>
      <c r="F1579" s="1081">
        <v>0.9940227403471128</v>
      </c>
      <c r="G1579" s="1081">
        <v>1.0170305025641941</v>
      </c>
      <c r="H1579" s="1081">
        <v>0.99928923713170681</v>
      </c>
      <c r="I1579" s="1081">
        <v>0.95667989898183536</v>
      </c>
      <c r="K1579">
        <v>2.3905375261500414</v>
      </c>
      <c r="L1579">
        <v>0</v>
      </c>
      <c r="M1579">
        <v>1.7189231516749105E-3</v>
      </c>
      <c r="N1579">
        <v>0.14665830418050904</v>
      </c>
      <c r="O1579">
        <v>2.102179923527021E-2</v>
      </c>
      <c r="P1579">
        <v>2.782226889879676E-2</v>
      </c>
      <c r="Q1579">
        <v>5.3835262354355127E-3</v>
      </c>
      <c r="R1579">
        <v>1.6962176307848511E-3</v>
      </c>
      <c r="S1579">
        <v>0.24815943223867198</v>
      </c>
      <c r="T1579">
        <v>1.3629820743855128</v>
      </c>
      <c r="U1579">
        <v>0.21215899351404832</v>
      </c>
      <c r="V1579">
        <v>0.2485945925204551</v>
      </c>
      <c r="W1579">
        <v>9.7585059929156684E-2</v>
      </c>
      <c r="X1579">
        <v>1.5577635300070673E-2</v>
      </c>
      <c r="Y1579">
        <v>4.6165452330046534E-3</v>
      </c>
    </row>
    <row r="1580" spans="1:25" x14ac:dyDescent="0.2">
      <c r="A1580" s="1077"/>
      <c r="B1580" s="1444">
        <v>1330</v>
      </c>
      <c r="C1580" s="1081">
        <v>1.0148123034850505</v>
      </c>
      <c r="D1580" s="1081">
        <v>0.9768551902055066</v>
      </c>
      <c r="E1580" s="1081">
        <v>1.0262902573335553</v>
      </c>
      <c r="F1580" s="1081">
        <v>0.96706449620360457</v>
      </c>
      <c r="G1580" s="1081">
        <v>0.99942403845667249</v>
      </c>
      <c r="H1580" s="1081">
        <v>1.0293723495582381</v>
      </c>
      <c r="I1580" s="1081">
        <v>0.96992701297076533</v>
      </c>
      <c r="K1580">
        <v>2.3664814903332978</v>
      </c>
      <c r="L1580">
        <v>0</v>
      </c>
      <c r="M1580">
        <v>1.5849663423929672E-3</v>
      </c>
      <c r="N1580">
        <v>0.15621776312518984</v>
      </c>
      <c r="O1580">
        <v>2.080341347181423E-2</v>
      </c>
      <c r="P1580">
        <v>2.8286328616817492E-2</v>
      </c>
      <c r="Q1580">
        <v>5.5885446805272162E-3</v>
      </c>
      <c r="R1580">
        <v>1.5646421281494338E-3</v>
      </c>
      <c r="S1580">
        <v>0.25271690725742296</v>
      </c>
      <c r="T1580">
        <v>1.3270143031124555</v>
      </c>
      <c r="U1580">
        <v>0.20896813276888568</v>
      </c>
      <c r="V1580">
        <v>0.2444288203329186</v>
      </c>
      <c r="W1580">
        <v>0.10104960028721369</v>
      </c>
      <c r="X1580">
        <v>1.7169560805611411E-2</v>
      </c>
      <c r="Y1580">
        <v>4.2584400886838342E-3</v>
      </c>
    </row>
    <row r="1581" spans="1:25" x14ac:dyDescent="0.2">
      <c r="A1581" s="1077"/>
      <c r="B1581" s="1444">
        <v>1331</v>
      </c>
      <c r="C1581" s="1081">
        <v>1.0076581167989533</v>
      </c>
      <c r="D1581" s="1081">
        <v>1.0194950189162473</v>
      </c>
      <c r="E1581" s="1081">
        <v>0.98421332775187331</v>
      </c>
      <c r="F1581" s="1081">
        <v>1.0115017418391477</v>
      </c>
      <c r="G1581" s="1081">
        <v>0.96963857390189623</v>
      </c>
      <c r="H1581" s="1081">
        <v>0.99165868188917727</v>
      </c>
      <c r="I1581" s="1081">
        <v>0.96617372203854224</v>
      </c>
      <c r="K1581">
        <v>2.3962978643655308</v>
      </c>
      <c r="L1581">
        <v>0</v>
      </c>
      <c r="M1581">
        <v>1.6624012347358831E-3</v>
      </c>
      <c r="N1581">
        <v>0.14422609624342736</v>
      </c>
      <c r="O1581">
        <v>2.0727492145626684E-2</v>
      </c>
      <c r="P1581">
        <v>2.8077358045127589E-2</v>
      </c>
      <c r="Q1581">
        <v>5.3382034681131478E-3</v>
      </c>
      <c r="R1581">
        <v>1.64027335243521E-3</v>
      </c>
      <c r="S1581">
        <v>0.24479325189323389</v>
      </c>
      <c r="T1581">
        <v>1.3870700228337709</v>
      </c>
      <c r="U1581">
        <v>0.21030891976881314</v>
      </c>
      <c r="V1581">
        <v>0.23992691824966211</v>
      </c>
      <c r="W1581">
        <v>9.5645529419704278E-2</v>
      </c>
      <c r="X1581">
        <v>1.5741916830988044E-2</v>
      </c>
      <c r="Y1581">
        <v>4.464283349363332E-3</v>
      </c>
    </row>
    <row r="1582" spans="1:25" x14ac:dyDescent="0.2">
      <c r="A1582" s="1077"/>
      <c r="B1582" s="1444">
        <v>1332</v>
      </c>
      <c r="C1582" s="1081">
        <v>1.0113664584178153</v>
      </c>
      <c r="D1582" s="1081">
        <v>0.95242640623109709</v>
      </c>
      <c r="E1582" s="1081">
        <v>0.99953088409552915</v>
      </c>
      <c r="F1582" s="1081">
        <v>0.98815963010029673</v>
      </c>
      <c r="G1582" s="1081">
        <v>0.99150591194307847</v>
      </c>
      <c r="H1582" s="1081">
        <v>0.96578091867937776</v>
      </c>
      <c r="I1582" s="1081">
        <v>1.0218120284169141</v>
      </c>
      <c r="K1582">
        <v>2.3872379251217444</v>
      </c>
      <c r="L1582">
        <v>0</v>
      </c>
      <c r="M1582">
        <v>1.5862706114331722E-3</v>
      </c>
      <c r="N1582">
        <v>0.14409150967320675</v>
      </c>
      <c r="O1582">
        <v>2.097313709182471E-2</v>
      </c>
      <c r="P1582">
        <v>2.8280341887611547E-2</v>
      </c>
      <c r="Q1582">
        <v>5.4856583363893348E-3</v>
      </c>
      <c r="R1582">
        <v>1.5645903319728941E-3</v>
      </c>
      <c r="S1582">
        <v>0.2648121755589925</v>
      </c>
      <c r="T1582">
        <v>1.3553878655920919</v>
      </c>
      <c r="U1582">
        <v>0.20958949121679463</v>
      </c>
      <c r="V1582">
        <v>0.24338101404566614</v>
      </c>
      <c r="W1582">
        <v>9.4684727542818412E-2</v>
      </c>
      <c r="X1582">
        <v>1.6315385339241567E-2</v>
      </c>
      <c r="Y1582">
        <v>4.2582991165658985E-3</v>
      </c>
    </row>
    <row r="1583" spans="1:25" x14ac:dyDescent="0.2">
      <c r="A1583" s="1077"/>
      <c r="B1583" s="1444">
        <v>1333</v>
      </c>
      <c r="C1583" s="1081">
        <v>1.0045378675383021</v>
      </c>
      <c r="D1583" s="1081">
        <v>0.9734178269658863</v>
      </c>
      <c r="E1583" s="1081">
        <v>1.0059599669070156</v>
      </c>
      <c r="F1583" s="1081">
        <v>0.99674406507903668</v>
      </c>
      <c r="G1583" s="1081">
        <v>0.98031554128449361</v>
      </c>
      <c r="H1583" s="1081">
        <v>0.98181434318765393</v>
      </c>
      <c r="I1583" s="1081">
        <v>0.98317130367629257</v>
      </c>
      <c r="K1583">
        <v>2.3955423430859746</v>
      </c>
      <c r="L1583">
        <v>0</v>
      </c>
      <c r="M1583">
        <v>1.5943848854891077E-3</v>
      </c>
      <c r="N1583">
        <v>0.14770201743394179</v>
      </c>
      <c r="O1583">
        <v>2.1018950642916961E-2</v>
      </c>
      <c r="P1583">
        <v>2.8445012123519343E-2</v>
      </c>
      <c r="Q1583">
        <v>5.5332298125141443E-3</v>
      </c>
      <c r="R1583">
        <v>1.572949563347226E-3</v>
      </c>
      <c r="S1583">
        <v>0.255094830461644</v>
      </c>
      <c r="T1583">
        <v>1.3673011944294569</v>
      </c>
      <c r="U1583">
        <v>0.21103611304116462</v>
      </c>
      <c r="V1583">
        <v>0.24186696849023148</v>
      </c>
      <c r="W1583">
        <v>9.6687889149539449E-2</v>
      </c>
      <c r="X1583">
        <v>1.6596522634439514E-2</v>
      </c>
      <c r="Y1583">
        <v>4.2810501887469484E-3</v>
      </c>
    </row>
    <row r="1584" spans="1:25" x14ac:dyDescent="0.2">
      <c r="A1584" s="1077"/>
      <c r="B1584" s="1444">
        <v>1334</v>
      </c>
      <c r="C1584" s="1081">
        <v>1.01796774231941</v>
      </c>
      <c r="D1584" s="1081">
        <v>1.0011109314928834</v>
      </c>
      <c r="E1584" s="1081">
        <v>0.99197208994461128</v>
      </c>
      <c r="F1584" s="1081">
        <v>0.98809114240887752</v>
      </c>
      <c r="G1584" s="1081">
        <v>0.97969503083924159</v>
      </c>
      <c r="H1584" s="1081">
        <v>0.98178738983707714</v>
      </c>
      <c r="I1584" s="1081">
        <v>1.0051828404143823</v>
      </c>
      <c r="K1584">
        <v>2.3693037203456906</v>
      </c>
      <c r="L1584">
        <v>0</v>
      </c>
      <c r="M1584">
        <v>1.6096534161146616E-3</v>
      </c>
      <c r="N1584">
        <v>0.14294554419871863</v>
      </c>
      <c r="O1584">
        <v>2.0604922837850731E-2</v>
      </c>
      <c r="P1584">
        <v>2.7914591542569034E-2</v>
      </c>
      <c r="Q1584">
        <v>5.3484609705828435E-3</v>
      </c>
      <c r="R1584">
        <v>1.5880122257972214E-3</v>
      </c>
      <c r="S1584">
        <v>0.25363649759449824</v>
      </c>
      <c r="T1584">
        <v>1.3551325282251681</v>
      </c>
      <c r="U1584">
        <v>0.20820498747883656</v>
      </c>
      <c r="V1584">
        <v>0.24099057261078413</v>
      </c>
      <c r="W1584">
        <v>9.4356062347524819E-2</v>
      </c>
      <c r="X1584">
        <v>1.5869147938941737E-2</v>
      </c>
      <c r="Y1584">
        <v>4.3220457905304918E-3</v>
      </c>
    </row>
    <row r="1585" spans="1:25" x14ac:dyDescent="0.2">
      <c r="A1585" s="1077"/>
      <c r="B1585" s="1444">
        <v>1335</v>
      </c>
      <c r="C1585" s="1081">
        <v>1.0156377843095299</v>
      </c>
      <c r="D1585" s="1081">
        <v>0.97853083453815615</v>
      </c>
      <c r="E1585" s="1081">
        <v>0.99384612070436662</v>
      </c>
      <c r="F1585" s="1081">
        <v>0.990382104746238</v>
      </c>
      <c r="G1585" s="1081">
        <v>1.0388570889651374</v>
      </c>
      <c r="H1585" s="1081">
        <v>0.98637707409815056</v>
      </c>
      <c r="I1585" s="1081">
        <v>1.0148286309068912</v>
      </c>
      <c r="K1585">
        <v>2.3935658026593112</v>
      </c>
      <c r="L1585">
        <v>0</v>
      </c>
      <c r="M1585">
        <v>1.622730432941053E-3</v>
      </c>
      <c r="N1585">
        <v>0.144934694007958</v>
      </c>
      <c r="O1585">
        <v>2.0757333690866155E-2</v>
      </c>
      <c r="P1585">
        <v>2.8229563414337126E-2</v>
      </c>
      <c r="Q1585">
        <v>5.3982217673398678E-3</v>
      </c>
      <c r="R1585">
        <v>1.6010149431210157E-3</v>
      </c>
      <c r="S1585">
        <v>0.26003215824377851</v>
      </c>
      <c r="T1585">
        <v>1.358314587552788</v>
      </c>
      <c r="U1585">
        <v>0.20868892730427038</v>
      </c>
      <c r="V1585">
        <v>0.25122947155180464</v>
      </c>
      <c r="W1585">
        <v>9.556197135627717E-2</v>
      </c>
      <c r="X1585">
        <v>1.6083154358969086E-2</v>
      </c>
      <c r="Y1585">
        <v>4.3574349007412475E-3</v>
      </c>
    </row>
    <row r="1586" spans="1:25" x14ac:dyDescent="0.2">
      <c r="A1586" s="1077"/>
      <c r="B1586" s="1444">
        <v>1336</v>
      </c>
      <c r="C1586" s="1081">
        <v>1.0118582944974999</v>
      </c>
      <c r="D1586" s="1081">
        <v>1.0156136357352714</v>
      </c>
      <c r="E1586" s="1081">
        <v>1.0264558198900033</v>
      </c>
      <c r="F1586" s="1081">
        <v>1.0316998779584874</v>
      </c>
      <c r="G1586" s="1081">
        <v>1.0056898510067704</v>
      </c>
      <c r="H1586" s="1081">
        <v>0.98859900876243123</v>
      </c>
      <c r="I1586" s="1081">
        <v>0.99689507754250339</v>
      </c>
      <c r="K1586">
        <v>2.4459653990008325</v>
      </c>
      <c r="L1586">
        <v>0</v>
      </c>
      <c r="M1586">
        <v>1.5130955773735926E-3</v>
      </c>
      <c r="N1586">
        <v>0.14912855682584186</v>
      </c>
      <c r="O1586">
        <v>2.0686417055693396E-2</v>
      </c>
      <c r="P1586">
        <v>2.9541038514286744E-2</v>
      </c>
      <c r="Q1586">
        <v>5.5580267744927943E-3</v>
      </c>
      <c r="R1586">
        <v>1.4928927380610006E-3</v>
      </c>
      <c r="S1586">
        <v>0.25208937262423181</v>
      </c>
      <c r="T1586">
        <v>1.4157112488507142</v>
      </c>
      <c r="U1586">
        <v>0.20957875377954185</v>
      </c>
      <c r="V1586">
        <v>0.24567704478091232</v>
      </c>
      <c r="W1586">
        <v>9.6454644176414417E-2</v>
      </c>
      <c r="X1586">
        <v>1.7497336556972463E-2</v>
      </c>
      <c r="Y1586">
        <v>4.0631619010432045E-3</v>
      </c>
    </row>
    <row r="1587" spans="1:25" x14ac:dyDescent="0.2">
      <c r="A1587" s="1077"/>
      <c r="B1587" s="1444">
        <v>1337</v>
      </c>
      <c r="C1587" s="1081">
        <v>1.0205021444683506</v>
      </c>
      <c r="D1587" s="1081">
        <v>0.99693896971115081</v>
      </c>
      <c r="E1587" s="1081">
        <v>1.0149970308546417</v>
      </c>
      <c r="F1587" s="1081">
        <v>0.98996198443980121</v>
      </c>
      <c r="G1587" s="1081">
        <v>1.0378121250031607</v>
      </c>
      <c r="H1587" s="1081">
        <v>0.99827153010942882</v>
      </c>
      <c r="I1587" s="1081">
        <v>1.0403600831177031</v>
      </c>
      <c r="K1587">
        <v>2.4013752057360911</v>
      </c>
      <c r="L1587">
        <v>0</v>
      </c>
      <c r="M1587">
        <v>1.5578633442853459E-3</v>
      </c>
      <c r="N1587">
        <v>0.1483435137235527</v>
      </c>
      <c r="O1587">
        <v>2.0587635101893664E-2</v>
      </c>
      <c r="P1587">
        <v>2.8709501400520421E-2</v>
      </c>
      <c r="Q1587">
        <v>5.4688553859987494E-3</v>
      </c>
      <c r="R1587">
        <v>1.5372643085249528E-3</v>
      </c>
      <c r="S1587">
        <v>0.26403339420615207</v>
      </c>
      <c r="T1587">
        <v>1.3581916533622285</v>
      </c>
      <c r="U1587">
        <v>0.20776507811842773</v>
      </c>
      <c r="V1587">
        <v>0.25067850558355315</v>
      </c>
      <c r="W1587">
        <v>9.6591909134519788E-2</v>
      </c>
      <c r="X1587">
        <v>1.6841832066241697E-2</v>
      </c>
      <c r="Y1587">
        <v>4.1839266887618107E-3</v>
      </c>
    </row>
    <row r="1588" spans="1:25" x14ac:dyDescent="0.2">
      <c r="A1588" s="1077"/>
      <c r="B1588" s="1444">
        <v>1338</v>
      </c>
      <c r="C1588" s="1081">
        <v>0.97228203613643627</v>
      </c>
      <c r="D1588" s="1081">
        <v>0.9797938624914555</v>
      </c>
      <c r="E1588" s="1081">
        <v>1.0304346245794933</v>
      </c>
      <c r="F1588" s="1081">
        <v>1.0072286216671953</v>
      </c>
      <c r="G1588" s="1081">
        <v>1.0061801337162235</v>
      </c>
      <c r="H1588" s="1081">
        <v>1.0272063571333157</v>
      </c>
      <c r="I1588" s="1081">
        <v>0.96209874607543733</v>
      </c>
      <c r="K1588">
        <v>2.4576444388028831</v>
      </c>
      <c r="L1588">
        <v>0</v>
      </c>
      <c r="M1588">
        <v>1.6355434256321811E-3</v>
      </c>
      <c r="N1588">
        <v>0.16322514490332837</v>
      </c>
      <c r="O1588">
        <v>2.1701921169975987E-2</v>
      </c>
      <c r="P1588">
        <v>2.9440225476400943E-2</v>
      </c>
      <c r="Q1588">
        <v>5.8538748956247222E-3</v>
      </c>
      <c r="R1588">
        <v>1.6145264316647541E-3</v>
      </c>
      <c r="S1588">
        <v>0.26110019850247979</v>
      </c>
      <c r="T1588">
        <v>1.3822186473001039</v>
      </c>
      <c r="U1588">
        <v>0.21812360138247869</v>
      </c>
      <c r="V1588">
        <v>0.2482578897382316</v>
      </c>
      <c r="W1588">
        <v>0.10532831090158894</v>
      </c>
      <c r="X1588">
        <v>1.8021432808137481E-2</v>
      </c>
      <c r="Y1588">
        <v>4.3942087184963017E-3</v>
      </c>
    </row>
    <row r="1589" spans="1:25" x14ac:dyDescent="0.2">
      <c r="A1589" s="1077"/>
      <c r="B1589" s="1444">
        <v>1339</v>
      </c>
      <c r="C1589" s="1081">
        <v>1.0188958031927569</v>
      </c>
      <c r="D1589" s="1081">
        <v>1.0152873329780534</v>
      </c>
      <c r="E1589" s="1081">
        <v>0.99819405952661744</v>
      </c>
      <c r="F1589" s="1081">
        <v>1.0028790346991172</v>
      </c>
      <c r="G1589" s="1081">
        <v>1.0077515936982473</v>
      </c>
      <c r="H1589" s="1081">
        <v>0.98133945090712271</v>
      </c>
      <c r="I1589" s="1081">
        <v>1.0091872445488583</v>
      </c>
      <c r="K1589">
        <v>2.3938929262709547</v>
      </c>
      <c r="L1589">
        <v>0</v>
      </c>
      <c r="M1589">
        <v>1.5819549392661052E-3</v>
      </c>
      <c r="N1589">
        <v>0.14315167442283633</v>
      </c>
      <c r="O1589">
        <v>2.0526606242160125E-2</v>
      </c>
      <c r="P1589">
        <v>2.8371457372158029E-2</v>
      </c>
      <c r="Q1589">
        <v>5.3616512359338344E-3</v>
      </c>
      <c r="R1589">
        <v>1.5606764363646341E-3</v>
      </c>
      <c r="S1589">
        <v>0.25263944171860048</v>
      </c>
      <c r="T1589">
        <v>1.3755484299584906</v>
      </c>
      <c r="U1589">
        <v>0.20803620156825184</v>
      </c>
      <c r="V1589">
        <v>0.24570432726690875</v>
      </c>
      <c r="W1589">
        <v>9.4141984058458375E-2</v>
      </c>
      <c r="X1589">
        <v>1.618478414712201E-2</v>
      </c>
      <c r="Y1589">
        <v>4.2476467829355548E-3</v>
      </c>
    </row>
    <row r="1590" spans="1:25" x14ac:dyDescent="0.2">
      <c r="A1590" s="1077"/>
      <c r="B1590" s="1444">
        <v>1340</v>
      </c>
      <c r="C1590" s="1081">
        <v>0.99983537709354708</v>
      </c>
      <c r="D1590" s="1081">
        <v>1.0094518912655299</v>
      </c>
      <c r="E1590" s="1081">
        <v>0.96039109100455544</v>
      </c>
      <c r="F1590" s="1081">
        <v>0.97504628411067273</v>
      </c>
      <c r="G1590" s="1081">
        <v>1.0000030858116882</v>
      </c>
      <c r="H1590" s="1081">
        <v>0.96453164940842673</v>
      </c>
      <c r="I1590" s="1081">
        <v>0.98017101867817324</v>
      </c>
      <c r="K1590">
        <v>2.3473427003057612</v>
      </c>
      <c r="L1590">
        <v>0</v>
      </c>
      <c r="M1590">
        <v>1.715486143997094E-3</v>
      </c>
      <c r="N1590">
        <v>0.13842342359338317</v>
      </c>
      <c r="O1590">
        <v>2.0919502386450243E-2</v>
      </c>
      <c r="P1590">
        <v>2.7055922914074323E-2</v>
      </c>
      <c r="Q1590">
        <v>5.2582217814537971E-3</v>
      </c>
      <c r="R1590">
        <v>1.6920094494094603E-3</v>
      </c>
      <c r="S1590">
        <v>0.24908055086405273</v>
      </c>
      <c r="T1590">
        <v>1.3365792607705305</v>
      </c>
      <c r="U1590">
        <v>0.21187330606646584</v>
      </c>
      <c r="V1590">
        <v>0.24568676073848747</v>
      </c>
      <c r="W1590">
        <v>9.313563238807912E-2</v>
      </c>
      <c r="X1590">
        <v>1.4748503546844509E-2</v>
      </c>
      <c r="Y1590">
        <v>4.6050919505274575E-3</v>
      </c>
    </row>
    <row r="1591" spans="1:25" x14ac:dyDescent="0.2">
      <c r="A1591" s="1077"/>
      <c r="B1591" s="1444">
        <v>1341</v>
      </c>
      <c r="C1591" s="1081">
        <v>1.0258755091328604</v>
      </c>
      <c r="D1591" s="1081">
        <v>0.99440286708962533</v>
      </c>
      <c r="E1591" s="1081">
        <v>1.0054095587309424</v>
      </c>
      <c r="F1591" s="1081">
        <v>0.98891391810903784</v>
      </c>
      <c r="G1591" s="1081">
        <v>0.98116598582847026</v>
      </c>
      <c r="H1591" s="1081">
        <v>0.9707607920872442</v>
      </c>
      <c r="I1591" s="1081">
        <v>1.004512351694016</v>
      </c>
      <c r="K1591">
        <v>2.3652874960788615</v>
      </c>
      <c r="L1591">
        <v>0</v>
      </c>
      <c r="M1591">
        <v>1.5381761567001139E-3</v>
      </c>
      <c r="N1591">
        <v>0.14223617076542486</v>
      </c>
      <c r="O1591">
        <v>2.0485059995164132E-2</v>
      </c>
      <c r="P1591">
        <v>2.8161684989847311E-2</v>
      </c>
      <c r="Q1591">
        <v>5.3897099621131647E-3</v>
      </c>
      <c r="R1591">
        <v>1.5172610508864212E-3</v>
      </c>
      <c r="S1591">
        <v>0.25155267176037593</v>
      </c>
      <c r="T1591">
        <v>1.3565482668654694</v>
      </c>
      <c r="U1591">
        <v>0.20664484334904482</v>
      </c>
      <c r="V1591">
        <v>0.2407220829362649</v>
      </c>
      <c r="W1591">
        <v>9.3140194292470738E-2</v>
      </c>
      <c r="X1591">
        <v>1.6298241852956308E-2</v>
      </c>
      <c r="Y1591">
        <v>4.1294844155418354E-3</v>
      </c>
    </row>
    <row r="1592" spans="1:25" x14ac:dyDescent="0.2">
      <c r="A1592" s="1077"/>
      <c r="B1592" s="1444">
        <v>1342</v>
      </c>
      <c r="C1592" s="1081">
        <v>0.98903629862234721</v>
      </c>
      <c r="D1592" s="1081">
        <v>0.99931735520717013</v>
      </c>
      <c r="E1592" s="1081">
        <v>1.0186584405646189</v>
      </c>
      <c r="F1592" s="1081">
        <v>0.96922501081520573</v>
      </c>
      <c r="G1592" s="1081">
        <v>0.99903590167505074</v>
      </c>
      <c r="H1592" s="1081">
        <v>1.0175492414810745</v>
      </c>
      <c r="I1592" s="1081">
        <v>1.0028912321374164</v>
      </c>
      <c r="K1592">
        <v>2.3891704067397952</v>
      </c>
      <c r="L1592">
        <v>0</v>
      </c>
      <c r="M1592">
        <v>1.625186446445142E-3</v>
      </c>
      <c r="N1592">
        <v>0.15651314800695132</v>
      </c>
      <c r="O1592">
        <v>2.1233954176289777E-2</v>
      </c>
      <c r="P1592">
        <v>2.8420637040548591E-2</v>
      </c>
      <c r="Q1592">
        <v>5.6611470446419083E-3</v>
      </c>
      <c r="R1592">
        <v>1.6041043412857068E-3</v>
      </c>
      <c r="S1592">
        <v>0.26400279605306054</v>
      </c>
      <c r="T1592">
        <v>1.3298182915943599</v>
      </c>
      <c r="U1592">
        <v>0.21438773875840364</v>
      </c>
      <c r="V1592">
        <v>0.24599221126247814</v>
      </c>
      <c r="W1592">
        <v>0.10169284089528183</v>
      </c>
      <c r="X1592">
        <v>1.7102880788812759E-2</v>
      </c>
      <c r="Y1592">
        <v>4.3658432241257062E-3</v>
      </c>
    </row>
    <row r="1593" spans="1:25" x14ac:dyDescent="0.2">
      <c r="A1593" s="1077"/>
      <c r="B1593" s="1444">
        <v>1343</v>
      </c>
      <c r="C1593" s="1081">
        <v>1.0462665680848044</v>
      </c>
      <c r="D1593" s="1081">
        <v>1.030605957448268</v>
      </c>
      <c r="E1593" s="1081">
        <v>1.0254658097346689</v>
      </c>
      <c r="F1593" s="1081">
        <v>1.0078560354280972</v>
      </c>
      <c r="G1593" s="1081">
        <v>0.98963685492775644</v>
      </c>
      <c r="H1593" s="1081">
        <v>0.99106637336783032</v>
      </c>
      <c r="I1593" s="1081">
        <v>1.0055017946736622</v>
      </c>
      <c r="K1593">
        <v>2.3830024662781493</v>
      </c>
      <c r="L1593">
        <v>0</v>
      </c>
      <c r="M1593">
        <v>1.4652831876425542E-3</v>
      </c>
      <c r="N1593">
        <v>0.14399059756888538</v>
      </c>
      <c r="O1593">
        <v>1.994108921612589E-2</v>
      </c>
      <c r="P1593">
        <v>2.8794137412441714E-2</v>
      </c>
      <c r="Q1593">
        <v>5.3525187307978265E-3</v>
      </c>
      <c r="R1593">
        <v>1.4457674467172408E-3</v>
      </c>
      <c r="S1593">
        <v>0.24430541491288899</v>
      </c>
      <c r="T1593">
        <v>1.3829707452790512</v>
      </c>
      <c r="U1593">
        <v>0.2026831492388505</v>
      </c>
      <c r="V1593">
        <v>0.24091237236895061</v>
      </c>
      <c r="W1593">
        <v>9.3185176861830171E-2</v>
      </c>
      <c r="X1593">
        <v>1.6951878036395723E-2</v>
      </c>
      <c r="Y1593">
        <v>3.934902392853607E-3</v>
      </c>
    </row>
    <row r="1594" spans="1:25" x14ac:dyDescent="0.2">
      <c r="A1594" s="1077"/>
      <c r="B1594" s="1444">
        <v>1344</v>
      </c>
      <c r="C1594" s="1081">
        <v>0.99320445452745609</v>
      </c>
      <c r="D1594" s="1081">
        <v>1.0003384567801998</v>
      </c>
      <c r="E1594" s="1081">
        <v>0.9708682891221242</v>
      </c>
      <c r="F1594" s="1081">
        <v>1.0138507409735571</v>
      </c>
      <c r="G1594" s="1081">
        <v>1.0194649002642293</v>
      </c>
      <c r="H1594" s="1081">
        <v>1.0061442111167165</v>
      </c>
      <c r="I1594" s="1081">
        <v>0.99465136445306734</v>
      </c>
      <c r="K1594">
        <v>2.4324726039891367</v>
      </c>
      <c r="L1594">
        <v>0</v>
      </c>
      <c r="M1594">
        <v>1.7664456976543039E-3</v>
      </c>
      <c r="N1594">
        <v>0.14721555710219153</v>
      </c>
      <c r="O1594">
        <v>2.1108187497347695E-2</v>
      </c>
      <c r="P1594">
        <v>2.8192294805676092E-2</v>
      </c>
      <c r="Q1594">
        <v>5.3629099500336454E-3</v>
      </c>
      <c r="R1594">
        <v>1.7432714162164281E-3</v>
      </c>
      <c r="S1594">
        <v>0.25923807049583109</v>
      </c>
      <c r="T1594">
        <v>1.3899999320674616</v>
      </c>
      <c r="U1594">
        <v>0.21332368971107213</v>
      </c>
      <c r="V1594">
        <v>0.24939057047083155</v>
      </c>
      <c r="W1594">
        <v>9.8419453402994003E-2</v>
      </c>
      <c r="X1594">
        <v>1.5500502641461812E-2</v>
      </c>
      <c r="Y1594">
        <v>4.7446101256732069E-3</v>
      </c>
    </row>
    <row r="1595" spans="1:25" x14ac:dyDescent="0.2">
      <c r="A1595" s="1077"/>
      <c r="B1595" s="1444">
        <v>1345</v>
      </c>
      <c r="C1595" s="1081">
        <v>1.0290233847415449</v>
      </c>
      <c r="D1595" s="1081">
        <v>0.9908114446199402</v>
      </c>
      <c r="E1595" s="1081">
        <v>1.0383934086456665</v>
      </c>
      <c r="F1595" s="1081">
        <v>0.96182154317864577</v>
      </c>
      <c r="G1595" s="1081">
        <v>0.97644695826943806</v>
      </c>
      <c r="H1595" s="1081">
        <v>1.0069605022957557</v>
      </c>
      <c r="I1595" s="1081">
        <v>1.004693599851251</v>
      </c>
      <c r="K1595">
        <v>2.3455962863417428</v>
      </c>
      <c r="L1595">
        <v>0</v>
      </c>
      <c r="M1595">
        <v>1.4863060551897429E-3</v>
      </c>
      <c r="N1595">
        <v>0.15189235578502033</v>
      </c>
      <c r="O1595">
        <v>2.0460044276894854E-2</v>
      </c>
      <c r="P1595">
        <v>2.8356457853207912E-2</v>
      </c>
      <c r="Q1595">
        <v>5.562383692300301E-3</v>
      </c>
      <c r="R1595">
        <v>1.4668227770858742E-3</v>
      </c>
      <c r="S1595">
        <v>0.25456592754426649</v>
      </c>
      <c r="T1595">
        <v>1.3200732319546662</v>
      </c>
      <c r="U1595">
        <v>0.20612262822648483</v>
      </c>
      <c r="V1595">
        <v>0.23961747952454512</v>
      </c>
      <c r="W1595">
        <v>9.7565104932703997E-2</v>
      </c>
      <c r="X1595">
        <v>1.7407947768528016E-2</v>
      </c>
      <c r="Y1595">
        <v>3.9922080612292375E-3</v>
      </c>
    </row>
    <row r="1596" spans="1:25" x14ac:dyDescent="0.2">
      <c r="A1596" s="1077"/>
      <c r="B1596" s="1444">
        <v>1346</v>
      </c>
      <c r="C1596" s="1081">
        <v>0.99571320920573347</v>
      </c>
      <c r="D1596" s="1081">
        <v>1.0141845306328006</v>
      </c>
      <c r="E1596" s="1081">
        <v>1.0312157499039669</v>
      </c>
      <c r="F1596" s="1081">
        <v>0.95962031688851657</v>
      </c>
      <c r="G1596" s="1081">
        <v>0.9767737260748518</v>
      </c>
      <c r="H1596" s="1081">
        <v>1.0168134729001626</v>
      </c>
      <c r="I1596" s="1081">
        <v>0.97948662245803719</v>
      </c>
      <c r="K1596">
        <v>2.3601911693329991</v>
      </c>
      <c r="L1596">
        <v>0</v>
      </c>
      <c r="M1596">
        <v>1.5663924558434379E-3</v>
      </c>
      <c r="N1596">
        <v>0.15667163497656855</v>
      </c>
      <c r="O1596">
        <v>2.1031528841259306E-2</v>
      </c>
      <c r="P1596">
        <v>2.8286797198283028E-2</v>
      </c>
      <c r="Q1596">
        <v>5.6774242758626985E-3</v>
      </c>
      <c r="R1596">
        <v>1.5460583298984988E-3</v>
      </c>
      <c r="S1596">
        <v>0.25427466121431974</v>
      </c>
      <c r="T1596">
        <v>1.3169021361892264</v>
      </c>
      <c r="U1596">
        <v>0.212993399890678</v>
      </c>
      <c r="V1596">
        <v>0.24172688797108913</v>
      </c>
      <c r="W1596">
        <v>0.10105356522513918</v>
      </c>
      <c r="X1596">
        <v>1.7385606560524725E-2</v>
      </c>
      <c r="Y1596">
        <v>4.207861115992236E-3</v>
      </c>
    </row>
    <row r="1597" spans="1:25" x14ac:dyDescent="0.2">
      <c r="A1597" s="1077"/>
      <c r="B1597" s="1444">
        <v>1347</v>
      </c>
      <c r="C1597" s="1081">
        <v>0.96969062981464127</v>
      </c>
      <c r="D1597" s="1081">
        <v>1.0252213235999132</v>
      </c>
      <c r="E1597" s="1081">
        <v>1.0328969719508212</v>
      </c>
      <c r="F1597" s="1081">
        <v>0.97797425747523858</v>
      </c>
      <c r="G1597" s="1081">
        <v>0.9950496212826363</v>
      </c>
      <c r="H1597" s="1081">
        <v>0.98615655180050799</v>
      </c>
      <c r="I1597" s="1081">
        <v>1.0215597073331948</v>
      </c>
      <c r="K1597">
        <v>2.4100919504497389</v>
      </c>
      <c r="L1597">
        <v>0</v>
      </c>
      <c r="M1597">
        <v>1.55077987075086E-3</v>
      </c>
      <c r="N1597">
        <v>0.15583431200544529</v>
      </c>
      <c r="O1597">
        <v>2.1545716928532278E-2</v>
      </c>
      <c r="P1597">
        <v>2.9014651649193875E-2</v>
      </c>
      <c r="Q1597">
        <v>5.8258933882792008E-3</v>
      </c>
      <c r="R1597">
        <v>1.5300225876199015E-3</v>
      </c>
      <c r="S1597">
        <v>0.26813269842552612</v>
      </c>
      <c r="T1597">
        <v>1.3421253212515283</v>
      </c>
      <c r="U1597">
        <v>0.21871523734588971</v>
      </c>
      <c r="V1597">
        <v>0.24652190462824139</v>
      </c>
      <c r="W1597">
        <v>0.10041560381515123</v>
      </c>
      <c r="X1597">
        <v>1.7817151183393106E-2</v>
      </c>
      <c r="Y1597">
        <v>4.1642171116909165E-3</v>
      </c>
    </row>
    <row r="1598" spans="1:25" x14ac:dyDescent="0.2">
      <c r="A1598" s="1077"/>
      <c r="B1598" s="1444">
        <v>1348</v>
      </c>
      <c r="C1598" s="1081">
        <v>1.0110040118785355</v>
      </c>
      <c r="D1598" s="1081">
        <v>0.96672133466281007</v>
      </c>
      <c r="E1598" s="1081">
        <v>0.99518051660111684</v>
      </c>
      <c r="F1598" s="1081">
        <v>0.95625958249831045</v>
      </c>
      <c r="G1598" s="1081">
        <v>0.99760541380657308</v>
      </c>
      <c r="H1598" s="1081">
        <v>0.99447244412009372</v>
      </c>
      <c r="I1598" s="1081">
        <v>0.96903919250589543</v>
      </c>
      <c r="K1598">
        <v>2.335868336982569</v>
      </c>
      <c r="L1598">
        <v>0</v>
      </c>
      <c r="M1598">
        <v>1.6433919897859783E-3</v>
      </c>
      <c r="N1598">
        <v>0.14738953698198898</v>
      </c>
      <c r="O1598">
        <v>2.0909129816908407E-2</v>
      </c>
      <c r="P1598">
        <v>2.7428908001842587E-2</v>
      </c>
      <c r="Q1598">
        <v>5.4450191219163457E-3</v>
      </c>
      <c r="R1598">
        <v>1.6215790284049097E-3</v>
      </c>
      <c r="S1598">
        <v>0.25164899767100868</v>
      </c>
      <c r="T1598">
        <v>1.3115429253395372</v>
      </c>
      <c r="U1598">
        <v>0.20964992678127398</v>
      </c>
      <c r="V1598">
        <v>0.24446039184965895</v>
      </c>
      <c r="W1598">
        <v>9.7103182834555712E-2</v>
      </c>
      <c r="X1598">
        <v>1.5898727983320995E-2</v>
      </c>
      <c r="Y1598">
        <v>4.4134035619351145E-3</v>
      </c>
    </row>
    <row r="1599" spans="1:25" x14ac:dyDescent="0.2">
      <c r="A1599" s="1077"/>
      <c r="B1599" s="1444">
        <v>1349</v>
      </c>
      <c r="C1599" s="1081">
        <v>0.99975067329085399</v>
      </c>
      <c r="D1599" s="1081">
        <v>0.96218224962194088</v>
      </c>
      <c r="E1599" s="1081">
        <v>0.99011210549284834</v>
      </c>
      <c r="F1599" s="1081">
        <v>0.97235427273950481</v>
      </c>
      <c r="G1599" s="1081">
        <v>1.0022257965410406</v>
      </c>
      <c r="H1599" s="1081">
        <v>1.0369841729089715</v>
      </c>
      <c r="I1599" s="1081">
        <v>1.023188113962554</v>
      </c>
      <c r="K1599">
        <v>2.3971275778959953</v>
      </c>
      <c r="L1599">
        <v>0</v>
      </c>
      <c r="M1599">
        <v>1.7530410144480485E-3</v>
      </c>
      <c r="N1599">
        <v>0.1549184536850565</v>
      </c>
      <c r="O1599">
        <v>2.1163001162391941E-2</v>
      </c>
      <c r="P1599">
        <v>2.7964105630346733E-2</v>
      </c>
      <c r="Q1599">
        <v>5.4830106449373049E-3</v>
      </c>
      <c r="R1599">
        <v>1.7307265654486726E-3</v>
      </c>
      <c r="S1599">
        <v>0.27303061447254434</v>
      </c>
      <c r="T1599">
        <v>1.3335109157220568</v>
      </c>
      <c r="U1599">
        <v>0.21199246759184995</v>
      </c>
      <c r="V1599">
        <v>0.24596249484536808</v>
      </c>
      <c r="W1599">
        <v>0.10237309917574003</v>
      </c>
      <c r="X1599">
        <v>1.6041262237410151E-2</v>
      </c>
      <c r="Y1599">
        <v>4.71046717729232E-3</v>
      </c>
    </row>
    <row r="1600" spans="1:25" x14ac:dyDescent="0.2">
      <c r="A1600" s="1077"/>
      <c r="B1600" s="1444">
        <v>1350</v>
      </c>
      <c r="C1600" s="1081">
        <v>1.0007391644317938</v>
      </c>
      <c r="D1600" s="1081">
        <v>0.98790873193758411</v>
      </c>
      <c r="E1600" s="1081">
        <v>0.9794225740810194</v>
      </c>
      <c r="F1600" s="1081">
        <v>0.95796340829213522</v>
      </c>
      <c r="G1600" s="1081">
        <v>1.014855996764501</v>
      </c>
      <c r="H1600" s="1081">
        <v>1.0095958100707629</v>
      </c>
      <c r="I1600" s="1081">
        <v>1.0273364200973862</v>
      </c>
      <c r="K1600">
        <v>2.361923996895448</v>
      </c>
      <c r="L1600">
        <v>0</v>
      </c>
      <c r="M1600">
        <v>1.7331014435175501E-3</v>
      </c>
      <c r="N1600">
        <v>0.14823191459609839</v>
      </c>
      <c r="O1600">
        <v>2.1012631634739373E-2</v>
      </c>
      <c r="P1600">
        <v>2.7425878011520452E-2</v>
      </c>
      <c r="Q1600">
        <v>5.3853785012914395E-3</v>
      </c>
      <c r="R1600">
        <v>1.7104423431633965E-3</v>
      </c>
      <c r="S1600">
        <v>0.26778489982594533</v>
      </c>
      <c r="T1600">
        <v>1.3135541398923938</v>
      </c>
      <c r="U1600">
        <v>0.21174664628172848</v>
      </c>
      <c r="V1600">
        <v>0.24809801880359575</v>
      </c>
      <c r="W1600">
        <v>9.8586409667346261E-2</v>
      </c>
      <c r="X1600">
        <v>1.5465478570219673E-2</v>
      </c>
      <c r="Y1600">
        <v>4.6552602109238795E-3</v>
      </c>
    </row>
    <row r="1601" spans="1:25" x14ac:dyDescent="0.2">
      <c r="A1601" s="1077"/>
      <c r="B1601" s="1444">
        <v>1351</v>
      </c>
      <c r="C1601" s="1081">
        <v>1.0240181552768353</v>
      </c>
      <c r="D1601" s="1081">
        <v>1.0171328573646736</v>
      </c>
      <c r="E1601" s="1081">
        <v>0.98985936579732059</v>
      </c>
      <c r="F1601" s="1081">
        <v>1.0189325146664516</v>
      </c>
      <c r="G1601" s="1081">
        <v>1.0016942292800215</v>
      </c>
      <c r="H1601" s="1081">
        <v>1.0288342080021327</v>
      </c>
      <c r="I1601" s="1081">
        <v>0.99368376948830106</v>
      </c>
      <c r="K1601">
        <v>2.4205865249870353</v>
      </c>
      <c r="L1601">
        <v>0</v>
      </c>
      <c r="M1601">
        <v>1.6783025137590989E-3</v>
      </c>
      <c r="N1601">
        <v>0.14818529192539728</v>
      </c>
      <c r="O1601">
        <v>2.0410392768536983E-2</v>
      </c>
      <c r="P1601">
        <v>2.8437853153848093E-2</v>
      </c>
      <c r="Q1601">
        <v>5.2866705761445811E-3</v>
      </c>
      <c r="R1601">
        <v>1.6567701817482867E-3</v>
      </c>
      <c r="S1601">
        <v>0.25112857585277859</v>
      </c>
      <c r="T1601">
        <v>1.3973839206596832</v>
      </c>
      <c r="U1601">
        <v>0.20696776572261705</v>
      </c>
      <c r="V1601">
        <v>0.24439385712233797</v>
      </c>
      <c r="W1601">
        <v>9.7938523719113629E-2</v>
      </c>
      <c r="X1601">
        <v>1.5966023538012002E-2</v>
      </c>
      <c r="Y1601">
        <v>4.509182280575205E-3</v>
      </c>
    </row>
    <row r="1602" spans="1:25" x14ac:dyDescent="0.2">
      <c r="A1602" s="1077"/>
      <c r="B1602" s="1444">
        <v>1352</v>
      </c>
      <c r="C1602" s="1081">
        <v>1.012574654577985</v>
      </c>
      <c r="D1602" s="1081">
        <v>0.97208726306838578</v>
      </c>
      <c r="E1602" s="1081">
        <v>1.0348113559322862</v>
      </c>
      <c r="F1602" s="1081">
        <v>0.99293623072097792</v>
      </c>
      <c r="G1602" s="1081">
        <v>0.9789521487927918</v>
      </c>
      <c r="H1602" s="1081">
        <v>1.0126883831792424</v>
      </c>
      <c r="I1602" s="1081">
        <v>1.0049094429925796</v>
      </c>
      <c r="K1602">
        <v>2.4076972692808014</v>
      </c>
      <c r="L1602">
        <v>0</v>
      </c>
      <c r="M1602">
        <v>1.5368714065911316E-3</v>
      </c>
      <c r="N1602">
        <v>0.15538547805507752</v>
      </c>
      <c r="O1602">
        <v>2.087748681693825E-2</v>
      </c>
      <c r="P1602">
        <v>2.9046631207583964E-2</v>
      </c>
      <c r="Q1602">
        <v>5.6558785107930038E-3</v>
      </c>
      <c r="R1602">
        <v>1.516839240104709E-3</v>
      </c>
      <c r="S1602">
        <v>0.26170715935404154</v>
      </c>
      <c r="T1602">
        <v>1.3626998029121395</v>
      </c>
      <c r="U1602">
        <v>0.20945882097141677</v>
      </c>
      <c r="V1602">
        <v>0.2410424593918192</v>
      </c>
      <c r="W1602">
        <v>0.10001551829945082</v>
      </c>
      <c r="X1602">
        <v>1.7699729542384381E-2</v>
      </c>
      <c r="Y1602">
        <v>4.128336385643902E-3</v>
      </c>
    </row>
    <row r="1603" spans="1:25" x14ac:dyDescent="0.2">
      <c r="A1603" s="1077"/>
      <c r="B1603" s="1444">
        <v>1353</v>
      </c>
      <c r="C1603" s="1081">
        <v>1.0299499251557827</v>
      </c>
      <c r="D1603" s="1081">
        <v>1.003536397456932</v>
      </c>
      <c r="E1603" s="1081">
        <v>1.0090305971369078</v>
      </c>
      <c r="F1603" s="1081">
        <v>0.98974727791033434</v>
      </c>
      <c r="G1603" s="1081">
        <v>1.0139300315368649</v>
      </c>
      <c r="H1603" s="1081">
        <v>1.0280974509976961</v>
      </c>
      <c r="I1603" s="1081">
        <v>1.0013594952948239</v>
      </c>
      <c r="K1603">
        <v>2.3865652345780388</v>
      </c>
      <c r="L1603">
        <v>0</v>
      </c>
      <c r="M1603">
        <v>1.6071907647682924E-3</v>
      </c>
      <c r="N1603">
        <v>0.15036743324132995</v>
      </c>
      <c r="O1603">
        <v>2.036535584368062E-2</v>
      </c>
      <c r="P1603">
        <v>2.8341607216041165E-2</v>
      </c>
      <c r="Q1603">
        <v>5.377675617279391E-3</v>
      </c>
      <c r="R1603">
        <v>1.5865560075148165E-3</v>
      </c>
      <c r="S1603">
        <v>0.25339168024078929</v>
      </c>
      <c r="T1603">
        <v>1.3577690585308961</v>
      </c>
      <c r="U1603">
        <v>0.20583940066361403</v>
      </c>
      <c r="V1603">
        <v>0.24606254297699864</v>
      </c>
      <c r="W1603">
        <v>9.8254288917064281E-2</v>
      </c>
      <c r="X1603">
        <v>1.6498743643187049E-2</v>
      </c>
      <c r="Y1603">
        <v>4.3180824444080147E-3</v>
      </c>
    </row>
    <row r="1604" spans="1:25" x14ac:dyDescent="0.2">
      <c r="A1604" s="1077"/>
      <c r="B1604" s="1444">
        <v>1354</v>
      </c>
      <c r="C1604" s="1081">
        <v>0.99821416173839805</v>
      </c>
      <c r="D1604" s="1081">
        <v>0.99135790159913906</v>
      </c>
      <c r="E1604" s="1081">
        <v>0.97160426428698599</v>
      </c>
      <c r="F1604" s="1081">
        <v>0.99068658212860328</v>
      </c>
      <c r="G1604" s="1081">
        <v>1.001403421751152</v>
      </c>
      <c r="H1604" s="1081">
        <v>0.99337758603390547</v>
      </c>
      <c r="I1604" s="1081">
        <v>1.0190569000963243</v>
      </c>
      <c r="K1604">
        <v>2.3969144836143004</v>
      </c>
      <c r="L1604">
        <v>0</v>
      </c>
      <c r="M1604">
        <v>1.7360849777128416E-3</v>
      </c>
      <c r="N1604">
        <v>0.14498327527701763</v>
      </c>
      <c r="O1604">
        <v>2.1044449699916645E-2</v>
      </c>
      <c r="P1604">
        <v>2.7792876077565365E-2</v>
      </c>
      <c r="Q1604">
        <v>5.3507368922348399E-3</v>
      </c>
      <c r="R1604">
        <v>1.7130162926008781E-3</v>
      </c>
      <c r="S1604">
        <v>0.26435848853791283</v>
      </c>
      <c r="T1604">
        <v>1.3582573040207473</v>
      </c>
      <c r="U1604">
        <v>0.2122555970203148</v>
      </c>
      <c r="V1604">
        <v>0.24598579687419783</v>
      </c>
      <c r="W1604">
        <v>9.6883719133490365E-2</v>
      </c>
      <c r="X1604">
        <v>1.5363043113224865E-2</v>
      </c>
      <c r="Y1604">
        <v>4.6622656527905001E-3</v>
      </c>
    </row>
    <row r="1605" spans="1:25" x14ac:dyDescent="0.2">
      <c r="A1605" s="1077"/>
      <c r="B1605" s="1444">
        <v>1355</v>
      </c>
      <c r="C1605" s="1081">
        <v>0.98656761813628602</v>
      </c>
      <c r="D1605" s="1081">
        <v>1.0083476827607802</v>
      </c>
      <c r="E1605" s="1081">
        <v>0.9659687248000286</v>
      </c>
      <c r="F1605" s="1081">
        <v>0.98881645710050436</v>
      </c>
      <c r="G1605" s="1081">
        <v>0.98872857730794539</v>
      </c>
      <c r="H1605" s="1081">
        <v>1.0086068721069203</v>
      </c>
      <c r="I1605" s="1081">
        <v>1.0151365149948575</v>
      </c>
      <c r="K1605">
        <v>2.4012024964545016</v>
      </c>
      <c r="L1605">
        <v>0</v>
      </c>
      <c r="M1605">
        <v>1.7976436123294665E-3</v>
      </c>
      <c r="N1605">
        <v>0.14761396839436908</v>
      </c>
      <c r="O1605">
        <v>2.1209664367116653E-2</v>
      </c>
      <c r="P1605">
        <v>2.7666513018095185E-2</v>
      </c>
      <c r="Q1605">
        <v>5.3617505713620065E-3</v>
      </c>
      <c r="R1605">
        <v>1.7741176232330615E-3</v>
      </c>
      <c r="S1605">
        <v>0.26547173168097027</v>
      </c>
      <c r="T1605">
        <v>1.3555735755561908</v>
      </c>
      <c r="U1605">
        <v>0.21474187210904516</v>
      </c>
      <c r="V1605">
        <v>0.24457756526785598</v>
      </c>
      <c r="W1605">
        <v>9.8980902465628864E-2</v>
      </c>
      <c r="X1605">
        <v>1.519991568024181E-2</v>
      </c>
      <c r="Y1605">
        <v>4.8285633327230723E-3</v>
      </c>
    </row>
    <row r="1606" spans="1:25" x14ac:dyDescent="0.2">
      <c r="A1606" s="1077"/>
      <c r="B1606" s="1444">
        <v>1356</v>
      </c>
      <c r="C1606" s="1081">
        <v>1.0110371097778736</v>
      </c>
      <c r="D1606" s="1081">
        <v>0.98299226869054168</v>
      </c>
      <c r="E1606" s="1081">
        <v>1.0270730184124801</v>
      </c>
      <c r="F1606" s="1081">
        <v>1.0139648329878763</v>
      </c>
      <c r="G1606" s="1081">
        <v>0.97414167793614326</v>
      </c>
      <c r="H1606" s="1081">
        <v>0.99733271233574339</v>
      </c>
      <c r="I1606" s="1081">
        <v>1.0084126775344668</v>
      </c>
      <c r="K1606">
        <v>2.4288498600186617</v>
      </c>
      <c r="L1606">
        <v>0</v>
      </c>
      <c r="M1606">
        <v>1.5367379906860285E-3</v>
      </c>
      <c r="N1606">
        <v>0.15175883372330079</v>
      </c>
      <c r="O1606">
        <v>2.0852860243169798E-2</v>
      </c>
      <c r="P1606">
        <v>2.9256454030219262E-2</v>
      </c>
      <c r="Q1606">
        <v>5.60617277180711E-3</v>
      </c>
      <c r="R1606">
        <v>1.5163991599416377E-3</v>
      </c>
      <c r="S1606">
        <v>0.26017534327907821</v>
      </c>
      <c r="T1606">
        <v>1.3913886083010101</v>
      </c>
      <c r="U1606">
        <v>0.20975107302011986</v>
      </c>
      <c r="V1606">
        <v>0.24034150926157233</v>
      </c>
      <c r="W1606">
        <v>9.8120627903546684E-2</v>
      </c>
      <c r="X1606">
        <v>1.7491577683068259E-2</v>
      </c>
      <c r="Y1606">
        <v>4.1271386325124103E-3</v>
      </c>
    </row>
    <row r="1607" spans="1:25" x14ac:dyDescent="0.2">
      <c r="A1607" s="1077"/>
      <c r="B1607" s="1444">
        <v>1357</v>
      </c>
      <c r="C1607" s="1081">
        <v>1.0186891335101562</v>
      </c>
      <c r="D1607" s="1081">
        <v>1.0032153567571334</v>
      </c>
      <c r="E1607" s="1081">
        <v>0.98920023827491976</v>
      </c>
      <c r="F1607" s="1081">
        <v>0.9841673586832772</v>
      </c>
      <c r="G1607" s="1081">
        <v>1.0122400329928836</v>
      </c>
      <c r="H1607" s="1081">
        <v>1.0303057859426232</v>
      </c>
      <c r="I1607" s="1081">
        <v>0.99918811226491899</v>
      </c>
      <c r="K1607">
        <v>2.3824960305217417</v>
      </c>
      <c r="L1607">
        <v>0</v>
      </c>
      <c r="M1607">
        <v>1.6969386988420392E-3</v>
      </c>
      <c r="N1607">
        <v>0.14953524466195578</v>
      </c>
      <c r="O1607">
        <v>2.0579019419799838E-2</v>
      </c>
      <c r="P1607">
        <v>2.7883456860727105E-2</v>
      </c>
      <c r="Q1607">
        <v>5.3267970628882661E-3</v>
      </c>
      <c r="R1607">
        <v>1.6751983637582608E-3</v>
      </c>
      <c r="S1607">
        <v>0.25570169156663936</v>
      </c>
      <c r="T1607">
        <v>1.3496923076616703</v>
      </c>
      <c r="U1607">
        <v>0.2080482586678167</v>
      </c>
      <c r="V1607">
        <v>0.24651641830338328</v>
      </c>
      <c r="W1607">
        <v>9.8869779861170085E-2</v>
      </c>
      <c r="X1607">
        <v>1.5805459073613474E-2</v>
      </c>
      <c r="Y1607">
        <v>4.559337717157789E-3</v>
      </c>
    </row>
    <row r="1608" spans="1:25" x14ac:dyDescent="0.2">
      <c r="A1608" s="1077"/>
      <c r="B1608" s="1444">
        <v>1358</v>
      </c>
      <c r="C1608" s="1081">
        <v>1.017168568907312</v>
      </c>
      <c r="D1608" s="1081">
        <v>1.0065108362611543</v>
      </c>
      <c r="E1608" s="1081">
        <v>1.0220434475485642</v>
      </c>
      <c r="F1608" s="1081">
        <v>1.0257761544717703</v>
      </c>
      <c r="G1608" s="1081">
        <v>0.98296138485142404</v>
      </c>
      <c r="H1608" s="1081">
        <v>1.0283131878858589</v>
      </c>
      <c r="I1608" s="1081">
        <v>0.99602729058478978</v>
      </c>
      <c r="K1608">
        <v>2.4433456360945969</v>
      </c>
      <c r="L1608">
        <v>0</v>
      </c>
      <c r="M1608">
        <v>1.583245393574113E-3</v>
      </c>
      <c r="N1608">
        <v>0.15406019364366028</v>
      </c>
      <c r="O1608">
        <v>2.0616335643309218E-2</v>
      </c>
      <c r="P1608">
        <v>2.9298373228830908E-2</v>
      </c>
      <c r="Q1608">
        <v>5.5150091189338692E-3</v>
      </c>
      <c r="R1608">
        <v>1.5629223360717813E-3</v>
      </c>
      <c r="S1608">
        <v>0.25495693156871457</v>
      </c>
      <c r="T1608">
        <v>1.4074842861228181</v>
      </c>
      <c r="U1608">
        <v>0.20846973528327561</v>
      </c>
      <c r="V1608">
        <v>0.24149160931138075</v>
      </c>
      <c r="W1608">
        <v>9.9901072141941105E-2</v>
      </c>
      <c r="X1608">
        <v>1.7318653707655157E-2</v>
      </c>
      <c r="Y1608">
        <v>4.2537593815777696E-3</v>
      </c>
    </row>
    <row r="1609" spans="1:25" x14ac:dyDescent="0.2">
      <c r="A1609" s="1077"/>
      <c r="B1609" s="1444">
        <v>1359</v>
      </c>
      <c r="C1609" s="1081">
        <v>1.0031762566059692</v>
      </c>
      <c r="D1609" s="1081">
        <v>1.0321595209874683</v>
      </c>
      <c r="E1609" s="1081">
        <v>0.99395086854604453</v>
      </c>
      <c r="F1609" s="1081">
        <v>1.0051546193835734</v>
      </c>
      <c r="G1609" s="1081">
        <v>0.96016514814435761</v>
      </c>
      <c r="H1609" s="1081">
        <v>0.98676787450063086</v>
      </c>
      <c r="I1609" s="1081">
        <v>1.0004076716535439</v>
      </c>
      <c r="K1609">
        <v>2.3967581680175667</v>
      </c>
      <c r="L1609">
        <v>0</v>
      </c>
      <c r="M1609">
        <v>1.6240067765650448E-3</v>
      </c>
      <c r="N1609">
        <v>0.14509540126150189</v>
      </c>
      <c r="O1609">
        <v>2.0770009808343509E-2</v>
      </c>
      <c r="P1609">
        <v>2.827054951222837E-2</v>
      </c>
      <c r="Q1609">
        <v>5.4020890442636393E-3</v>
      </c>
      <c r="R1609">
        <v>1.6022828136129893E-3</v>
      </c>
      <c r="S1609">
        <v>0.25270375599070072</v>
      </c>
      <c r="T1609">
        <v>1.3785774482512541</v>
      </c>
      <c r="U1609">
        <v>0.21128163276312795</v>
      </c>
      <c r="V1609">
        <v>0.23855153049845945</v>
      </c>
      <c r="W1609">
        <v>9.5661948357486412E-2</v>
      </c>
      <c r="X1609">
        <v>1.6104640866883704E-2</v>
      </c>
      <c r="Y1609">
        <v>4.3608856262670036E-3</v>
      </c>
    </row>
    <row r="1610" spans="1:25" x14ac:dyDescent="0.2">
      <c r="A1610" s="1077"/>
      <c r="B1610" s="1444">
        <v>1360</v>
      </c>
      <c r="C1610" s="1081">
        <v>1.0159618422540615</v>
      </c>
      <c r="D1610" s="1081">
        <v>0.98419265912094234</v>
      </c>
      <c r="E1610" s="1081">
        <v>0.9893557982588862</v>
      </c>
      <c r="F1610" s="1081">
        <v>0.98184854715274739</v>
      </c>
      <c r="G1610" s="1081">
        <v>0.99910799233582348</v>
      </c>
      <c r="H1610" s="1081">
        <v>1.0061122996505896</v>
      </c>
      <c r="I1610" s="1081">
        <v>1.0174114936141425</v>
      </c>
      <c r="K1610">
        <v>2.3795506382942868</v>
      </c>
      <c r="L1610">
        <v>0</v>
      </c>
      <c r="M1610">
        <v>1.6680149473466948E-3</v>
      </c>
      <c r="N1610">
        <v>0.14700972631985301</v>
      </c>
      <c r="O1610">
        <v>2.0721451719699108E-2</v>
      </c>
      <c r="P1610">
        <v>2.7901694449494047E-2</v>
      </c>
      <c r="Q1610">
        <v>5.3645088538354421E-3</v>
      </c>
      <c r="R1610">
        <v>1.6461313004680941E-3</v>
      </c>
      <c r="S1610">
        <v>0.26150305015373931</v>
      </c>
      <c r="T1610">
        <v>1.3465155734955618</v>
      </c>
      <c r="U1610">
        <v>0.20860727477251409</v>
      </c>
      <c r="V1610">
        <v>0.24443698902471978</v>
      </c>
      <c r="W1610">
        <v>9.7190893709303172E-2</v>
      </c>
      <c r="X1610">
        <v>1.5841132689608833E-2</v>
      </c>
      <c r="Y1610">
        <v>4.4802267528367933E-3</v>
      </c>
    </row>
    <row r="1611" spans="1:25" x14ac:dyDescent="0.2">
      <c r="A1611" s="1077"/>
      <c r="B1611" s="1444">
        <v>1361</v>
      </c>
      <c r="C1611" s="1081">
        <v>0.97933054062941538</v>
      </c>
      <c r="D1611" s="1081">
        <v>0.99238406520735944</v>
      </c>
      <c r="E1611" s="1081">
        <v>1.0315244103841334</v>
      </c>
      <c r="F1611" s="1081">
        <v>0.99658776107237124</v>
      </c>
      <c r="G1611" s="1081">
        <v>0.98633163075168795</v>
      </c>
      <c r="H1611" s="1081">
        <v>0.96749899847445309</v>
      </c>
      <c r="I1611" s="1081">
        <v>0.97283104957000577</v>
      </c>
      <c r="K1611">
        <v>2.4126096085408664</v>
      </c>
      <c r="L1611">
        <v>0</v>
      </c>
      <c r="M1611">
        <v>1.5216388307613658E-3</v>
      </c>
      <c r="N1611">
        <v>0.15223488912470923</v>
      </c>
      <c r="O1611">
        <v>2.1486033736758871E-2</v>
      </c>
      <c r="P1611">
        <v>2.9104539615621802E-2</v>
      </c>
      <c r="Q1611">
        <v>5.8018860406744924E-3</v>
      </c>
      <c r="R1611">
        <v>1.500878834221546E-3</v>
      </c>
      <c r="S1611">
        <v>0.25539441333606877</v>
      </c>
      <c r="T1611">
        <v>1.36763983797124</v>
      </c>
      <c r="U1611">
        <v>0.21655752884290833</v>
      </c>
      <c r="V1611">
        <v>0.24440541881452765</v>
      </c>
      <c r="W1611">
        <v>9.8174281386050236E-2</v>
      </c>
      <c r="X1611">
        <v>1.7746642246669431E-2</v>
      </c>
      <c r="Y1611">
        <v>4.0848974221763196E-3</v>
      </c>
    </row>
    <row r="1612" spans="1:25" x14ac:dyDescent="0.2">
      <c r="A1612" s="1077"/>
      <c r="B1612" s="1444">
        <v>1362</v>
      </c>
      <c r="C1612" s="1081">
        <v>1.0118851794321884</v>
      </c>
      <c r="D1612" s="1081">
        <v>0.98383398339607953</v>
      </c>
      <c r="E1612" s="1081">
        <v>0.95245427463340904</v>
      </c>
      <c r="F1612" s="1081">
        <v>1.0036002685481245</v>
      </c>
      <c r="G1612" s="1081">
        <v>0.99896542861102633</v>
      </c>
      <c r="H1612" s="1081">
        <v>0.97911064749369658</v>
      </c>
      <c r="I1612" s="1081">
        <v>1.0166157994951484</v>
      </c>
      <c r="K1612">
        <v>2.3945445238873027</v>
      </c>
      <c r="L1612">
        <v>0</v>
      </c>
      <c r="M1612">
        <v>1.7589603482923112E-3</v>
      </c>
      <c r="N1612">
        <v>0.13858646682320808</v>
      </c>
      <c r="O1612">
        <v>2.0782427718843494E-2</v>
      </c>
      <c r="P1612">
        <v>2.7498365024517784E-2</v>
      </c>
      <c r="Q1612">
        <v>5.1812432092761635E-3</v>
      </c>
      <c r="R1612">
        <v>1.7352471302631821E-3</v>
      </c>
      <c r="S1612">
        <v>0.25978195385899677</v>
      </c>
      <c r="T1612">
        <v>1.3755499605028862</v>
      </c>
      <c r="U1612">
        <v>0.2093236436512273</v>
      </c>
      <c r="V1612">
        <v>0.24479648893356457</v>
      </c>
      <c r="W1612">
        <v>9.3701769028314577E-2</v>
      </c>
      <c r="X1612">
        <v>1.4643147689981687E-2</v>
      </c>
      <c r="Y1612">
        <v>4.7227706645136249E-3</v>
      </c>
    </row>
    <row r="1613" spans="1:25" x14ac:dyDescent="0.2">
      <c r="A1613" s="1077"/>
      <c r="B1613" s="1444">
        <v>1363</v>
      </c>
      <c r="C1613" s="1081">
        <v>0.97026110563172807</v>
      </c>
      <c r="D1613" s="1081">
        <v>0.99280465960472364</v>
      </c>
      <c r="E1613" s="1081">
        <v>0.98896888410868911</v>
      </c>
      <c r="F1613" s="1081">
        <v>1.0294012234016818</v>
      </c>
      <c r="G1613" s="1081">
        <v>0.97656452333650212</v>
      </c>
      <c r="H1613" s="1081">
        <v>0.98310712021548208</v>
      </c>
      <c r="I1613" s="1081">
        <v>0.98820433391701179</v>
      </c>
      <c r="K1613">
        <v>2.4628326985245046</v>
      </c>
      <c r="L1613">
        <v>0</v>
      </c>
      <c r="M1613">
        <v>1.7047419573501064E-3</v>
      </c>
      <c r="N1613">
        <v>0.1500242913329167</v>
      </c>
      <c r="O1613">
        <v>2.16556505712047E-2</v>
      </c>
      <c r="P1613">
        <v>2.8913642668611534E-2</v>
      </c>
      <c r="Q1613">
        <v>5.6041674155988264E-3</v>
      </c>
      <c r="R1613">
        <v>1.6818531045023435E-3</v>
      </c>
      <c r="S1613">
        <v>0.2628007181941685</v>
      </c>
      <c r="T1613">
        <v>1.4117211289279623</v>
      </c>
      <c r="U1613">
        <v>0.2184316259501746</v>
      </c>
      <c r="V1613">
        <v>0.24347957986760382</v>
      </c>
      <c r="W1613">
        <v>9.9206886565251701E-2</v>
      </c>
      <c r="X1613">
        <v>1.6440446156126991E-2</v>
      </c>
      <c r="Y1613">
        <v>4.5774497277284842E-3</v>
      </c>
    </row>
    <row r="1614" spans="1:25" x14ac:dyDescent="0.2">
      <c r="A1614" s="1077"/>
      <c r="B1614" s="1444">
        <v>1364</v>
      </c>
      <c r="C1614" s="1081">
        <v>0.97573936891278368</v>
      </c>
      <c r="D1614" s="1081">
        <v>0.99621558725271941</v>
      </c>
      <c r="E1614" s="1081">
        <v>0.97444656601766233</v>
      </c>
      <c r="F1614" s="1081">
        <v>1.0288069961491215</v>
      </c>
      <c r="G1614" s="1081">
        <v>0.96098637721833013</v>
      </c>
      <c r="H1614" s="1081">
        <v>1.0137939065403516</v>
      </c>
      <c r="I1614" s="1081">
        <v>0.97131868774565278</v>
      </c>
      <c r="K1614">
        <v>2.4560759291209018</v>
      </c>
      <c r="L1614">
        <v>0</v>
      </c>
      <c r="M1614">
        <v>1.8000292331106778E-3</v>
      </c>
      <c r="N1614">
        <v>0.15166348455317122</v>
      </c>
      <c r="O1614">
        <v>2.1507966133454921E-2</v>
      </c>
      <c r="P1614">
        <v>2.8472891361832956E-2</v>
      </c>
      <c r="Q1614">
        <v>5.4844728034892367E-3</v>
      </c>
      <c r="R1614">
        <v>1.7765925525807069E-3</v>
      </c>
      <c r="S1614">
        <v>0.25889825105641384</v>
      </c>
      <c r="T1614">
        <v>1.4105842824321713</v>
      </c>
      <c r="U1614">
        <v>0.21715452175527336</v>
      </c>
      <c r="V1614">
        <v>0.24050738919288717</v>
      </c>
      <c r="W1614">
        <v>0.10117295463049145</v>
      </c>
      <c r="X1614">
        <v>1.5817852607699273E-2</v>
      </c>
      <c r="Y1614">
        <v>4.835299274547125E-3</v>
      </c>
    </row>
    <row r="1615" spans="1:25" x14ac:dyDescent="0.2">
      <c r="A1615" s="1077"/>
      <c r="B1615" s="1444">
        <v>1365</v>
      </c>
      <c r="C1615" s="1081">
        <v>1.0076202282211881</v>
      </c>
      <c r="D1615" s="1081">
        <v>0.99756085539047135</v>
      </c>
      <c r="E1615" s="1081">
        <v>1.0003990368597306</v>
      </c>
      <c r="F1615" s="1081">
        <v>0.99943407580813126</v>
      </c>
      <c r="G1615" s="1081">
        <v>1.0179002640647041</v>
      </c>
      <c r="H1615" s="1081">
        <v>1.0107234799657348</v>
      </c>
      <c r="I1615" s="1081">
        <v>0.96920986329237035</v>
      </c>
      <c r="K1615">
        <v>2.4033436998391524</v>
      </c>
      <c r="L1615">
        <v>0</v>
      </c>
      <c r="M1615">
        <v>1.6464056504922055E-3</v>
      </c>
      <c r="N1615">
        <v>0.15003914309690308</v>
      </c>
      <c r="O1615">
        <v>2.0838345514306328E-2</v>
      </c>
      <c r="P1615">
        <v>2.838232381776732E-2</v>
      </c>
      <c r="Q1615">
        <v>5.4551611933122126E-3</v>
      </c>
      <c r="R1615">
        <v>1.6249040538005766E-3</v>
      </c>
      <c r="S1615">
        <v>0.24994731611317073</v>
      </c>
      <c r="T1615">
        <v>1.3708709820191733</v>
      </c>
      <c r="U1615">
        <v>0.21037166885852518</v>
      </c>
      <c r="V1615">
        <v>0.2481146390213973</v>
      </c>
      <c r="W1615">
        <v>9.8542147583996015E-2</v>
      </c>
      <c r="X1615">
        <v>1.6381021032321724E-2</v>
      </c>
      <c r="Y1615">
        <v>4.4224531849677935E-3</v>
      </c>
    </row>
    <row r="1616" spans="1:25" x14ac:dyDescent="0.2">
      <c r="A1616" s="1077"/>
      <c r="B1616" s="1444">
        <v>1366</v>
      </c>
      <c r="C1616" s="1081">
        <v>1.0102225511882141</v>
      </c>
      <c r="D1616" s="1081">
        <v>0.96839358775504758</v>
      </c>
      <c r="E1616" s="1081">
        <v>1.0045589171005709</v>
      </c>
      <c r="F1616" s="1081">
        <v>0.98298001543338187</v>
      </c>
      <c r="G1616" s="1081">
        <v>0.97816555349674339</v>
      </c>
      <c r="H1616" s="1081">
        <v>0.99585608231853973</v>
      </c>
      <c r="I1616" s="1081">
        <v>0.96992326849173738</v>
      </c>
      <c r="K1616">
        <v>2.3732481942175778</v>
      </c>
      <c r="L1616">
        <v>0</v>
      </c>
      <c r="M1616">
        <v>1.614608492355333E-3</v>
      </c>
      <c r="N1616">
        <v>0.14897257647114534</v>
      </c>
      <c r="O1616">
        <v>2.0923554009483581E-2</v>
      </c>
      <c r="P1616">
        <v>2.8088650973327731E-2</v>
      </c>
      <c r="Q1616">
        <v>5.5003875339654775E-3</v>
      </c>
      <c r="R1616">
        <v>1.5932073542010059E-3</v>
      </c>
      <c r="S1616">
        <v>0.25204181079440247</v>
      </c>
      <c r="T1616">
        <v>1.3483902994345727</v>
      </c>
      <c r="U1616">
        <v>0.20984383459134348</v>
      </c>
      <c r="V1616">
        <v>0.24115518778024711</v>
      </c>
      <c r="W1616">
        <v>9.7600518105734099E-2</v>
      </c>
      <c r="X1616">
        <v>1.6416590444034533E-2</v>
      </c>
      <c r="Y1616">
        <v>4.3361852174719764E-3</v>
      </c>
    </row>
    <row r="1617" spans="1:25" x14ac:dyDescent="0.2">
      <c r="A1617" s="1077"/>
      <c r="B1617" s="1444">
        <v>1367</v>
      </c>
      <c r="C1617" s="1081">
        <v>0.99613781024416093</v>
      </c>
      <c r="D1617" s="1081">
        <v>1.0033526651780107</v>
      </c>
      <c r="E1617" s="1081">
        <v>0.99263512043048008</v>
      </c>
      <c r="F1617" s="1081">
        <v>0.95639828652258141</v>
      </c>
      <c r="G1617" s="1081">
        <v>0.96005614282242124</v>
      </c>
      <c r="H1617" s="1081">
        <v>1.0127699126020397</v>
      </c>
      <c r="I1617" s="1081">
        <v>1.028110378336639</v>
      </c>
      <c r="K1617">
        <v>2.3557421232566922</v>
      </c>
      <c r="L1617">
        <v>0</v>
      </c>
      <c r="M1617">
        <v>1.6936747712598312E-3</v>
      </c>
      <c r="N1617">
        <v>0.15077166743091955</v>
      </c>
      <c r="O1617">
        <v>2.1046552760503805E-2</v>
      </c>
      <c r="P1617">
        <v>2.756205244362955E-2</v>
      </c>
      <c r="Q1617">
        <v>5.4667534733038254E-3</v>
      </c>
      <c r="R1617">
        <v>1.6716005472253109E-3</v>
      </c>
      <c r="S1617">
        <v>0.26753229281411733</v>
      </c>
      <c r="T1617">
        <v>1.311680575608009</v>
      </c>
      <c r="U1617">
        <v>0.21276998272453199</v>
      </c>
      <c r="V1617">
        <v>0.23897682104205165</v>
      </c>
      <c r="W1617">
        <v>9.9482510931892837E-2</v>
      </c>
      <c r="X1617">
        <v>1.5925442605189279E-2</v>
      </c>
      <c r="Y1617">
        <v>4.5495456465749996E-3</v>
      </c>
    </row>
    <row r="1618" spans="1:25" x14ac:dyDescent="0.2">
      <c r="A1618" s="1077"/>
      <c r="B1618" s="1444">
        <v>1368</v>
      </c>
      <c r="C1618" s="1081">
        <v>1.0182914527384572</v>
      </c>
      <c r="D1618" s="1081">
        <v>1.0159360077294184</v>
      </c>
      <c r="E1618" s="1081">
        <v>1.003054344741412</v>
      </c>
      <c r="F1618" s="1081">
        <v>1.0044046092819099</v>
      </c>
      <c r="G1618" s="1081">
        <v>0.97432386518081326</v>
      </c>
      <c r="H1618" s="1081">
        <v>0.97638598588086933</v>
      </c>
      <c r="I1618" s="1081">
        <v>0.99342548563054323</v>
      </c>
      <c r="K1618">
        <v>2.3861222557749766</v>
      </c>
      <c r="L1618">
        <v>0</v>
      </c>
      <c r="M1618">
        <v>1.5588853623386678E-3</v>
      </c>
      <c r="N1618">
        <v>0.14314076559266539</v>
      </c>
      <c r="O1618">
        <v>2.0539059907638334E-2</v>
      </c>
      <c r="P1618">
        <v>2.8370429976378113E-2</v>
      </c>
      <c r="Q1618">
        <v>5.3911692504271299E-3</v>
      </c>
      <c r="R1618">
        <v>1.5378107856409463E-3</v>
      </c>
      <c r="S1618">
        <v>0.2483902593416118</v>
      </c>
      <c r="T1618">
        <v>1.3777465032065577</v>
      </c>
      <c r="U1618">
        <v>0.20817598667766873</v>
      </c>
      <c r="V1618">
        <v>0.24001499584686267</v>
      </c>
      <c r="W1618">
        <v>9.3863409710979839E-2</v>
      </c>
      <c r="X1618">
        <v>1.6325336821558931E-2</v>
      </c>
      <c r="Y1618">
        <v>4.1854140193254121E-3</v>
      </c>
    </row>
    <row r="1619" spans="1:25" x14ac:dyDescent="0.2">
      <c r="A1619" s="1077"/>
      <c r="B1619" s="1444">
        <v>1369</v>
      </c>
      <c r="C1619" s="1081">
        <v>0.97063387408060953</v>
      </c>
      <c r="D1619" s="1081">
        <v>0.96040698978015748</v>
      </c>
      <c r="E1619" s="1081">
        <v>1.0052292131152241</v>
      </c>
      <c r="F1619" s="1081">
        <v>0.95498016064354518</v>
      </c>
      <c r="G1619" s="1081">
        <v>0.98961459168981469</v>
      </c>
      <c r="H1619" s="1081">
        <v>1.0053369460020511</v>
      </c>
      <c r="I1619" s="1081">
        <v>0.98492524822278216</v>
      </c>
      <c r="K1619">
        <v>2.3788258099478825</v>
      </c>
      <c r="L1619">
        <v>0</v>
      </c>
      <c r="M1619">
        <v>1.69719155130462E-3</v>
      </c>
      <c r="N1619">
        <v>0.15692933961717315</v>
      </c>
      <c r="O1619">
        <v>2.1817125614478343E-2</v>
      </c>
      <c r="P1619">
        <v>2.7978340293036599E-2</v>
      </c>
      <c r="Q1619">
        <v>5.739144895255675E-3</v>
      </c>
      <c r="R1619">
        <v>1.6749079470787243E-3</v>
      </c>
      <c r="S1619">
        <v>0.26832871531287283</v>
      </c>
      <c r="T1619">
        <v>1.3099957139838305</v>
      </c>
      <c r="U1619">
        <v>0.21840497490092275</v>
      </c>
      <c r="V1619">
        <v>0.245627019845223</v>
      </c>
      <c r="W1619">
        <v>0.10277265848668428</v>
      </c>
      <c r="X1619">
        <v>1.6696513303940421E-2</v>
      </c>
      <c r="Y1619">
        <v>4.5585472986919224E-3</v>
      </c>
    </row>
    <row r="1620" spans="1:25" x14ac:dyDescent="0.2">
      <c r="A1620" s="1077"/>
      <c r="B1620" s="1444">
        <v>1370</v>
      </c>
      <c r="C1620" s="1081">
        <v>0.98693770833498784</v>
      </c>
      <c r="D1620" s="1081">
        <v>1.0175737498025172</v>
      </c>
      <c r="E1620" s="1081">
        <v>0.99959123760654878</v>
      </c>
      <c r="F1620" s="1081">
        <v>0.96757224253095175</v>
      </c>
      <c r="G1620" s="1081">
        <v>1.0014581494400652</v>
      </c>
      <c r="H1620" s="1081">
        <v>0.9826613403054778</v>
      </c>
      <c r="I1620" s="1081">
        <v>0.97945685785544112</v>
      </c>
      <c r="K1620">
        <v>2.3621207566104467</v>
      </c>
      <c r="L1620">
        <v>0</v>
      </c>
      <c r="M1620">
        <v>1.6298415405035691E-3</v>
      </c>
      <c r="N1620">
        <v>0.14811159331840393</v>
      </c>
      <c r="O1620">
        <v>2.1181730861437938E-2</v>
      </c>
      <c r="P1620">
        <v>2.7849677421963835E-2</v>
      </c>
      <c r="Q1620">
        <v>5.5405535680616014E-3</v>
      </c>
      <c r="R1620">
        <v>1.6079484168182165E-3</v>
      </c>
      <c r="S1620">
        <v>0.25297401921932211</v>
      </c>
      <c r="T1620">
        <v>1.3271508819131383</v>
      </c>
      <c r="U1620">
        <v>0.21477747374690592</v>
      </c>
      <c r="V1620">
        <v>0.24660738182740685</v>
      </c>
      <c r="W1620">
        <v>9.732289346358107E-2</v>
      </c>
      <c r="X1620">
        <v>1.6250138863383792E-2</v>
      </c>
      <c r="Y1620">
        <v>4.3763055305260368E-3</v>
      </c>
    </row>
    <row r="1621" spans="1:25" x14ac:dyDescent="0.2">
      <c r="A1621" s="1077"/>
      <c r="B1621" s="1444">
        <v>1371</v>
      </c>
      <c r="C1621" s="1081">
        <v>1.0095279526719803</v>
      </c>
      <c r="D1621" s="1081">
        <v>0.97654452480344267</v>
      </c>
      <c r="E1621" s="1081">
        <v>1.0245431620083973</v>
      </c>
      <c r="F1621" s="1081">
        <v>0.99206730450587277</v>
      </c>
      <c r="G1621" s="1081">
        <v>0.96832710934068866</v>
      </c>
      <c r="H1621" s="1081">
        <v>1.0021063733696747</v>
      </c>
      <c r="I1621" s="1081">
        <v>0.99243928872989073</v>
      </c>
      <c r="K1621">
        <v>2.396530502422336</v>
      </c>
      <c r="L1621">
        <v>0</v>
      </c>
      <c r="M1621">
        <v>1.5568226159953101E-3</v>
      </c>
      <c r="N1621">
        <v>0.15258361310949003</v>
      </c>
      <c r="O1621">
        <v>2.0912612858525675E-2</v>
      </c>
      <c r="P1621">
        <v>2.8741336154995838E-2</v>
      </c>
      <c r="Q1621">
        <v>5.6081595118115833E-3</v>
      </c>
      <c r="R1621">
        <v>1.5363161167613541E-3</v>
      </c>
      <c r="S1621">
        <v>0.2576692646460938</v>
      </c>
      <c r="T1621">
        <v>1.3612857006966848</v>
      </c>
      <c r="U1621">
        <v>0.21005603322881752</v>
      </c>
      <c r="V1621">
        <v>0.23945006072309694</v>
      </c>
      <c r="W1621">
        <v>9.8799354100146314E-2</v>
      </c>
      <c r="X1621">
        <v>1.7263527868553698E-2</v>
      </c>
      <c r="Y1621">
        <v>4.1813460233526261E-3</v>
      </c>
    </row>
    <row r="1622" spans="1:25" x14ac:dyDescent="0.2">
      <c r="A1622" s="1077"/>
      <c r="B1622" s="1444">
        <v>1372</v>
      </c>
      <c r="C1622" s="1081">
        <v>1.0453988301410282</v>
      </c>
      <c r="D1622" s="1081">
        <v>1.0159399599368495</v>
      </c>
      <c r="E1622" s="1081">
        <v>1.0085552738559647</v>
      </c>
      <c r="F1622" s="1081">
        <v>0.99637664397737336</v>
      </c>
      <c r="G1622" s="1081">
        <v>1.0020715069336696</v>
      </c>
      <c r="H1622" s="1081">
        <v>1.0082592360452434</v>
      </c>
      <c r="I1622" s="1081">
        <v>0.99312942231610668</v>
      </c>
      <c r="K1622">
        <v>2.3707108122975025</v>
      </c>
      <c r="L1622">
        <v>0</v>
      </c>
      <c r="M1622">
        <v>1.5502243528289551E-3</v>
      </c>
      <c r="N1622">
        <v>0.14479264252294649</v>
      </c>
      <c r="O1622">
        <v>2.0009944629888123E-2</v>
      </c>
      <c r="P1622">
        <v>2.8252223598972611E-2</v>
      </c>
      <c r="Q1622">
        <v>5.281314041929208E-3</v>
      </c>
      <c r="R1622">
        <v>1.5299293757840722E-3</v>
      </c>
      <c r="S1622">
        <v>0.24448648149955982</v>
      </c>
      <c r="T1622">
        <v>1.3668531877792167</v>
      </c>
      <c r="U1622">
        <v>0.20279594946499699</v>
      </c>
      <c r="V1622">
        <v>0.24314430051642599</v>
      </c>
      <c r="W1622">
        <v>9.4638111981308726E-2</v>
      </c>
      <c r="X1622">
        <v>1.6312987819501721E-2</v>
      </c>
      <c r="Y1622">
        <v>4.1639634198010625E-3</v>
      </c>
    </row>
    <row r="1623" spans="1:25" x14ac:dyDescent="0.2">
      <c r="A1623" s="1077"/>
      <c r="B1623" s="1444">
        <v>1373</v>
      </c>
      <c r="C1623" s="1081">
        <v>1.0044145091611982</v>
      </c>
      <c r="D1623" s="1081">
        <v>1.0208130478885358</v>
      </c>
      <c r="E1623" s="1081">
        <v>1.0032828638702982</v>
      </c>
      <c r="F1623" s="1081">
        <v>1.0175448678590902</v>
      </c>
      <c r="G1623" s="1081">
        <v>1.0068044077997531</v>
      </c>
      <c r="H1623" s="1081">
        <v>0.96262945427817237</v>
      </c>
      <c r="I1623" s="1081">
        <v>1.0036638941190852</v>
      </c>
      <c r="K1623">
        <v>2.4182925056942048</v>
      </c>
      <c r="L1623">
        <v>0</v>
      </c>
      <c r="M1623">
        <v>1.5557771003538855E-3</v>
      </c>
      <c r="N1623">
        <v>0.1429260000016836</v>
      </c>
      <c r="O1623">
        <v>2.080104977812855E-2</v>
      </c>
      <c r="P1623">
        <v>2.880686725500739E-2</v>
      </c>
      <c r="Q1623">
        <v>5.4611894405426232E-3</v>
      </c>
      <c r="R1623">
        <v>1.5344439768709035E-3</v>
      </c>
      <c r="S1623">
        <v>0.2526457214042005</v>
      </c>
      <c r="T1623">
        <v>1.3957760897828879</v>
      </c>
      <c r="U1623">
        <v>0.21105291439326737</v>
      </c>
      <c r="V1623">
        <v>0.24640702153061952</v>
      </c>
      <c r="W1623">
        <v>9.3709882218959734E-2</v>
      </c>
      <c r="X1623">
        <v>1.6550852336670065E-2</v>
      </c>
      <c r="Y1623">
        <v>4.1762506757215675E-3</v>
      </c>
    </row>
    <row r="1624" spans="1:25" x14ac:dyDescent="0.2">
      <c r="A1624" s="1077"/>
      <c r="B1624" s="1444">
        <v>1374</v>
      </c>
      <c r="C1624" s="1081">
        <v>0.95986945127303591</v>
      </c>
      <c r="D1624" s="1081">
        <v>1.0176650948606603</v>
      </c>
      <c r="E1624" s="1081">
        <v>1.0051791078260244</v>
      </c>
      <c r="F1624" s="1081">
        <v>0.98590688348131461</v>
      </c>
      <c r="G1624" s="1081">
        <v>0.99925867867178397</v>
      </c>
      <c r="H1624" s="1081">
        <v>1.0142104094031688</v>
      </c>
      <c r="I1624" s="1081">
        <v>0.95942745572967381</v>
      </c>
      <c r="K1624">
        <v>2.4177876079142622</v>
      </c>
      <c r="L1624">
        <v>0</v>
      </c>
      <c r="M1624">
        <v>1.7096327347902774E-3</v>
      </c>
      <c r="N1624">
        <v>0.15807418181954913</v>
      </c>
      <c r="O1624">
        <v>2.1782474406532651E-2</v>
      </c>
      <c r="P1624">
        <v>2.8475984253640823E-2</v>
      </c>
      <c r="Q1624">
        <v>5.7297419016771782E-3</v>
      </c>
      <c r="R1624">
        <v>1.6873821730580376E-3</v>
      </c>
      <c r="S1624">
        <v>0.25749501363990324</v>
      </c>
      <c r="T1624">
        <v>1.3524184308662448</v>
      </c>
      <c r="U1624">
        <v>0.22085409137156686</v>
      </c>
      <c r="V1624">
        <v>0.24799482970168635</v>
      </c>
      <c r="W1624">
        <v>0.10352548326731292</v>
      </c>
      <c r="X1624">
        <v>1.6867129218200824E-2</v>
      </c>
      <c r="Y1624">
        <v>4.5924980296801251E-3</v>
      </c>
    </row>
    <row r="1625" spans="1:25" x14ac:dyDescent="0.2">
      <c r="A1625" s="1077"/>
      <c r="B1625" s="1444">
        <v>1375</v>
      </c>
      <c r="C1625" s="1081">
        <v>1.0338739941031201</v>
      </c>
      <c r="D1625" s="1081">
        <v>0.99229626652630165</v>
      </c>
      <c r="E1625" s="1081">
        <v>1.034105490014537</v>
      </c>
      <c r="F1625" s="1081">
        <v>0.97682914149109545</v>
      </c>
      <c r="G1625" s="1081">
        <v>0.96209136643755555</v>
      </c>
      <c r="H1625" s="1081">
        <v>0.99783608102338173</v>
      </c>
      <c r="I1625" s="1081">
        <v>0.95907116633955825</v>
      </c>
      <c r="K1625">
        <v>2.3440700486216168</v>
      </c>
      <c r="L1625">
        <v>0</v>
      </c>
      <c r="M1625">
        <v>1.4786099244210426E-3</v>
      </c>
      <c r="N1625">
        <v>0.14914795710461337</v>
      </c>
      <c r="O1625">
        <v>2.0354572336539888E-2</v>
      </c>
      <c r="P1625">
        <v>2.8313164820147285E-2</v>
      </c>
      <c r="Q1625">
        <v>5.5103792295101324E-3</v>
      </c>
      <c r="R1625">
        <v>1.4590502945830267E-3</v>
      </c>
      <c r="S1625">
        <v>0.24092974594349195</v>
      </c>
      <c r="T1625">
        <v>1.3405795167269716</v>
      </c>
      <c r="U1625">
        <v>0.20514131241052649</v>
      </c>
      <c r="V1625">
        <v>0.23689808078494312</v>
      </c>
      <c r="W1625">
        <v>9.6039877312150315E-2</v>
      </c>
      <c r="X1625">
        <v>1.7203947656506645E-2</v>
      </c>
      <c r="Y1625">
        <v>3.9710539260546544E-3</v>
      </c>
    </row>
    <row r="1626" spans="1:25" x14ac:dyDescent="0.2">
      <c r="A1626" s="1077"/>
      <c r="B1626" s="1444">
        <v>1376</v>
      </c>
      <c r="C1626" s="1081">
        <v>0.99679277560863111</v>
      </c>
      <c r="D1626" s="1081">
        <v>0.96909500526319359</v>
      </c>
      <c r="E1626" s="1081">
        <v>0.98928193347057036</v>
      </c>
      <c r="F1626" s="1081">
        <v>1.0311791978184208</v>
      </c>
      <c r="G1626" s="1081">
        <v>0.99405231327256083</v>
      </c>
      <c r="H1626" s="1081">
        <v>0.97744174521508731</v>
      </c>
      <c r="I1626" s="1081">
        <v>0.99538644327271408</v>
      </c>
      <c r="K1626">
        <v>2.4506602571041434</v>
      </c>
      <c r="L1626">
        <v>0</v>
      </c>
      <c r="M1626">
        <v>1.6575259545929606E-3</v>
      </c>
      <c r="N1626">
        <v>0.14599570911571408</v>
      </c>
      <c r="O1626">
        <v>2.1191842076687954E-2</v>
      </c>
      <c r="P1626">
        <v>2.885887649884878E-2</v>
      </c>
      <c r="Q1626">
        <v>5.4858769290399099E-3</v>
      </c>
      <c r="R1626">
        <v>1.635142058931275E-3</v>
      </c>
      <c r="S1626">
        <v>0.26034658845115766</v>
      </c>
      <c r="T1626">
        <v>1.4141664098812263</v>
      </c>
      <c r="U1626">
        <v>0.21261869499131669</v>
      </c>
      <c r="V1626">
        <v>0.24475445657754161</v>
      </c>
      <c r="W1626">
        <v>9.6524781254163736E-2</v>
      </c>
      <c r="X1626">
        <v>1.62890875641276E-2</v>
      </c>
      <c r="Y1626">
        <v>4.4503176599760717E-3</v>
      </c>
    </row>
    <row r="1627" spans="1:25" x14ac:dyDescent="0.2">
      <c r="A1627" s="1077"/>
      <c r="B1627" s="1444">
        <v>1377</v>
      </c>
      <c r="C1627" s="1081">
        <v>0.98623081443394645</v>
      </c>
      <c r="D1627" s="1081">
        <v>1.0410557743701592</v>
      </c>
      <c r="E1627" s="1081">
        <v>1.0065679740649802</v>
      </c>
      <c r="F1627" s="1081">
        <v>0.9750665413607954</v>
      </c>
      <c r="G1627" s="1081">
        <v>1.0418373067199487</v>
      </c>
      <c r="H1627" s="1081">
        <v>0.97647955837083666</v>
      </c>
      <c r="I1627" s="1081">
        <v>0.98707930599766169</v>
      </c>
      <c r="K1627">
        <v>2.3775282108453921</v>
      </c>
      <c r="L1627">
        <v>0</v>
      </c>
      <c r="M1627">
        <v>1.589454146005861E-3</v>
      </c>
      <c r="N1627">
        <v>0.14750485839931263</v>
      </c>
      <c r="O1627">
        <v>2.1095445348618527E-2</v>
      </c>
      <c r="P1627">
        <v>2.8218202335520852E-2</v>
      </c>
      <c r="Q1627">
        <v>5.5567502796558498E-3</v>
      </c>
      <c r="R1627">
        <v>1.5679683689155078E-3</v>
      </c>
      <c r="S1627">
        <v>0.25177322769978877</v>
      </c>
      <c r="T1627">
        <v>1.3375775085008115</v>
      </c>
      <c r="U1627">
        <v>0.21495561099843674</v>
      </c>
      <c r="V1627">
        <v>0.25352215159120106</v>
      </c>
      <c r="W1627">
        <v>9.6524111151027756E-2</v>
      </c>
      <c r="X1627">
        <v>1.6554337298554947E-2</v>
      </c>
      <c r="Y1627">
        <v>4.2674930195541151E-3</v>
      </c>
    </row>
    <row r="1628" spans="1:25" x14ac:dyDescent="0.2">
      <c r="A1628" s="1077"/>
      <c r="B1628" s="1444">
        <v>1378</v>
      </c>
      <c r="C1628" s="1081">
        <v>1.0165707587340889</v>
      </c>
      <c r="D1628" s="1081">
        <v>1.010904901470788</v>
      </c>
      <c r="E1628" s="1081">
        <v>1.0045459742473368</v>
      </c>
      <c r="F1628" s="1081">
        <v>1.0072455653854273</v>
      </c>
      <c r="G1628" s="1081">
        <v>1.0203247631993859</v>
      </c>
      <c r="H1628" s="1081">
        <v>0.99727539488566708</v>
      </c>
      <c r="I1628" s="1081">
        <v>0.98636973180463872</v>
      </c>
      <c r="K1628">
        <v>2.4059789909977018</v>
      </c>
      <c r="L1628">
        <v>0</v>
      </c>
      <c r="M1628">
        <v>1.5917396060726031E-3</v>
      </c>
      <c r="N1628">
        <v>0.14685963518016892</v>
      </c>
      <c r="O1628">
        <v>2.0597280098362244E-2</v>
      </c>
      <c r="P1628">
        <v>2.8583135357690539E-2</v>
      </c>
      <c r="Q1628">
        <v>5.4145463252650112E-3</v>
      </c>
      <c r="R1628">
        <v>1.5706716144533272E-3</v>
      </c>
      <c r="S1628">
        <v>0.24939109945413185</v>
      </c>
      <c r="T1628">
        <v>1.3816759758860635</v>
      </c>
      <c r="U1628">
        <v>0.2085333734396361</v>
      </c>
      <c r="V1628">
        <v>0.24796817349497116</v>
      </c>
      <c r="W1628">
        <v>9.6216946020061311E-2</v>
      </c>
      <c r="X1628">
        <v>1.6485043370184659E-2</v>
      </c>
      <c r="Y1628">
        <v>4.2748503627834068E-3</v>
      </c>
    </row>
    <row r="1629" spans="1:25" x14ac:dyDescent="0.2">
      <c r="A1629" s="1077"/>
      <c r="B1629" s="1444">
        <v>1379</v>
      </c>
      <c r="C1629" s="1081">
        <v>0.98358161760054053</v>
      </c>
      <c r="D1629" s="1081">
        <v>1.0336911314508752</v>
      </c>
      <c r="E1629" s="1081">
        <v>1.0257671696390724</v>
      </c>
      <c r="F1629" s="1081">
        <v>1.0049817197447619</v>
      </c>
      <c r="G1629" s="1081">
        <v>1.0019349055984803</v>
      </c>
      <c r="H1629" s="1081">
        <v>0.97732658986724275</v>
      </c>
      <c r="I1629" s="1081">
        <v>1.0116753986617639</v>
      </c>
      <c r="K1629">
        <v>2.4277134605975017</v>
      </c>
      <c r="L1629">
        <v>0</v>
      </c>
      <c r="M1629">
        <v>1.5350847216733673E-3</v>
      </c>
      <c r="N1629">
        <v>0.1509583582053485</v>
      </c>
      <c r="O1629">
        <v>2.1198219361078355E-2</v>
      </c>
      <c r="P1629">
        <v>2.9224193061067508E-2</v>
      </c>
      <c r="Q1629">
        <v>5.6916529682690753E-3</v>
      </c>
      <c r="R1629">
        <v>1.5143518789586428E-3</v>
      </c>
      <c r="S1629">
        <v>0.2598904322979616</v>
      </c>
      <c r="T1629">
        <v>1.379033219002336</v>
      </c>
      <c r="U1629">
        <v>0.21560146436991345</v>
      </c>
      <c r="V1629">
        <v>0.24681215054537584</v>
      </c>
      <c r="W1629">
        <v>9.7677296267874122E-2</v>
      </c>
      <c r="X1629">
        <v>1.7525640752426824E-2</v>
      </c>
      <c r="Y1629">
        <v>4.1215666085626917E-3</v>
      </c>
    </row>
    <row r="1630" spans="1:25" x14ac:dyDescent="0.2">
      <c r="A1630" s="1077"/>
      <c r="B1630" s="1444">
        <v>1380</v>
      </c>
      <c r="C1630" s="1081">
        <v>0.98804989569160018</v>
      </c>
      <c r="D1630" s="1081">
        <v>0.98904109581179722</v>
      </c>
      <c r="E1630" s="1081">
        <v>1.0285279547891262</v>
      </c>
      <c r="F1630" s="1081">
        <v>0.98484896578023373</v>
      </c>
      <c r="G1630" s="1081">
        <v>1.0215035200051779</v>
      </c>
      <c r="H1630" s="1081">
        <v>1.0169051138185325</v>
      </c>
      <c r="I1630" s="1081">
        <v>1.0221047866712281</v>
      </c>
      <c r="K1630">
        <v>2.4254707792408792</v>
      </c>
      <c r="L1630">
        <v>0</v>
      </c>
      <c r="M1630">
        <v>1.5963423466150972E-3</v>
      </c>
      <c r="N1630">
        <v>0.15837893357068888</v>
      </c>
      <c r="O1630">
        <v>2.1310211999317361E-2</v>
      </c>
      <c r="P1630">
        <v>2.9079108204865804E-2</v>
      </c>
      <c r="Q1630">
        <v>5.7373863731708967E-3</v>
      </c>
      <c r="R1630">
        <v>1.5756212936167352E-3</v>
      </c>
      <c r="S1630">
        <v>0.27075252785123682</v>
      </c>
      <c r="T1630">
        <v>1.3514662258380676</v>
      </c>
      <c r="U1630">
        <v>0.21463603587085364</v>
      </c>
      <c r="V1630">
        <v>0.24985465988925915</v>
      </c>
      <c r="W1630">
        <v>0.10231429908044525</v>
      </c>
      <c r="X1630">
        <v>1.7673789858164438E-2</v>
      </c>
      <c r="Y1630">
        <v>4.2883217578049051E-3</v>
      </c>
    </row>
    <row r="1631" spans="1:25" x14ac:dyDescent="0.2">
      <c r="A1631" s="1077"/>
      <c r="B1631" s="1444">
        <v>1381</v>
      </c>
      <c r="C1631" s="1081">
        <v>1.0079683983018684</v>
      </c>
      <c r="D1631" s="1081">
        <v>1.0169275741052195</v>
      </c>
      <c r="E1631" s="1081">
        <v>0.99167163354919829</v>
      </c>
      <c r="F1631" s="1081">
        <v>1.0042780779726839</v>
      </c>
      <c r="G1631" s="1081">
        <v>0.99577806066213959</v>
      </c>
      <c r="H1631" s="1081">
        <v>1.0289203171815187</v>
      </c>
      <c r="I1631" s="1081">
        <v>1.0073355093136889</v>
      </c>
      <c r="K1631">
        <v>2.4161229599918013</v>
      </c>
      <c r="L1631">
        <v>0</v>
      </c>
      <c r="M1631">
        <v>1.69885523210111E-3</v>
      </c>
      <c r="N1631">
        <v>0.15082425359824786</v>
      </c>
      <c r="O1631">
        <v>2.0737492859903662E-2</v>
      </c>
      <c r="P1631">
        <v>2.8351170422026142E-2</v>
      </c>
      <c r="Q1631">
        <v>5.381239605531679E-3</v>
      </c>
      <c r="R1631">
        <v>1.6770610363403371E-3</v>
      </c>
      <c r="S1631">
        <v>0.25868032908355004</v>
      </c>
      <c r="T1631">
        <v>1.3773258303024201</v>
      </c>
      <c r="U1631">
        <v>0.21026942481533889</v>
      </c>
      <c r="V1631">
        <v>0.24434675246071511</v>
      </c>
      <c r="W1631">
        <v>9.9574567304758096E-2</v>
      </c>
      <c r="X1631">
        <v>1.6089286437174551E-2</v>
      </c>
      <c r="Y1631">
        <v>4.5644072978963477E-3</v>
      </c>
    </row>
    <row r="1632" spans="1:25" x14ac:dyDescent="0.2">
      <c r="A1632" s="1077"/>
      <c r="B1632" s="1444">
        <v>1382</v>
      </c>
      <c r="C1632" s="1081">
        <v>1.0143369143301506</v>
      </c>
      <c r="D1632" s="1081">
        <v>1.0154168978025531</v>
      </c>
      <c r="E1632" s="1081">
        <v>0.98138341683777641</v>
      </c>
      <c r="F1632" s="1081">
        <v>1.0316471805869589</v>
      </c>
      <c r="G1632" s="1081">
        <v>0.99105974454991907</v>
      </c>
      <c r="H1632" s="1081">
        <v>1.0151159152075677</v>
      </c>
      <c r="I1632" s="1081">
        <v>1.004492499978016</v>
      </c>
      <c r="K1632">
        <v>2.4405465535183506</v>
      </c>
      <c r="L1632">
        <v>0</v>
      </c>
      <c r="M1632">
        <v>1.7019456165572413E-3</v>
      </c>
      <c r="N1632">
        <v>0.14644387852997867</v>
      </c>
      <c r="O1632">
        <v>2.0607338861326159E-2</v>
      </c>
      <c r="P1632">
        <v>2.8554392215040796E-2</v>
      </c>
      <c r="Q1632">
        <v>5.2920391831968294E-3</v>
      </c>
      <c r="R1632">
        <v>1.6798148600311123E-3</v>
      </c>
      <c r="S1632">
        <v>0.25527823909900577</v>
      </c>
      <c r="T1632">
        <v>1.4146324970034976</v>
      </c>
      <c r="U1632">
        <v>0.20891465192427616</v>
      </c>
      <c r="V1632">
        <v>0.24318930337994024</v>
      </c>
      <c r="W1632">
        <v>9.7282005131263796E-2</v>
      </c>
      <c r="X1632">
        <v>1.5802436649165703E-2</v>
      </c>
      <c r="Y1632">
        <v>4.5719022981849013E-3</v>
      </c>
    </row>
    <row r="1633" spans="1:25" x14ac:dyDescent="0.2">
      <c r="A1633" s="1077"/>
      <c r="B1633" s="1444">
        <v>1383</v>
      </c>
      <c r="C1633" s="1081">
        <v>0.95875989994076516</v>
      </c>
      <c r="D1633" s="1081">
        <v>0.95975856727171782</v>
      </c>
      <c r="E1633" s="1081">
        <v>0.96263535720840687</v>
      </c>
      <c r="F1633" s="1081">
        <v>0.99545918606412542</v>
      </c>
      <c r="G1633" s="1081">
        <v>1.0128561552182924</v>
      </c>
      <c r="H1633" s="1081">
        <v>1.0096643052061536</v>
      </c>
      <c r="I1633" s="1081">
        <v>0.96026915343112473</v>
      </c>
      <c r="K1633">
        <v>2.4331675943970996</v>
      </c>
      <c r="L1633">
        <v>0</v>
      </c>
      <c r="M1633">
        <v>1.8848646815038418E-3</v>
      </c>
      <c r="N1633">
        <v>0.15322331980984449</v>
      </c>
      <c r="O1633">
        <v>2.2060931819917345E-2</v>
      </c>
      <c r="P1633">
        <v>2.7870270782550291E-2</v>
      </c>
      <c r="Q1633">
        <v>5.5579204389957313E-3</v>
      </c>
      <c r="R1633">
        <v>1.8602230537726912E-3</v>
      </c>
      <c r="S1633">
        <v>0.26495763093071995</v>
      </c>
      <c r="T1633">
        <v>1.3646088972501025</v>
      </c>
      <c r="U1633">
        <v>0.22095839609064932</v>
      </c>
      <c r="V1633">
        <v>0.25054758885766326</v>
      </c>
      <c r="W1633">
        <v>0.10295179328026856</v>
      </c>
      <c r="X1633">
        <v>1.5392572834110888E-2</v>
      </c>
      <c r="Y1633">
        <v>5.0629139300043969E-3</v>
      </c>
    </row>
    <row r="1634" spans="1:25" x14ac:dyDescent="0.2">
      <c r="A1634" s="1077"/>
      <c r="B1634" s="1444">
        <v>1384</v>
      </c>
      <c r="C1634" s="1081">
        <v>0.98434020351507101</v>
      </c>
      <c r="D1634" s="1081">
        <v>1.004268080019648</v>
      </c>
      <c r="E1634" s="1081">
        <v>1.0333844825041452</v>
      </c>
      <c r="F1634" s="1081">
        <v>1.0118866797905353</v>
      </c>
      <c r="G1634" s="1081">
        <v>0.9961123846360016</v>
      </c>
      <c r="H1634" s="1081">
        <v>0.97645765606981716</v>
      </c>
      <c r="I1634" s="1081">
        <v>0.99310801224416068</v>
      </c>
      <c r="K1634">
        <v>2.4381761991594413</v>
      </c>
      <c r="L1634">
        <v>0</v>
      </c>
      <c r="M1634">
        <v>1.5180191317063464E-3</v>
      </c>
      <c r="N1634">
        <v>0.15274596934754039</v>
      </c>
      <c r="O1634">
        <v>2.132203250614487E-2</v>
      </c>
      <c r="P1634">
        <v>2.9486489803731614E-2</v>
      </c>
      <c r="Q1634">
        <v>5.7681846363076949E-3</v>
      </c>
      <c r="R1634">
        <v>1.4974985320089988E-3</v>
      </c>
      <c r="S1634">
        <v>0.25862315476623882</v>
      </c>
      <c r="T1634">
        <v>1.3886758533129364</v>
      </c>
      <c r="U1634">
        <v>0.21546188016217693</v>
      </c>
      <c r="V1634">
        <v>0.24574344088470518</v>
      </c>
      <c r="W1634">
        <v>9.8397774814683314E-2</v>
      </c>
      <c r="X1634">
        <v>1.7896242170802046E-2</v>
      </c>
      <c r="Y1634">
        <v>4.0756973538700891E-3</v>
      </c>
    </row>
    <row r="1635" spans="1:25" x14ac:dyDescent="0.2">
      <c r="A1635" s="1077"/>
      <c r="B1635" s="1444">
        <v>1385</v>
      </c>
      <c r="C1635" s="1081">
        <v>0.98513967345717379</v>
      </c>
      <c r="D1635" s="1081">
        <v>1.0135535196064607</v>
      </c>
      <c r="E1635" s="1081">
        <v>1.0225225254996901</v>
      </c>
      <c r="F1635" s="1081">
        <v>1.0427062539729703</v>
      </c>
      <c r="G1635" s="1081">
        <v>1.0041591430158732</v>
      </c>
      <c r="H1635" s="1081">
        <v>1.0229140252352449</v>
      </c>
      <c r="I1635" s="1081">
        <v>1.0216083383921331</v>
      </c>
      <c r="K1635">
        <v>2.5012496989730097</v>
      </c>
      <c r="L1635">
        <v>0</v>
      </c>
      <c r="M1635">
        <v>1.6220260285786728E-3</v>
      </c>
      <c r="N1635">
        <v>0.1580511960304265</v>
      </c>
      <c r="O1635">
        <v>2.1254308768022964E-2</v>
      </c>
      <c r="P1635">
        <v>2.9992338189473396E-2</v>
      </c>
      <c r="Q1635">
        <v>5.688376413817745E-3</v>
      </c>
      <c r="R1635">
        <v>1.6010952730990838E-3</v>
      </c>
      <c r="S1635">
        <v>0.2686019709109852</v>
      </c>
      <c r="T1635">
        <v>1.4307252047111494</v>
      </c>
      <c r="U1635">
        <v>0.21524917853631664</v>
      </c>
      <c r="V1635">
        <v>0.24710269483209113</v>
      </c>
      <c r="W1635">
        <v>0.10246038606642695</v>
      </c>
      <c r="X1635">
        <v>1.7787321737317573E-2</v>
      </c>
      <c r="Y1635">
        <v>4.3576535324607781E-3</v>
      </c>
    </row>
    <row r="1636" spans="1:25" x14ac:dyDescent="0.2">
      <c r="A1636" s="1077"/>
      <c r="B1636" s="1444">
        <v>1386</v>
      </c>
      <c r="C1636" s="1081">
        <v>1.013638190467397</v>
      </c>
      <c r="D1636" s="1081">
        <v>0.97217537929912246</v>
      </c>
      <c r="E1636" s="1081">
        <v>0.98773783888342703</v>
      </c>
      <c r="F1636" s="1081">
        <v>0.97211507244978723</v>
      </c>
      <c r="G1636" s="1081">
        <v>0.9515853392937722</v>
      </c>
      <c r="H1636" s="1081">
        <v>0.99292926104939883</v>
      </c>
      <c r="I1636" s="1081">
        <v>0.97638575482006784</v>
      </c>
      <c r="K1636">
        <v>2.3463152192016903</v>
      </c>
      <c r="L1636">
        <v>0</v>
      </c>
      <c r="M1636">
        <v>1.6599498851006761E-3</v>
      </c>
      <c r="N1636">
        <v>0.14555922653728603</v>
      </c>
      <c r="O1636">
        <v>2.0824099542529204E-2</v>
      </c>
      <c r="P1636">
        <v>2.7456828162070877E-2</v>
      </c>
      <c r="Q1636">
        <v>5.3822666590508479E-3</v>
      </c>
      <c r="R1636">
        <v>1.6378829058965462E-3</v>
      </c>
      <c r="S1636">
        <v>0.25199353608472702</v>
      </c>
      <c r="T1636">
        <v>1.3331330639218144</v>
      </c>
      <c r="U1636">
        <v>0.20908003732032643</v>
      </c>
      <c r="V1636">
        <v>0.23646533076980131</v>
      </c>
      <c r="W1636">
        <v>9.6325367060926537E-2</v>
      </c>
      <c r="X1636">
        <v>1.5659752780462419E-2</v>
      </c>
      <c r="Y1636">
        <v>4.4577773418955774E-3</v>
      </c>
    </row>
    <row r="1637" spans="1:25" x14ac:dyDescent="0.2">
      <c r="A1637" s="1077"/>
      <c r="B1637" s="1444">
        <v>1387</v>
      </c>
      <c r="C1637" s="1081">
        <v>0.98148772635257431</v>
      </c>
      <c r="D1637" s="1081">
        <v>1.0091187845577716</v>
      </c>
      <c r="E1637" s="1081">
        <v>0.96339202910499622</v>
      </c>
      <c r="F1637" s="1081">
        <v>0.99952003110958443</v>
      </c>
      <c r="G1637" s="1081">
        <v>1.0049014166310544</v>
      </c>
      <c r="H1637" s="1081">
        <v>1.0264699431568127</v>
      </c>
      <c r="I1637" s="1081">
        <v>0.98545148693164375</v>
      </c>
      <c r="K1637">
        <v>2.4205887073706531</v>
      </c>
      <c r="L1637">
        <v>0</v>
      </c>
      <c r="M1637">
        <v>1.8484388393159971E-3</v>
      </c>
      <c r="N1637">
        <v>0.15063971526148648</v>
      </c>
      <c r="O1637">
        <v>2.1314125468084557E-2</v>
      </c>
      <c r="P1637">
        <v>2.7794759098959287E-2</v>
      </c>
      <c r="Q1637">
        <v>5.3739445041288639E-3</v>
      </c>
      <c r="R1637">
        <v>1.8246690645387453E-3</v>
      </c>
      <c r="S1637">
        <v>0.2604436118641183</v>
      </c>
      <c r="T1637">
        <v>1.3701918705017471</v>
      </c>
      <c r="U1637">
        <v>0.21584439093209823</v>
      </c>
      <c r="V1637">
        <v>0.24767882255536658</v>
      </c>
      <c r="W1637">
        <v>0.10116898958116805</v>
      </c>
      <c r="X1637">
        <v>1.5196099686593684E-2</v>
      </c>
      <c r="Y1637">
        <v>4.9661476916789977E-3</v>
      </c>
    </row>
    <row r="1638" spans="1:25" x14ac:dyDescent="0.2">
      <c r="A1638" s="1077"/>
      <c r="B1638" s="1444">
        <v>1388</v>
      </c>
      <c r="C1638" s="1081">
        <v>1.0285787380984557</v>
      </c>
      <c r="D1638" s="1081">
        <v>0.9689082793596463</v>
      </c>
      <c r="E1638" s="1081">
        <v>0.95545859116361387</v>
      </c>
      <c r="F1638" s="1081">
        <v>1.019377325658436</v>
      </c>
      <c r="G1638" s="1081">
        <v>0.99600236799667519</v>
      </c>
      <c r="H1638" s="1081">
        <v>1.0373842069137866</v>
      </c>
      <c r="I1638" s="1081">
        <v>0.96879851036710585</v>
      </c>
      <c r="K1638">
        <v>2.4131595945397915</v>
      </c>
      <c r="L1638">
        <v>0</v>
      </c>
      <c r="M1638">
        <v>1.8282334882231323E-3</v>
      </c>
      <c r="N1638">
        <v>0.1454738798162821</v>
      </c>
      <c r="O1638">
        <v>2.0515948124088301E-2</v>
      </c>
      <c r="P1638">
        <v>2.7657035938711244E-2</v>
      </c>
      <c r="Q1638">
        <v>5.1306793056775145E-3</v>
      </c>
      <c r="R1638">
        <v>1.8049708885943985E-3</v>
      </c>
      <c r="S1638">
        <v>0.25015364621244424</v>
      </c>
      <c r="T1638">
        <v>1.3972398268060291</v>
      </c>
      <c r="U1638">
        <v>0.20593628451309448</v>
      </c>
      <c r="V1638">
        <v>0.24327851658425642</v>
      </c>
      <c r="W1638">
        <v>9.8176528306520475E-2</v>
      </c>
      <c r="X1638">
        <v>1.4707975782053609E-2</v>
      </c>
      <c r="Y1638">
        <v>4.9125357502604397E-3</v>
      </c>
    </row>
    <row r="1639" spans="1:25" x14ac:dyDescent="0.2">
      <c r="A1639" s="1077"/>
      <c r="B1639" s="1444">
        <v>1389</v>
      </c>
      <c r="C1639" s="1081">
        <v>0.96507813411441523</v>
      </c>
      <c r="D1639" s="1081">
        <v>0.98369083642032129</v>
      </c>
      <c r="E1639" s="1081">
        <v>0.98908147401945745</v>
      </c>
      <c r="F1639" s="1081">
        <v>0.99183182197552899</v>
      </c>
      <c r="G1639" s="1081">
        <v>1.0057462311983971</v>
      </c>
      <c r="H1639" s="1081">
        <v>1.0140653117270564</v>
      </c>
      <c r="I1639" s="1081">
        <v>1.0192671683112944</v>
      </c>
      <c r="K1639">
        <v>2.4413668816619074</v>
      </c>
      <c r="L1639">
        <v>0</v>
      </c>
      <c r="M1639">
        <v>1.7710457017017199E-3</v>
      </c>
      <c r="N1639">
        <v>0.15597713950014916</v>
      </c>
      <c r="O1639">
        <v>2.1816248194994923E-2</v>
      </c>
      <c r="P1639">
        <v>2.8493269669896085E-2</v>
      </c>
      <c r="Q1639">
        <v>5.6463706243717986E-3</v>
      </c>
      <c r="R1639">
        <v>1.7479925631905735E-3</v>
      </c>
      <c r="S1639">
        <v>0.27657802402620846</v>
      </c>
      <c r="T1639">
        <v>1.3602008510132584</v>
      </c>
      <c r="U1639">
        <v>0.21960511547741585</v>
      </c>
      <c r="V1639">
        <v>0.24880940928320944</v>
      </c>
      <c r="W1639">
        <v>0.10313637734091366</v>
      </c>
      <c r="X1639">
        <v>1.6369670138585563E-2</v>
      </c>
      <c r="Y1639">
        <v>4.7574595314111489E-3</v>
      </c>
    </row>
    <row r="1640" spans="1:25" x14ac:dyDescent="0.2">
      <c r="A1640" s="1077"/>
      <c r="B1640" s="1444">
        <v>1390</v>
      </c>
      <c r="C1640" s="1081">
        <v>1.018177234727023</v>
      </c>
      <c r="D1640" s="1081">
        <v>1.0153061062322104</v>
      </c>
      <c r="E1640" s="1081">
        <v>1.0110232091559352</v>
      </c>
      <c r="F1640" s="1081">
        <v>1.042592413458076</v>
      </c>
      <c r="G1640" s="1081">
        <v>1.0184117897699685</v>
      </c>
      <c r="H1640" s="1081">
        <v>0.98259942954854085</v>
      </c>
      <c r="I1640" s="1081">
        <v>1.019391554761695</v>
      </c>
      <c r="K1640">
        <v>2.4581078544407018</v>
      </c>
      <c r="L1640">
        <v>0</v>
      </c>
      <c r="M1640">
        <v>1.543442627101011E-3</v>
      </c>
      <c r="N1640">
        <v>0.145187023816371</v>
      </c>
      <c r="O1640">
        <v>2.0549349628162128E-2</v>
      </c>
      <c r="P1640">
        <v>2.9464398857653947E-2</v>
      </c>
      <c r="Q1640">
        <v>5.4370801528700113E-3</v>
      </c>
      <c r="R1640">
        <v>1.522708765215537E-3</v>
      </c>
      <c r="S1640">
        <v>0.25558239956686535</v>
      </c>
      <c r="T1640">
        <v>1.4303088391398044</v>
      </c>
      <c r="U1640">
        <v>0.20822612198966339</v>
      </c>
      <c r="V1640">
        <v>0.24752098147541471</v>
      </c>
      <c r="W1640">
        <v>9.4757861254888207E-2</v>
      </c>
      <c r="X1640">
        <v>1.6950221122786987E-2</v>
      </c>
      <c r="Y1640">
        <v>4.1443112981071444E-3</v>
      </c>
    </row>
    <row r="1641" spans="1:25" x14ac:dyDescent="0.2">
      <c r="A1641" s="1077"/>
      <c r="B1641" s="1444">
        <v>1391</v>
      </c>
      <c r="C1641" s="1081">
        <v>1.0244006346997963</v>
      </c>
      <c r="D1641" s="1081">
        <v>1.001798393186689</v>
      </c>
      <c r="E1641" s="1081">
        <v>0.99644248637290611</v>
      </c>
      <c r="F1641" s="1081">
        <v>0.95667535185589503</v>
      </c>
      <c r="G1641" s="1081">
        <v>0.98421657726350587</v>
      </c>
      <c r="H1641" s="1081">
        <v>0.97696890236898948</v>
      </c>
      <c r="I1641" s="1081">
        <v>0.99988876762075285</v>
      </c>
      <c r="K1641">
        <v>2.3191869269414216</v>
      </c>
      <c r="L1641">
        <v>0</v>
      </c>
      <c r="M1641">
        <v>1.5767784988699473E-3</v>
      </c>
      <c r="N1641">
        <v>0.14192138337414942</v>
      </c>
      <c r="O1641">
        <v>2.0475331260773815E-2</v>
      </c>
      <c r="P1641">
        <v>2.7364685698477803E-2</v>
      </c>
      <c r="Q1641">
        <v>5.3388358906637564E-3</v>
      </c>
      <c r="R1641">
        <v>1.5554747434451544E-3</v>
      </c>
      <c r="S1641">
        <v>0.25026538486396238</v>
      </c>
      <c r="T1641">
        <v>1.3121392569045516</v>
      </c>
      <c r="U1641">
        <v>0.20691243322966177</v>
      </c>
      <c r="V1641">
        <v>0.24136216744612857</v>
      </c>
      <c r="W1641">
        <v>9.3430317890455694E-2</v>
      </c>
      <c r="X1641">
        <v>1.5764944648473715E-2</v>
      </c>
      <c r="Y1641">
        <v>4.233489489546341E-3</v>
      </c>
    </row>
    <row r="1642" spans="1:25" x14ac:dyDescent="0.2">
      <c r="A1642" s="1077"/>
      <c r="B1642" s="1444">
        <v>1392</v>
      </c>
      <c r="C1642" s="1081">
        <v>1.0309289596088571</v>
      </c>
      <c r="D1642" s="1081">
        <v>1.0090961571538306</v>
      </c>
      <c r="E1642" s="1081">
        <v>0.98381290200412619</v>
      </c>
      <c r="F1642" s="1081">
        <v>0.9770395788643581</v>
      </c>
      <c r="G1642" s="1081">
        <v>0.98018147501177399</v>
      </c>
      <c r="H1642" s="1081">
        <v>1.0015014517522787</v>
      </c>
      <c r="I1642" s="1081">
        <v>1.0027271884775524</v>
      </c>
      <c r="K1642">
        <v>2.3461595343978408</v>
      </c>
      <c r="L1642">
        <v>0</v>
      </c>
      <c r="M1642">
        <v>1.646072923421255E-3</v>
      </c>
      <c r="N1642">
        <v>0.14265553549506343</v>
      </c>
      <c r="O1642">
        <v>2.0305107876818228E-2</v>
      </c>
      <c r="P1642">
        <v>2.7448745506883278E-2</v>
      </c>
      <c r="Q1642">
        <v>5.227298547314743E-3</v>
      </c>
      <c r="R1642">
        <v>1.6243777210072907E-3</v>
      </c>
      <c r="S1642">
        <v>0.25040463989091866</v>
      </c>
      <c r="T1642">
        <v>1.3398037037368209</v>
      </c>
      <c r="U1642">
        <v>0.20556035681706913</v>
      </c>
      <c r="V1642">
        <v>0.24033223842720061</v>
      </c>
      <c r="W1642">
        <v>9.4626794440670015E-2</v>
      </c>
      <c r="X1642">
        <v>1.5395788180883611E-2</v>
      </c>
      <c r="Y1642">
        <v>4.4210206806100261E-3</v>
      </c>
    </row>
    <row r="1643" spans="1:25" x14ac:dyDescent="0.2">
      <c r="A1643" s="1077"/>
      <c r="B1643" s="1444">
        <v>1393</v>
      </c>
      <c r="C1643" s="1081">
        <v>0.99339355554354702</v>
      </c>
      <c r="D1643" s="1081">
        <v>1.0197476758396218</v>
      </c>
      <c r="E1643" s="1081">
        <v>1.0204588759448163</v>
      </c>
      <c r="F1643" s="1081">
        <v>0.98237221283478937</v>
      </c>
      <c r="G1643" s="1081">
        <v>1.0076603223756866</v>
      </c>
      <c r="H1643" s="1081">
        <v>1.022451273498256</v>
      </c>
      <c r="I1643" s="1081">
        <v>1.0318850395316408</v>
      </c>
      <c r="K1643">
        <v>2.4111926488371962</v>
      </c>
      <c r="L1643">
        <v>0</v>
      </c>
      <c r="M1643">
        <v>1.6125783440081897E-3</v>
      </c>
      <c r="N1643">
        <v>0.15615459913700433</v>
      </c>
      <c r="O1643">
        <v>2.1048100601280754E-2</v>
      </c>
      <c r="P1643">
        <v>2.8769951847221663E-2</v>
      </c>
      <c r="Q1643">
        <v>5.6216525431911782E-3</v>
      </c>
      <c r="R1643">
        <v>1.5917600843326678E-3</v>
      </c>
      <c r="S1643">
        <v>0.26817862835778261</v>
      </c>
      <c r="T1643">
        <v>1.3478952179122057</v>
      </c>
      <c r="U1643">
        <v>0.21345359764977817</v>
      </c>
      <c r="V1643">
        <v>0.24718108355237997</v>
      </c>
      <c r="W1643">
        <v>0.10135302379404394</v>
      </c>
      <c r="X1643">
        <v>1.722536547600027E-2</v>
      </c>
      <c r="Y1643">
        <v>4.3322462259827435E-3</v>
      </c>
    </row>
    <row r="1644" spans="1:25" x14ac:dyDescent="0.2">
      <c r="A1644" s="1077"/>
      <c r="B1644" s="1444">
        <v>1394</v>
      </c>
      <c r="C1644" s="1081">
        <v>1.0445909879327635</v>
      </c>
      <c r="D1644" s="1081">
        <v>0.97920705218327386</v>
      </c>
      <c r="E1644" s="1081">
        <v>0.98165934393440335</v>
      </c>
      <c r="F1644" s="1081">
        <v>1.0025918609090996</v>
      </c>
      <c r="G1644" s="1081">
        <v>0.98147021772630361</v>
      </c>
      <c r="H1644" s="1081">
        <v>0.96669607179289418</v>
      </c>
      <c r="I1644" s="1081">
        <v>0.99349274940423693</v>
      </c>
      <c r="K1644">
        <v>2.3629836003288425</v>
      </c>
      <c r="L1644">
        <v>0</v>
      </c>
      <c r="M1644">
        <v>1.5855409728255439E-3</v>
      </c>
      <c r="N1644">
        <v>0.13645167444973927</v>
      </c>
      <c r="O1644">
        <v>2.017116664457274E-2</v>
      </c>
      <c r="P1644">
        <v>2.7768205450342427E-2</v>
      </c>
      <c r="Q1644">
        <v>5.1814803020223833E-3</v>
      </c>
      <c r="R1644">
        <v>1.5638911805418336E-3</v>
      </c>
      <c r="S1644">
        <v>0.24572914336675822</v>
      </c>
      <c r="T1644">
        <v>1.3747967362637483</v>
      </c>
      <c r="U1644">
        <v>0.2028648401403155</v>
      </c>
      <c r="V1644">
        <v>0.239768823439861</v>
      </c>
      <c r="W1644">
        <v>9.0629146331457008E-2</v>
      </c>
      <c r="X1644">
        <v>1.5387637475463383E-2</v>
      </c>
      <c r="Y1644">
        <v>4.2563962568457599E-3</v>
      </c>
    </row>
    <row r="1645" spans="1:25" x14ac:dyDescent="0.2">
      <c r="A1645" s="1077"/>
      <c r="B1645" s="1444">
        <v>1395</v>
      </c>
      <c r="C1645" s="1081">
        <v>1.003429538494867</v>
      </c>
      <c r="D1645" s="1081">
        <v>1.0145425347328418</v>
      </c>
      <c r="E1645" s="1081">
        <v>0.98303972394247285</v>
      </c>
      <c r="F1645" s="1081">
        <v>0.97917273369326085</v>
      </c>
      <c r="G1645" s="1081">
        <v>1.0025499753878486</v>
      </c>
      <c r="H1645" s="1081">
        <v>1.0007803376612978</v>
      </c>
      <c r="I1645" s="1081">
        <v>1.0057812575282365</v>
      </c>
      <c r="K1645">
        <v>2.3742411683778681</v>
      </c>
      <c r="L1645">
        <v>0</v>
      </c>
      <c r="M1645">
        <v>1.6906687645927767E-3</v>
      </c>
      <c r="N1645">
        <v>0.14617671083453695</v>
      </c>
      <c r="O1645">
        <v>2.0836379883409584E-2</v>
      </c>
      <c r="P1645">
        <v>2.7714397052709689E-2</v>
      </c>
      <c r="Q1645">
        <v>5.3598622326221073E-3</v>
      </c>
      <c r="R1645">
        <v>1.6683697340032885E-3</v>
      </c>
      <c r="S1645">
        <v>0.25729070401023829</v>
      </c>
      <c r="T1645">
        <v>1.342712557163678</v>
      </c>
      <c r="U1645">
        <v>0.21119120054383836</v>
      </c>
      <c r="V1645">
        <v>0.24581490311146673</v>
      </c>
      <c r="W1645">
        <v>9.700762938530702E-2</v>
      </c>
      <c r="X1645">
        <v>1.5618370752626506E-2</v>
      </c>
      <c r="Y1645">
        <v>4.5407524380219463E-3</v>
      </c>
    </row>
    <row r="1646" spans="1:25" x14ac:dyDescent="0.2">
      <c r="A1646" s="1077"/>
      <c r="B1646" s="1444">
        <v>1396</v>
      </c>
      <c r="C1646" s="1081">
        <v>0.98287870142929179</v>
      </c>
      <c r="D1646" s="1081">
        <v>0.9945031843403862</v>
      </c>
      <c r="E1646" s="1081">
        <v>0.9752118981671668</v>
      </c>
      <c r="F1646" s="1081">
        <v>1.0191431436088225</v>
      </c>
      <c r="G1646" s="1081">
        <v>1.0063763816386346</v>
      </c>
      <c r="H1646" s="1081">
        <v>0.99279943126681114</v>
      </c>
      <c r="I1646" s="1081">
        <v>0.98070569711504163</v>
      </c>
      <c r="K1646">
        <v>2.4402550147035464</v>
      </c>
      <c r="L1646">
        <v>0</v>
      </c>
      <c r="M1646">
        <v>1.7478451719342353E-3</v>
      </c>
      <c r="N1646">
        <v>0.14756702117351689</v>
      </c>
      <c r="O1646">
        <v>2.1360336945319226E-2</v>
      </c>
      <c r="P1646">
        <v>2.8376049972089968E-2</v>
      </c>
      <c r="Q1646">
        <v>5.4510786260916306E-3</v>
      </c>
      <c r="R1646">
        <v>1.7246066951485115E-3</v>
      </c>
      <c r="S1646">
        <v>0.25794848965682804</v>
      </c>
      <c r="T1646">
        <v>1.3973510778413676</v>
      </c>
      <c r="U1646">
        <v>0.21557982804824805</v>
      </c>
      <c r="V1646">
        <v>0.24779718544089158</v>
      </c>
      <c r="W1646">
        <v>9.8394583261626478E-2</v>
      </c>
      <c r="X1646">
        <v>1.5758791306600566E-2</v>
      </c>
      <c r="Y1646">
        <v>4.6938109077499842E-3</v>
      </c>
    </row>
    <row r="1647" spans="1:25" x14ac:dyDescent="0.2">
      <c r="A1647" s="1077"/>
      <c r="B1647" s="1444">
        <v>1397</v>
      </c>
      <c r="C1647" s="1081">
        <v>1.0100062597600898</v>
      </c>
      <c r="D1647" s="1081">
        <v>1.0216298444437508</v>
      </c>
      <c r="E1647" s="1081">
        <v>0.99872870308689565</v>
      </c>
      <c r="F1647" s="1081">
        <v>1.0305565341931933</v>
      </c>
      <c r="G1647" s="1081">
        <v>0.99328306435042879</v>
      </c>
      <c r="H1647" s="1081">
        <v>1.0199798130286586</v>
      </c>
      <c r="I1647" s="1081">
        <v>1.0003118821179249</v>
      </c>
      <c r="K1647">
        <v>2.4468526928884655</v>
      </c>
      <c r="L1647">
        <v>0</v>
      </c>
      <c r="M1647">
        <v>1.6546098233890382E-3</v>
      </c>
      <c r="N1647">
        <v>0.15004577274152739</v>
      </c>
      <c r="O1647">
        <v>2.0679269274017316E-2</v>
      </c>
      <c r="P1647">
        <v>2.8932404673620817E-2</v>
      </c>
      <c r="Q1647">
        <v>5.4044336800907729E-3</v>
      </c>
      <c r="R1647">
        <v>1.6331971821651576E-3</v>
      </c>
      <c r="S1647">
        <v>0.25508019438210205</v>
      </c>
      <c r="T1647">
        <v>1.4135227887930231</v>
      </c>
      <c r="U1647">
        <v>0.20986903569861765</v>
      </c>
      <c r="V1647">
        <v>0.24377044562403868</v>
      </c>
      <c r="W1647">
        <v>9.8644416613371755E-2</v>
      </c>
      <c r="X1647">
        <v>1.6480319702731654E-2</v>
      </c>
      <c r="Y1647">
        <v>4.4450243465471526E-3</v>
      </c>
    </row>
    <row r="1648" spans="1:25" x14ac:dyDescent="0.2">
      <c r="A1648" s="1077"/>
      <c r="B1648" s="1444">
        <v>1398</v>
      </c>
      <c r="C1648" s="1081">
        <v>1.0389754491472323</v>
      </c>
      <c r="D1648" s="1081">
        <v>0.98651873106632904</v>
      </c>
      <c r="E1648" s="1081">
        <v>1.0172981389915572</v>
      </c>
      <c r="F1648" s="1081">
        <v>0.98580566608982545</v>
      </c>
      <c r="G1648" s="1081">
        <v>1.0405418152910491</v>
      </c>
      <c r="H1648" s="1081">
        <v>1.0264185219045434</v>
      </c>
      <c r="I1648" s="1081">
        <v>1.0272049235798613</v>
      </c>
      <c r="K1648">
        <v>2.3901237437933429</v>
      </c>
      <c r="L1648">
        <v>0</v>
      </c>
      <c r="M1648">
        <v>1.5694214522280086E-3</v>
      </c>
      <c r="N1648">
        <v>0.15054073890152297</v>
      </c>
      <c r="O1648">
        <v>2.0269856677001211E-2</v>
      </c>
      <c r="P1648">
        <v>2.8561864831627478E-2</v>
      </c>
      <c r="Q1648">
        <v>5.396799351291991E-3</v>
      </c>
      <c r="R1648">
        <v>1.5492386565938874E-3</v>
      </c>
      <c r="S1648">
        <v>0.25980815839513088</v>
      </c>
      <c r="T1648">
        <v>1.3525385556805261</v>
      </c>
      <c r="U1648">
        <v>0.20407854021716956</v>
      </c>
      <c r="V1648">
        <v>0.25004847102690392</v>
      </c>
      <c r="W1648">
        <v>9.78903270166218E-2</v>
      </c>
      <c r="X1648">
        <v>1.679409757431528E-2</v>
      </c>
      <c r="Y1648">
        <v>4.21651691686267E-3</v>
      </c>
    </row>
    <row r="1649" spans="1:25" x14ac:dyDescent="0.2">
      <c r="A1649" s="1077"/>
      <c r="B1649" s="1444">
        <v>1399</v>
      </c>
      <c r="C1649" s="1081">
        <v>1.0201401013207205</v>
      </c>
      <c r="D1649" s="1081">
        <v>0.98018274498437785</v>
      </c>
      <c r="E1649" s="1081">
        <v>0.98034525312750909</v>
      </c>
      <c r="F1649" s="1081">
        <v>1.0067566075844738</v>
      </c>
      <c r="G1649" s="1081">
        <v>0.98290464628197249</v>
      </c>
      <c r="H1649" s="1081">
        <v>0.9740707589244757</v>
      </c>
      <c r="I1649" s="1081">
        <v>0.99608596836739705</v>
      </c>
      <c r="K1649">
        <v>2.3903519397241975</v>
      </c>
      <c r="L1649">
        <v>0</v>
      </c>
      <c r="M1649">
        <v>1.6400217243548877E-3</v>
      </c>
      <c r="N1649">
        <v>0.14059500535632311</v>
      </c>
      <c r="O1649">
        <v>2.0649251469042645E-2</v>
      </c>
      <c r="P1649">
        <v>2.7999332960627447E-2</v>
      </c>
      <c r="Q1649">
        <v>5.2972126802679816E-3</v>
      </c>
      <c r="R1649">
        <v>1.617797566503763E-3</v>
      </c>
      <c r="S1649">
        <v>0.25275276526507129</v>
      </c>
      <c r="T1649">
        <v>1.3804791129967771</v>
      </c>
      <c r="U1649">
        <v>0.20772274840671201</v>
      </c>
      <c r="V1649">
        <v>0.24144983181941715</v>
      </c>
      <c r="W1649">
        <v>9.345515072343008E-2</v>
      </c>
      <c r="X1649">
        <v>1.5570640535178707E-2</v>
      </c>
      <c r="Y1649">
        <v>4.403111669198774E-3</v>
      </c>
    </row>
    <row r="1650" spans="1:25" x14ac:dyDescent="0.2">
      <c r="A1650" s="1077"/>
      <c r="B1650" s="1444">
        <v>1400</v>
      </c>
      <c r="C1650" s="1081">
        <v>1.0264528037348564</v>
      </c>
      <c r="D1650" s="1081">
        <v>1.0135319681282455</v>
      </c>
      <c r="E1650" s="1081">
        <v>1.0085251832476942</v>
      </c>
      <c r="F1650" s="1081">
        <v>1.0030075939976406</v>
      </c>
      <c r="G1650" s="1081">
        <v>0.97900127294730832</v>
      </c>
      <c r="H1650" s="1081">
        <v>0.99763011905009324</v>
      </c>
      <c r="I1650" s="1081">
        <v>0.99926141410027203</v>
      </c>
      <c r="K1650">
        <v>2.3890253897502851</v>
      </c>
      <c r="L1650">
        <v>0</v>
      </c>
      <c r="M1650">
        <v>1.5631073167946762E-3</v>
      </c>
      <c r="N1650">
        <v>0.14596202956141299</v>
      </c>
      <c r="O1650">
        <v>2.0389906190656983E-2</v>
      </c>
      <c r="P1650">
        <v>2.8464080276948175E-2</v>
      </c>
      <c r="Q1650">
        <v>5.3814369882448842E-3</v>
      </c>
      <c r="R1650">
        <v>1.5424256535598356E-3</v>
      </c>
      <c r="S1650">
        <v>0.24995483892206147</v>
      </c>
      <c r="T1650">
        <v>1.3759490289151628</v>
      </c>
      <c r="U1650">
        <v>0.20653900945448089</v>
      </c>
      <c r="V1650">
        <v>0.24030740694880745</v>
      </c>
      <c r="W1650">
        <v>9.5404131358317448E-2</v>
      </c>
      <c r="X1650">
        <v>1.6496228628913076E-2</v>
      </c>
      <c r="Y1650">
        <v>4.1979741685098286E-3</v>
      </c>
    </row>
    <row r="1651" spans="1:25" x14ac:dyDescent="0.2">
      <c r="A1651" s="1077"/>
      <c r="B1651" s="1444">
        <v>1401</v>
      </c>
      <c r="C1651" s="1081">
        <v>1.0017287306294775</v>
      </c>
      <c r="D1651" s="1081">
        <v>0.99252865027582426</v>
      </c>
      <c r="E1651" s="1081">
        <v>0.99468102504474443</v>
      </c>
      <c r="F1651" s="1081">
        <v>0.99157544091476124</v>
      </c>
      <c r="G1651" s="1081">
        <v>1.0191387205887832</v>
      </c>
      <c r="H1651" s="1081">
        <v>1.0352173865367693</v>
      </c>
      <c r="I1651" s="1081">
        <v>1.0066234827138643</v>
      </c>
      <c r="K1651">
        <v>2.4151462748091217</v>
      </c>
      <c r="L1651">
        <v>0</v>
      </c>
      <c r="M1651">
        <v>1.7183639401498584E-3</v>
      </c>
      <c r="N1651">
        <v>0.153962475969667</v>
      </c>
      <c r="O1651">
        <v>2.0980443638223455E-2</v>
      </c>
      <c r="P1651">
        <v>2.8326614603287444E-2</v>
      </c>
      <c r="Q1651">
        <v>5.4608400305055224E-3</v>
      </c>
      <c r="R1651">
        <v>1.6964535651089725E-3</v>
      </c>
      <c r="S1651">
        <v>0.26383387576866685</v>
      </c>
      <c r="T1651">
        <v>1.3599691393608653</v>
      </c>
      <c r="U1651">
        <v>0.21158942992337867</v>
      </c>
      <c r="V1651">
        <v>0.24871139097973782</v>
      </c>
      <c r="W1651">
        <v>0.10146380480777656</v>
      </c>
      <c r="X1651">
        <v>1.6252982733593775E-2</v>
      </c>
      <c r="Y1651">
        <v>4.6171873684591825E-3</v>
      </c>
    </row>
    <row r="1652" spans="1:25" x14ac:dyDescent="0.2">
      <c r="A1652" s="1077"/>
      <c r="B1652" s="1444">
        <v>1402</v>
      </c>
      <c r="C1652" s="1081">
        <v>1.0263780527661746</v>
      </c>
      <c r="D1652" s="1081">
        <v>1.0098308222759498</v>
      </c>
      <c r="E1652" s="1081">
        <v>0.96775214801003506</v>
      </c>
      <c r="F1652" s="1081">
        <v>1.0107709994572438</v>
      </c>
      <c r="G1652" s="1081">
        <v>0.95531428302548782</v>
      </c>
      <c r="H1652" s="1081">
        <v>0.99629531906502566</v>
      </c>
      <c r="I1652" s="1081">
        <v>0.99315909454112905</v>
      </c>
      <c r="K1652">
        <v>2.3841047529024366</v>
      </c>
      <c r="L1652">
        <v>0</v>
      </c>
      <c r="M1652">
        <v>1.7000067959949514E-3</v>
      </c>
      <c r="N1652">
        <v>0.14032953289990693</v>
      </c>
      <c r="O1652">
        <v>2.0381552113999387E-2</v>
      </c>
      <c r="P1652">
        <v>2.7659717047760522E-2</v>
      </c>
      <c r="Q1652">
        <v>5.1618226943542104E-3</v>
      </c>
      <c r="R1652">
        <v>1.6774836637881312E-3</v>
      </c>
      <c r="S1652">
        <v>0.24847118437258445</v>
      </c>
      <c r="T1652">
        <v>1.3857098881235574</v>
      </c>
      <c r="U1652">
        <v>0.20641852176955355</v>
      </c>
      <c r="V1652">
        <v>0.23640789605549403</v>
      </c>
      <c r="W1652">
        <v>9.3994068983137266E-2</v>
      </c>
      <c r="X1652">
        <v>1.5027534423805807E-2</v>
      </c>
      <c r="Y1652">
        <v>4.5655575504901418E-3</v>
      </c>
    </row>
    <row r="1653" spans="1:25" x14ac:dyDescent="0.2">
      <c r="A1653" s="1077"/>
      <c r="B1653" s="1444">
        <v>1403</v>
      </c>
      <c r="C1653" s="1081">
        <v>0.98851387035015847</v>
      </c>
      <c r="D1653" s="1081">
        <v>0.99627392023164119</v>
      </c>
      <c r="E1653" s="1081">
        <v>0.96636761762809931</v>
      </c>
      <c r="F1653" s="1081">
        <v>1.0227775104687045</v>
      </c>
      <c r="G1653" s="1081">
        <v>1.0268813925330473</v>
      </c>
      <c r="H1653" s="1081">
        <v>0.99765625870079866</v>
      </c>
      <c r="I1653" s="1081">
        <v>1.036741277581682</v>
      </c>
      <c r="K1653">
        <v>2.458079668924706</v>
      </c>
      <c r="L1653">
        <v>0</v>
      </c>
      <c r="M1653">
        <v>1.7778708701899383E-3</v>
      </c>
      <c r="N1653">
        <v>0.1461455332979413</v>
      </c>
      <c r="O1653">
        <v>2.1224344137551435E-2</v>
      </c>
      <c r="P1653">
        <v>2.8450763374505788E-2</v>
      </c>
      <c r="Q1653">
        <v>5.3676542060724728E-3</v>
      </c>
      <c r="R1653">
        <v>1.754348260563623E-3</v>
      </c>
      <c r="S1653">
        <v>0.27124833665187209</v>
      </c>
      <c r="T1653">
        <v>1.4021397199169834</v>
      </c>
      <c r="U1653">
        <v>0.21432044567143546</v>
      </c>
      <c r="V1653">
        <v>0.25097328223510834</v>
      </c>
      <c r="W1653">
        <v>9.7972398555336543E-2</v>
      </c>
      <c r="X1653">
        <v>1.5485955843016567E-2</v>
      </c>
      <c r="Y1653">
        <v>4.7747576445055159E-3</v>
      </c>
    </row>
    <row r="1654" spans="1:25" x14ac:dyDescent="0.2">
      <c r="A1654" s="1077"/>
      <c r="B1654" s="1444">
        <v>1404</v>
      </c>
      <c r="C1654" s="1081">
        <v>1.0230144571797173</v>
      </c>
      <c r="D1654" s="1081">
        <v>1.0049868299885394</v>
      </c>
      <c r="E1654" s="1081">
        <v>0.96411024955658375</v>
      </c>
      <c r="F1654" s="1081">
        <v>0.98012812498150348</v>
      </c>
      <c r="G1654" s="1081">
        <v>0.99149250527203525</v>
      </c>
      <c r="H1654" s="1081">
        <v>1.0053113241245171</v>
      </c>
      <c r="I1654" s="1081">
        <v>1.0286727233765744</v>
      </c>
      <c r="K1654">
        <v>2.362303295179752</v>
      </c>
      <c r="L1654">
        <v>0</v>
      </c>
      <c r="M1654">
        <v>1.7358462519662557E-3</v>
      </c>
      <c r="N1654">
        <v>0.14173315629477423</v>
      </c>
      <c r="O1654">
        <v>2.0467861021607477E-2</v>
      </c>
      <c r="P1654">
        <v>2.7264584342167161E-2</v>
      </c>
      <c r="Q1654">
        <v>5.1643781886036057E-3</v>
      </c>
      <c r="R1654">
        <v>1.7130545425168874E-3</v>
      </c>
      <c r="S1654">
        <v>0.2595638183654424</v>
      </c>
      <c r="T1654">
        <v>1.34362358839673</v>
      </c>
      <c r="U1654">
        <v>0.20708510956313458</v>
      </c>
      <c r="V1654">
        <v>0.24280495641185784</v>
      </c>
      <c r="W1654">
        <v>9.514557512115511E-2</v>
      </c>
      <c r="X1654">
        <v>1.4810689427275764E-2</v>
      </c>
      <c r="Y1654">
        <v>4.6623697564527949E-3</v>
      </c>
    </row>
    <row r="1655" spans="1:25" x14ac:dyDescent="0.2">
      <c r="A1655" s="1077"/>
      <c r="B1655" s="1444">
        <v>1405</v>
      </c>
      <c r="C1655" s="1081">
        <v>1.0026753850889918</v>
      </c>
      <c r="D1655" s="1081">
        <v>0.99409195434365338</v>
      </c>
      <c r="E1655" s="1081">
        <v>1.0026648312085276</v>
      </c>
      <c r="F1655" s="1081">
        <v>0.99767278885751609</v>
      </c>
      <c r="G1655" s="1081">
        <v>1.0136018818831776</v>
      </c>
      <c r="H1655" s="1081">
        <v>1.0212409717394797</v>
      </c>
      <c r="I1655" s="1081">
        <v>1.0240669058785346</v>
      </c>
      <c r="K1655">
        <v>2.4235688022005357</v>
      </c>
      <c r="L1655">
        <v>0</v>
      </c>
      <c r="M1655">
        <v>1.6651770789834419E-3</v>
      </c>
      <c r="N1655">
        <v>0.15281287278077049</v>
      </c>
      <c r="O1655">
        <v>2.0958669515327152E-2</v>
      </c>
      <c r="P1655">
        <v>2.8636562818939278E-2</v>
      </c>
      <c r="Q1655">
        <v>5.4991598417818153E-3</v>
      </c>
      <c r="R1655">
        <v>1.6436542967049413E-3</v>
      </c>
      <c r="S1655">
        <v>0.26679376384440379</v>
      </c>
      <c r="T1655">
        <v>1.3685040238975543</v>
      </c>
      <c r="U1655">
        <v>0.21141687430342385</v>
      </c>
      <c r="V1655">
        <v>0.24767772752813111</v>
      </c>
      <c r="W1655">
        <v>0.10022896504766282</v>
      </c>
      <c r="X1655">
        <v>1.6588220239678108E-2</v>
      </c>
      <c r="Y1655">
        <v>4.4734851651375609E-3</v>
      </c>
    </row>
    <row r="1656" spans="1:25" x14ac:dyDescent="0.2">
      <c r="A1656" s="1077"/>
      <c r="B1656" s="1444">
        <v>1406</v>
      </c>
      <c r="C1656" s="1081">
        <v>0.99427613277967564</v>
      </c>
      <c r="D1656" s="1081">
        <v>0.98615422586493673</v>
      </c>
      <c r="E1656" s="1081">
        <v>1.0002788811228647</v>
      </c>
      <c r="F1656" s="1081">
        <v>0.99374498543958367</v>
      </c>
      <c r="G1656" s="1081">
        <v>0.97170285791852329</v>
      </c>
      <c r="H1656" s="1081">
        <v>0.98980339096407799</v>
      </c>
      <c r="I1656" s="1081">
        <v>0.96793962303371084</v>
      </c>
      <c r="K1656">
        <v>2.3930063369856982</v>
      </c>
      <c r="L1656">
        <v>0</v>
      </c>
      <c r="M1656">
        <v>1.6385147132482866E-3</v>
      </c>
      <c r="N1656">
        <v>0.14922409073104237</v>
      </c>
      <c r="O1656">
        <v>2.1171432793671067E-2</v>
      </c>
      <c r="P1656">
        <v>2.825296378476062E-2</v>
      </c>
      <c r="Q1656">
        <v>5.5416891361713301E-3</v>
      </c>
      <c r="R1656">
        <v>1.6166638989263582E-3</v>
      </c>
      <c r="S1656">
        <v>0.25269249972172669</v>
      </c>
      <c r="T1656">
        <v>1.3630649742888539</v>
      </c>
      <c r="U1656">
        <v>0.21319463603300789</v>
      </c>
      <c r="V1656">
        <v>0.24105701288914275</v>
      </c>
      <c r="W1656">
        <v>9.8013837974184961E-2</v>
      </c>
      <c r="X1656">
        <v>1.6415024247690511E-2</v>
      </c>
      <c r="Y1656">
        <v>4.4000261997664955E-3</v>
      </c>
    </row>
    <row r="1657" spans="1:25" x14ac:dyDescent="0.2">
      <c r="A1657" s="1077"/>
      <c r="B1657" s="1444">
        <v>1407</v>
      </c>
      <c r="C1657" s="1081">
        <v>0.98193654967232247</v>
      </c>
      <c r="D1657" s="1081">
        <v>1.0091190517671802</v>
      </c>
      <c r="E1657" s="1081">
        <v>1.0313521105926233</v>
      </c>
      <c r="F1657" s="1081">
        <v>1.0076656728778424</v>
      </c>
      <c r="G1657" s="1081">
        <v>0.99651893685170356</v>
      </c>
      <c r="H1657" s="1081">
        <v>1.0255476704843183</v>
      </c>
      <c r="I1657" s="1081">
        <v>1.0374726354128054</v>
      </c>
      <c r="K1657">
        <v>2.4622719770261301</v>
      </c>
      <c r="L1657">
        <v>0</v>
      </c>
      <c r="M1657">
        <v>1.6033227926544975E-3</v>
      </c>
      <c r="N1657">
        <v>0.16044933126386304</v>
      </c>
      <c r="O1657">
        <v>2.1350201268149481E-2</v>
      </c>
      <c r="P1657">
        <v>2.9594868505100194E-2</v>
      </c>
      <c r="Q1657">
        <v>5.7642258657189934E-3</v>
      </c>
      <c r="R1657">
        <v>1.5826865164304048E-3</v>
      </c>
      <c r="S1657">
        <v>0.27457347328560061</v>
      </c>
      <c r="T1657">
        <v>1.3828385279015016</v>
      </c>
      <c r="U1657">
        <v>0.21598219367924321</v>
      </c>
      <c r="V1657">
        <v>0.24597501661084975</v>
      </c>
      <c r="W1657">
        <v>0.10348200492930064</v>
      </c>
      <c r="X1657">
        <v>1.7975219027771796E-2</v>
      </c>
      <c r="Y1657">
        <v>4.3075509652536377E-3</v>
      </c>
    </row>
    <row r="1658" spans="1:25" x14ac:dyDescent="0.2">
      <c r="A1658" s="1077"/>
      <c r="B1658" s="1444">
        <v>1408</v>
      </c>
      <c r="C1658" s="1081">
        <v>0.97097567882528835</v>
      </c>
      <c r="D1658" s="1081">
        <v>1.0041370702861403</v>
      </c>
      <c r="E1658" s="1081">
        <v>1.0154524622264685</v>
      </c>
      <c r="F1658" s="1081">
        <v>1.0249663101647049</v>
      </c>
      <c r="G1658" s="1081">
        <v>0.98656864898490382</v>
      </c>
      <c r="H1658" s="1081">
        <v>1.0028953223863193</v>
      </c>
      <c r="I1658" s="1081">
        <v>1.0035994488665396</v>
      </c>
      <c r="K1658">
        <v>2.4737931182422543</v>
      </c>
      <c r="L1658">
        <v>0</v>
      </c>
      <c r="M1658">
        <v>1.6407531050585688E-3</v>
      </c>
      <c r="N1658">
        <v>0.15646102460946631</v>
      </c>
      <c r="O1658">
        <v>2.1603838637046971E-2</v>
      </c>
      <c r="P1658">
        <v>2.9493718983046882E-2</v>
      </c>
      <c r="Q1658">
        <v>5.7414032785722642E-3</v>
      </c>
      <c r="R1658">
        <v>1.6191580732791738E-3</v>
      </c>
      <c r="S1658">
        <v>0.2671428306006175</v>
      </c>
      <c r="T1658">
        <v>1.4062264351646252</v>
      </c>
      <c r="U1658">
        <v>0.21836413908407615</v>
      </c>
      <c r="V1658">
        <v>0.24504902835636097</v>
      </c>
      <c r="W1658">
        <v>0.10185027461605237</v>
      </c>
      <c r="X1658">
        <v>1.7475205424015254E-2</v>
      </c>
      <c r="Y1658">
        <v>4.4068145201505045E-3</v>
      </c>
    </row>
    <row r="1659" spans="1:25" x14ac:dyDescent="0.2">
      <c r="A1659" s="1077"/>
      <c r="B1659" s="1444">
        <v>1409</v>
      </c>
      <c r="C1659" s="1081">
        <v>0.97092680787481811</v>
      </c>
      <c r="D1659" s="1081">
        <v>0.98656888992715308</v>
      </c>
      <c r="E1659" s="1081">
        <v>1.0068231814651059</v>
      </c>
      <c r="F1659" s="1081">
        <v>0.98891913774008666</v>
      </c>
      <c r="G1659" s="1081">
        <v>0.98573325396804423</v>
      </c>
      <c r="H1659" s="1081">
        <v>1.0097763891133011</v>
      </c>
      <c r="I1659" s="1081">
        <v>1.0151913047170211</v>
      </c>
      <c r="K1659">
        <v>2.4301722455640173</v>
      </c>
      <c r="L1659">
        <v>0</v>
      </c>
      <c r="M1659">
        <v>1.6885278892073909E-3</v>
      </c>
      <c r="N1659">
        <v>0.15689078730529102</v>
      </c>
      <c r="O1659">
        <v>2.1683057903750195E-2</v>
      </c>
      <c r="P1659">
        <v>2.8706743361541946E-2</v>
      </c>
      <c r="Q1659">
        <v>5.7129932223420801E-3</v>
      </c>
      <c r="R1659">
        <v>1.6664555051133043E-3</v>
      </c>
      <c r="S1659">
        <v>0.27318254558891808</v>
      </c>
      <c r="T1659">
        <v>1.3565856993489567</v>
      </c>
      <c r="U1659">
        <v>0.21834469792025366</v>
      </c>
      <c r="V1659">
        <v>0.24493938153682798</v>
      </c>
      <c r="W1659">
        <v>0.1026505784854365</v>
      </c>
      <c r="X1659">
        <v>1.6962290736783056E-2</v>
      </c>
      <c r="Y1659">
        <v>4.5355425380087929E-3</v>
      </c>
    </row>
    <row r="1660" spans="1:25" x14ac:dyDescent="0.2">
      <c r="A1660" s="1077"/>
      <c r="B1660" s="1444">
        <v>1410</v>
      </c>
      <c r="C1660" s="1081">
        <v>0.99550255266204446</v>
      </c>
      <c r="D1660" s="1081">
        <v>1.0014871936041252</v>
      </c>
      <c r="E1660" s="1081">
        <v>1.0267224179037393</v>
      </c>
      <c r="F1660" s="1081">
        <v>1.0217575297318984</v>
      </c>
      <c r="G1660" s="1081">
        <v>1.0033541031151398</v>
      </c>
      <c r="H1660" s="1081">
        <v>0.99215366712118314</v>
      </c>
      <c r="I1660" s="1081">
        <v>1.0027043554768322</v>
      </c>
      <c r="K1660">
        <v>2.4506448066196542</v>
      </c>
      <c r="L1660">
        <v>0</v>
      </c>
      <c r="M1660">
        <v>1.5473893252502843E-3</v>
      </c>
      <c r="N1660">
        <v>0.15263854811853131</v>
      </c>
      <c r="O1660">
        <v>2.1091358547015226E-2</v>
      </c>
      <c r="P1660">
        <v>2.9521422448077265E-2</v>
      </c>
      <c r="Q1660">
        <v>5.6683231418990657E-3</v>
      </c>
      <c r="R1660">
        <v>1.5268026187467967E-3</v>
      </c>
      <c r="S1660">
        <v>0.25984530054108645</v>
      </c>
      <c r="T1660">
        <v>1.402074158547751</v>
      </c>
      <c r="U1660">
        <v>0.21302297493709846</v>
      </c>
      <c r="V1660">
        <v>0.24629105411926205</v>
      </c>
      <c r="W1660">
        <v>9.8709548577521691E-2</v>
      </c>
      <c r="X1660">
        <v>1.7647250930032689E-2</v>
      </c>
      <c r="Y1660">
        <v>4.1554534178807785E-3</v>
      </c>
    </row>
    <row r="1661" spans="1:25" x14ac:dyDescent="0.2">
      <c r="A1661" s="1077"/>
      <c r="B1661" s="1444">
        <v>1411</v>
      </c>
      <c r="C1661" s="1081">
        <v>1.0004373000793496</v>
      </c>
      <c r="D1661" s="1081">
        <v>0.98165057497465535</v>
      </c>
      <c r="E1661" s="1081">
        <v>0.98015529962919745</v>
      </c>
      <c r="F1661" s="1081">
        <v>0.9857624711444346</v>
      </c>
      <c r="G1661" s="1081">
        <v>1.0241341371645047</v>
      </c>
      <c r="H1661" s="1081">
        <v>0.98633245669664527</v>
      </c>
      <c r="I1661" s="1081">
        <v>1.0192761938876314</v>
      </c>
      <c r="K1661">
        <v>2.393956432330882</v>
      </c>
      <c r="L1661">
        <v>0</v>
      </c>
      <c r="M1661">
        <v>1.6934796486301794E-3</v>
      </c>
      <c r="N1661">
        <v>0.14511918646742367</v>
      </c>
      <c r="O1661">
        <v>2.1048865029853953E-2</v>
      </c>
      <c r="P1661">
        <v>2.7933332854977354E-2</v>
      </c>
      <c r="Q1661">
        <v>5.3986844415616275E-3</v>
      </c>
      <c r="R1661">
        <v>1.6708163628166984E-3</v>
      </c>
      <c r="S1661">
        <v>0.26459612157107115</v>
      </c>
      <c r="T1661">
        <v>1.3516876183380064</v>
      </c>
      <c r="U1661">
        <v>0.21181303250506489</v>
      </c>
      <c r="V1661">
        <v>0.24969941743574167</v>
      </c>
      <c r="W1661">
        <v>9.647348954623107E-2</v>
      </c>
      <c r="X1661">
        <v>1.5661936071639796E-2</v>
      </c>
      <c r="Y1661">
        <v>4.5474113551210778E-3</v>
      </c>
    </row>
    <row r="1662" spans="1:25" x14ac:dyDescent="0.2">
      <c r="A1662" s="1077"/>
      <c r="B1662" s="1444">
        <v>1412</v>
      </c>
      <c r="C1662" s="1081">
        <v>0.9606522712937956</v>
      </c>
      <c r="D1662" s="1081">
        <v>0.99184187974598936</v>
      </c>
      <c r="E1662" s="1081">
        <v>1.0196577873536063</v>
      </c>
      <c r="F1662" s="1081">
        <v>1.0054306317072756</v>
      </c>
      <c r="G1662" s="1081">
        <v>1.0125466138581924</v>
      </c>
      <c r="H1662" s="1081">
        <v>0.96065036969165307</v>
      </c>
      <c r="I1662" s="1081">
        <v>0.98655980360765616</v>
      </c>
      <c r="K1662">
        <v>2.4439636657892612</v>
      </c>
      <c r="L1662">
        <v>0</v>
      </c>
      <c r="M1662">
        <v>1.5789690961326727E-3</v>
      </c>
      <c r="N1662">
        <v>0.15240263042767482</v>
      </c>
      <c r="O1662">
        <v>2.189818234478761E-2</v>
      </c>
      <c r="P1662">
        <v>2.9266754004918166E-2</v>
      </c>
      <c r="Q1662">
        <v>5.8440415736444266E-3</v>
      </c>
      <c r="R1662">
        <v>1.5572733548082501E-3</v>
      </c>
      <c r="S1662">
        <v>0.26340808822896228</v>
      </c>
      <c r="T1662">
        <v>1.3795157700943688</v>
      </c>
      <c r="U1662">
        <v>0.22072573807792273</v>
      </c>
      <c r="V1662">
        <v>0.25015924691615088</v>
      </c>
      <c r="W1662">
        <v>9.8964156792286262E-2</v>
      </c>
      <c r="X1662">
        <v>1.7562368353104315E-2</v>
      </c>
      <c r="Y1662">
        <v>4.2383847167646116E-3</v>
      </c>
    </row>
    <row r="1663" spans="1:25" x14ac:dyDescent="0.2">
      <c r="A1663" s="1077"/>
      <c r="B1663" s="1444">
        <v>1413</v>
      </c>
      <c r="C1663" s="1081">
        <v>1.0151260758496832</v>
      </c>
      <c r="D1663" s="1081">
        <v>0.99796109224210228</v>
      </c>
      <c r="E1663" s="1081">
        <v>1.0034101862397038</v>
      </c>
      <c r="F1663" s="1081">
        <v>1.0059463942239986</v>
      </c>
      <c r="G1663" s="1081">
        <v>0.98111303396509253</v>
      </c>
      <c r="H1663" s="1081">
        <v>1.0258756698900422</v>
      </c>
      <c r="I1663" s="1081">
        <v>0.9899748904152087</v>
      </c>
      <c r="K1663">
        <v>2.4112422672638005</v>
      </c>
      <c r="L1663">
        <v>0</v>
      </c>
      <c r="M1663">
        <v>1.6482548649253627E-3</v>
      </c>
      <c r="N1663">
        <v>0.15160982054018513</v>
      </c>
      <c r="O1663">
        <v>2.0684411506098292E-2</v>
      </c>
      <c r="P1663">
        <v>2.8519910150879131E-2</v>
      </c>
      <c r="Q1663">
        <v>5.4312605422378009E-3</v>
      </c>
      <c r="R1663">
        <v>1.6270470534248361E-3</v>
      </c>
      <c r="S1663">
        <v>0.2546456453565773</v>
      </c>
      <c r="T1663">
        <v>1.3798691238536742</v>
      </c>
      <c r="U1663">
        <v>0.20882632207511445</v>
      </c>
      <c r="V1663">
        <v>0.24136411805418187</v>
      </c>
      <c r="W1663">
        <v>9.9395954437620782E-2</v>
      </c>
      <c r="X1663">
        <v>1.6488622835225054E-2</v>
      </c>
      <c r="Y1663">
        <v>4.4282857235053916E-3</v>
      </c>
    </row>
    <row r="1664" spans="1:25" x14ac:dyDescent="0.2">
      <c r="A1664" s="1077"/>
      <c r="B1664" s="1444">
        <v>1414</v>
      </c>
      <c r="C1664" s="1081">
        <v>0.98065635931109696</v>
      </c>
      <c r="D1664" s="1081">
        <v>0.99642227092921531</v>
      </c>
      <c r="E1664" s="1081">
        <v>0.98878528072394167</v>
      </c>
      <c r="F1664" s="1081">
        <v>1.0285798938869954</v>
      </c>
      <c r="G1664" s="1081">
        <v>1.0242810525413801</v>
      </c>
      <c r="H1664" s="1081">
        <v>0.99951601294511139</v>
      </c>
      <c r="I1664" s="1081">
        <v>0.99424869330499677</v>
      </c>
      <c r="K1664">
        <v>2.4676049527816759</v>
      </c>
      <c r="L1664">
        <v>0</v>
      </c>
      <c r="M1664">
        <v>1.7141030807914298E-3</v>
      </c>
      <c r="N1664">
        <v>0.150798071243187</v>
      </c>
      <c r="O1664">
        <v>2.1408832002884331E-2</v>
      </c>
      <c r="P1664">
        <v>2.8960535891468939E-2</v>
      </c>
      <c r="Q1664">
        <v>5.5392656466139159E-3</v>
      </c>
      <c r="R1664">
        <v>1.6914663660713668E-3</v>
      </c>
      <c r="S1664">
        <v>0.26254136123592986</v>
      </c>
      <c r="T1664">
        <v>1.4105906821536658</v>
      </c>
      <c r="U1664">
        <v>0.21611554587607107</v>
      </c>
      <c r="V1664">
        <v>0.25094985474609871</v>
      </c>
      <c r="W1664">
        <v>9.9729544032156517E-2</v>
      </c>
      <c r="X1664">
        <v>1.6390282811609608E-2</v>
      </c>
      <c r="Y1664">
        <v>4.6036138567085395E-3</v>
      </c>
    </row>
    <row r="1665" spans="1:25" x14ac:dyDescent="0.2">
      <c r="A1665" s="1077"/>
      <c r="B1665" s="1444">
        <v>1415</v>
      </c>
      <c r="C1665" s="1081">
        <v>0.98985689610172067</v>
      </c>
      <c r="D1665" s="1081">
        <v>0.99906929063603989</v>
      </c>
      <c r="E1665" s="1081">
        <v>0.95875236609424774</v>
      </c>
      <c r="F1665" s="1081">
        <v>1.01923418085791</v>
      </c>
      <c r="G1665" s="1081">
        <v>0.97736802567756598</v>
      </c>
      <c r="H1665" s="1081">
        <v>0.9956245049530007</v>
      </c>
      <c r="I1665" s="1081">
        <v>1.0265349949653941</v>
      </c>
      <c r="K1665">
        <v>2.4374288944111719</v>
      </c>
      <c r="L1665">
        <v>0</v>
      </c>
      <c r="M1665">
        <v>1.7987754707481671E-3</v>
      </c>
      <c r="N1665">
        <v>0.14448770792980431</v>
      </c>
      <c r="O1665">
        <v>2.1177410428802636E-2</v>
      </c>
      <c r="P1665">
        <v>2.8052553019172692E-2</v>
      </c>
      <c r="Q1665">
        <v>5.3140881322902914E-3</v>
      </c>
      <c r="R1665">
        <v>1.7749277104495574E-3</v>
      </c>
      <c r="S1665">
        <v>0.26759390355618817</v>
      </c>
      <c r="T1665">
        <v>1.397115570590427</v>
      </c>
      <c r="U1665">
        <v>0.21400352262864861</v>
      </c>
      <c r="V1665">
        <v>0.24245158759324037</v>
      </c>
      <c r="W1665">
        <v>9.7313691377605094E-2</v>
      </c>
      <c r="X1665">
        <v>1.5111938792210731E-2</v>
      </c>
      <c r="Y1665">
        <v>4.8307681230811963E-3</v>
      </c>
    </row>
    <row r="1666" spans="1:25" x14ac:dyDescent="0.2">
      <c r="A1666" s="1077"/>
      <c r="B1666" s="1444">
        <v>1416</v>
      </c>
      <c r="C1666" s="1081">
        <v>0.99911828938709413</v>
      </c>
      <c r="D1666" s="1081">
        <v>1.0301355033369666</v>
      </c>
      <c r="E1666" s="1081">
        <v>0.99444335076025081</v>
      </c>
      <c r="F1666" s="1081">
        <v>1.0167563686624843</v>
      </c>
      <c r="G1666" s="1081">
        <v>0.9797066036256914</v>
      </c>
      <c r="H1666" s="1081">
        <v>1.0206110297552058</v>
      </c>
      <c r="I1666" s="1081">
        <v>0.9800128850007902</v>
      </c>
      <c r="K1666">
        <v>2.4263394179942188</v>
      </c>
      <c r="L1666">
        <v>0</v>
      </c>
      <c r="M1666">
        <v>1.6855347654652958E-3</v>
      </c>
      <c r="N1666">
        <v>0.1508846963602247</v>
      </c>
      <c r="O1666">
        <v>2.0863700477417188E-2</v>
      </c>
      <c r="P1666">
        <v>2.8542922007733597E-2</v>
      </c>
      <c r="Q1666">
        <v>5.4291527201130244E-3</v>
      </c>
      <c r="R1666">
        <v>1.6637354088747214E-3</v>
      </c>
      <c r="S1666">
        <v>0.25160940072767518</v>
      </c>
      <c r="T1666">
        <v>1.3945001557088699</v>
      </c>
      <c r="U1666">
        <v>0.21214144668741913</v>
      </c>
      <c r="V1666">
        <v>0.24214007530592604</v>
      </c>
      <c r="W1666">
        <v>9.9449605187691525E-2</v>
      </c>
      <c r="X1666">
        <v>1.6271922835011318E-2</v>
      </c>
      <c r="Y1666">
        <v>4.5281393327268552E-3</v>
      </c>
    </row>
    <row r="1667" spans="1:25" x14ac:dyDescent="0.2">
      <c r="A1667" s="1077"/>
      <c r="B1667" s="1444">
        <v>1417</v>
      </c>
      <c r="C1667" s="1081">
        <v>1.0256423881282628</v>
      </c>
      <c r="D1667" s="1081">
        <v>1.0251402229793769</v>
      </c>
      <c r="E1667" s="1081">
        <v>0.97298884269716845</v>
      </c>
      <c r="F1667" s="1081">
        <v>1.0340284902431871</v>
      </c>
      <c r="G1667" s="1081">
        <v>0.98205530265794905</v>
      </c>
      <c r="H1667" s="1081">
        <v>0.99529578144837993</v>
      </c>
      <c r="I1667" s="1081">
        <v>1.0331932196665983</v>
      </c>
      <c r="K1667">
        <v>2.4301227733268687</v>
      </c>
      <c r="L1667">
        <v>0</v>
      </c>
      <c r="M1667">
        <v>1.6756877020654218E-3</v>
      </c>
      <c r="N1667">
        <v>0.14053085445449418</v>
      </c>
      <c r="O1667">
        <v>2.0332120315365687E-2</v>
      </c>
      <c r="P1667">
        <v>2.8372316087770584E-2</v>
      </c>
      <c r="Q1667">
        <v>5.1769324316989287E-3</v>
      </c>
      <c r="R1667">
        <v>1.6534644742956747E-3</v>
      </c>
      <c r="S1667">
        <v>0.25669506937969222</v>
      </c>
      <c r="T1667">
        <v>1.4177109841235274</v>
      </c>
      <c r="U1667">
        <v>0.20658394859819848</v>
      </c>
      <c r="V1667">
        <v>0.24100323508872351</v>
      </c>
      <c r="W1667">
        <v>9.3829471222918154E-2</v>
      </c>
      <c r="X1667">
        <v>1.5409879617633038E-2</v>
      </c>
      <c r="Y1667">
        <v>4.5001852346153639E-3</v>
      </c>
    </row>
    <row r="1668" spans="1:25" x14ac:dyDescent="0.2">
      <c r="A1668" s="1077"/>
      <c r="B1668" s="1444">
        <v>1418</v>
      </c>
      <c r="C1668" s="1081">
        <v>1.0262012472818436</v>
      </c>
      <c r="D1668" s="1081">
        <v>1.0032865258077281</v>
      </c>
      <c r="E1668" s="1081">
        <v>0.9919349344307431</v>
      </c>
      <c r="F1668" s="1081">
        <v>0.98133004351716913</v>
      </c>
      <c r="G1668" s="1081">
        <v>0.9679378343935271</v>
      </c>
      <c r="H1668" s="1081">
        <v>1.0064976263418617</v>
      </c>
      <c r="I1668" s="1081">
        <v>1.0070111426138801</v>
      </c>
      <c r="K1668">
        <v>2.3596235728159254</v>
      </c>
      <c r="L1668">
        <v>0</v>
      </c>
      <c r="M1668">
        <v>1.6362707917704478E-3</v>
      </c>
      <c r="N1668">
        <v>0.14534159552552336</v>
      </c>
      <c r="O1668">
        <v>2.0429820456917446E-2</v>
      </c>
      <c r="P1668">
        <v>2.7734298090290557E-2</v>
      </c>
      <c r="Q1668">
        <v>5.3028103581125325E-3</v>
      </c>
      <c r="R1668">
        <v>1.6148118331912923E-3</v>
      </c>
      <c r="S1668">
        <v>0.25384484172498828</v>
      </c>
      <c r="T1668">
        <v>1.3458591296674882</v>
      </c>
      <c r="U1668">
        <v>0.20653437594272392</v>
      </c>
      <c r="V1668">
        <v>0.23849075582430557</v>
      </c>
      <c r="W1668">
        <v>9.5939789567180273E-2</v>
      </c>
      <c r="X1668">
        <v>1.5772629129606485E-2</v>
      </c>
      <c r="Y1668">
        <v>4.3949854873689504E-3</v>
      </c>
    </row>
    <row r="1669" spans="1:25" x14ac:dyDescent="0.2">
      <c r="A1669" s="1077"/>
      <c r="B1669" s="1444">
        <v>1419</v>
      </c>
      <c r="C1669" s="1081">
        <v>0.97696797676790259</v>
      </c>
      <c r="D1669" s="1081">
        <v>1.0030681579086984</v>
      </c>
      <c r="E1669" s="1081">
        <v>1.0215500651495137</v>
      </c>
      <c r="F1669" s="1081">
        <v>1.0113962587097483</v>
      </c>
      <c r="G1669" s="1081">
        <v>1.0204843775598877</v>
      </c>
      <c r="H1669" s="1081">
        <v>1.0002170178693113</v>
      </c>
      <c r="I1669" s="1081">
        <v>0.9731643572755021</v>
      </c>
      <c r="K1669">
        <v>2.4481817442338407</v>
      </c>
      <c r="L1669">
        <v>0</v>
      </c>
      <c r="M1669">
        <v>1.6062124343626508E-3</v>
      </c>
      <c r="N1669">
        <v>0.15600560381280598</v>
      </c>
      <c r="O1669">
        <v>2.1480512919203019E-2</v>
      </c>
      <c r="P1669">
        <v>2.929085216402455E-2</v>
      </c>
      <c r="Q1669">
        <v>5.7433673927973303E-3</v>
      </c>
      <c r="R1669">
        <v>1.5850154068941455E-3</v>
      </c>
      <c r="S1669">
        <v>0.25741263374466472</v>
      </c>
      <c r="T1669">
        <v>1.3877425564827062</v>
      </c>
      <c r="U1669">
        <v>0.21704618292911884</v>
      </c>
      <c r="V1669">
        <v>0.25042225071588919</v>
      </c>
      <c r="W1669">
        <v>0.10119174676488989</v>
      </c>
      <c r="X1669">
        <v>1.7553344897829663E-2</v>
      </c>
      <c r="Y1669">
        <v>4.3138894373774056E-3</v>
      </c>
    </row>
    <row r="1670" spans="1:25" x14ac:dyDescent="0.2">
      <c r="A1670" s="1077"/>
      <c r="B1670" s="1444">
        <v>1420</v>
      </c>
      <c r="C1670" s="1081">
        <v>1.000207088676899</v>
      </c>
      <c r="D1670" s="1081">
        <v>1.0206848663461765</v>
      </c>
      <c r="E1670" s="1081">
        <v>0.98444237700080084</v>
      </c>
      <c r="F1670" s="1081">
        <v>0.98766197851892701</v>
      </c>
      <c r="G1670" s="1081">
        <v>1.004058842465652</v>
      </c>
      <c r="H1670" s="1081">
        <v>0.99672686419903178</v>
      </c>
      <c r="I1670" s="1081">
        <v>1.0016100512562873</v>
      </c>
      <c r="K1670">
        <v>2.3857414120006228</v>
      </c>
      <c r="L1670">
        <v>0</v>
      </c>
      <c r="M1670">
        <v>1.6821154441140783E-3</v>
      </c>
      <c r="N1670">
        <v>0.14604761366877567</v>
      </c>
      <c r="O1670">
        <v>2.0876694376402036E-2</v>
      </c>
      <c r="P1670">
        <v>2.7898418625050717E-2</v>
      </c>
      <c r="Q1670">
        <v>5.3778781787721152E-3</v>
      </c>
      <c r="R1670">
        <v>1.6598390007521581E-3</v>
      </c>
      <c r="S1670">
        <v>0.25594465398535615</v>
      </c>
      <c r="T1670">
        <v>1.3543834870596831</v>
      </c>
      <c r="U1670">
        <v>0.2118763938209049</v>
      </c>
      <c r="V1670">
        <v>0.24626783594060475</v>
      </c>
      <c r="W1670">
        <v>9.6840145302962671E-2</v>
      </c>
      <c r="X1670">
        <v>1.5733032891201704E-2</v>
      </c>
      <c r="Y1670">
        <v>4.5175345942678304E-3</v>
      </c>
    </row>
    <row r="1671" spans="1:25" x14ac:dyDescent="0.2">
      <c r="A1671" s="1077"/>
      <c r="B1671" s="1444">
        <v>1421</v>
      </c>
      <c r="C1671" s="1081">
        <v>0.97857375714903738</v>
      </c>
      <c r="D1671" s="1081">
        <v>1.0109974049219743</v>
      </c>
      <c r="E1671" s="1081">
        <v>1.0064139837646615</v>
      </c>
      <c r="F1671" s="1081">
        <v>1.0256418841012545</v>
      </c>
      <c r="G1671" s="1081">
        <v>1.0443644099760969</v>
      </c>
      <c r="H1671" s="1081">
        <v>0.98713441177056904</v>
      </c>
      <c r="I1671" s="1081">
        <v>0.97246531467052499</v>
      </c>
      <c r="K1671">
        <v>2.4604928108392148</v>
      </c>
      <c r="L1671">
        <v>0</v>
      </c>
      <c r="M1671">
        <v>1.630362866827343E-3</v>
      </c>
      <c r="N1671">
        <v>0.1512533048604103</v>
      </c>
      <c r="O1671">
        <v>2.1397885282070858E-2</v>
      </c>
      <c r="P1671">
        <v>2.9240320950906208E-2</v>
      </c>
      <c r="Q1671">
        <v>5.6355467127446827E-3</v>
      </c>
      <c r="R1671">
        <v>1.6085619779182159E-3</v>
      </c>
      <c r="S1671">
        <v>0.25457068374445657</v>
      </c>
      <c r="T1671">
        <v>1.4069523695665878</v>
      </c>
      <c r="U1671">
        <v>0.21663703818706204</v>
      </c>
      <c r="V1671">
        <v>0.25444928767624653</v>
      </c>
      <c r="W1671">
        <v>9.8986029395867592E-2</v>
      </c>
      <c r="X1671">
        <v>1.7014169910192185E-2</v>
      </c>
      <c r="Y1671">
        <v>4.3779754415798743E-3</v>
      </c>
    </row>
    <row r="1672" spans="1:25" x14ac:dyDescent="0.2">
      <c r="A1672" s="1077"/>
      <c r="B1672" s="1444">
        <v>1422</v>
      </c>
      <c r="C1672" s="1081">
        <v>0.97920036869520277</v>
      </c>
      <c r="D1672" s="1081">
        <v>0.99477812402213495</v>
      </c>
      <c r="E1672" s="1081">
        <v>1.0356099217089931</v>
      </c>
      <c r="F1672" s="1081">
        <v>0.99081650330751669</v>
      </c>
      <c r="G1672" s="1081">
        <v>1.0081574054178437</v>
      </c>
      <c r="H1672" s="1081">
        <v>1.0085725272932082</v>
      </c>
      <c r="I1672" s="1081">
        <v>0.97605980650095381</v>
      </c>
      <c r="K1672">
        <v>2.4245390801885649</v>
      </c>
      <c r="L1672">
        <v>0</v>
      </c>
      <c r="M1672">
        <v>1.5721590049852445E-3</v>
      </c>
      <c r="N1672">
        <v>0.15932761375098634</v>
      </c>
      <c r="O1672">
        <v>2.1480288091634315E-2</v>
      </c>
      <c r="P1672">
        <v>2.9191010528730105E-2</v>
      </c>
      <c r="Q1672">
        <v>5.8237653626083616E-3</v>
      </c>
      <c r="R1672">
        <v>1.5515832607965506E-3</v>
      </c>
      <c r="S1672">
        <v>0.25948854207136407</v>
      </c>
      <c r="T1672">
        <v>1.3598079309888416</v>
      </c>
      <c r="U1672">
        <v>0.21660065105168916</v>
      </c>
      <c r="V1672">
        <v>0.24812365013312082</v>
      </c>
      <c r="W1672">
        <v>0.10250558252534873</v>
      </c>
      <c r="X1672">
        <v>1.7987723271824994E-2</v>
      </c>
      <c r="Y1672">
        <v>4.2228981566037526E-3</v>
      </c>
    </row>
    <row r="1673" spans="1:25" x14ac:dyDescent="0.2">
      <c r="A1673" s="1077"/>
      <c r="B1673" s="1444">
        <v>1423</v>
      </c>
      <c r="C1673" s="1081">
        <v>1.0348062221706407</v>
      </c>
      <c r="D1673" s="1081">
        <v>0.96103743475099013</v>
      </c>
      <c r="E1673" s="1081">
        <v>0.98431937559083449</v>
      </c>
      <c r="F1673" s="1081">
        <v>0.98602182644575387</v>
      </c>
      <c r="G1673" s="1081">
        <v>1.023071736503989</v>
      </c>
      <c r="H1673" s="1081">
        <v>0.99043399459942927</v>
      </c>
      <c r="I1673" s="1081">
        <v>0.97856832510205716</v>
      </c>
      <c r="K1673">
        <v>2.3626211909336261</v>
      </c>
      <c r="L1673">
        <v>0</v>
      </c>
      <c r="M1673">
        <v>1.6375701254003482E-3</v>
      </c>
      <c r="N1673">
        <v>0.14211501464964232</v>
      </c>
      <c r="O1673">
        <v>2.0447689687764233E-2</v>
      </c>
      <c r="P1673">
        <v>2.768660947509588E-2</v>
      </c>
      <c r="Q1673">
        <v>5.2667088397261568E-3</v>
      </c>
      <c r="R1673">
        <v>1.6157458121287174E-3</v>
      </c>
      <c r="S1673">
        <v>0.24860733582369055</v>
      </c>
      <c r="T1673">
        <v>1.3521317274599429</v>
      </c>
      <c r="U1673">
        <v>0.20479182197068566</v>
      </c>
      <c r="V1673">
        <v>0.24743137436600776</v>
      </c>
      <c r="W1673">
        <v>9.4239522101514706E-2</v>
      </c>
      <c r="X1673">
        <v>1.5527683402675348E-2</v>
      </c>
      <c r="Y1673">
        <v>4.3975274701505479E-3</v>
      </c>
    </row>
    <row r="1674" spans="1:25" x14ac:dyDescent="0.2">
      <c r="A1674" s="1077"/>
      <c r="B1674" s="1444">
        <v>1424</v>
      </c>
      <c r="C1674" s="1081">
        <v>0.99280357897899363</v>
      </c>
      <c r="D1674" s="1081">
        <v>0.96721944080048827</v>
      </c>
      <c r="E1674" s="1081">
        <v>1.0352434658711736</v>
      </c>
      <c r="F1674" s="1081">
        <v>1.0410147176245261</v>
      </c>
      <c r="G1674" s="1081">
        <v>1.0032366810942033</v>
      </c>
      <c r="H1674" s="1081">
        <v>1.0107835267570724</v>
      </c>
      <c r="I1674" s="1081">
        <v>1.0049694240418865</v>
      </c>
      <c r="K1674">
        <v>2.4962808169463444</v>
      </c>
      <c r="L1674">
        <v>0</v>
      </c>
      <c r="M1674">
        <v>1.5648470253006471E-3</v>
      </c>
      <c r="N1674">
        <v>0.15841616396163205</v>
      </c>
      <c r="O1674">
        <v>2.1317071791723211E-2</v>
      </c>
      <c r="P1674">
        <v>3.019384118976394E-2</v>
      </c>
      <c r="Q1674">
        <v>5.7774265419928503E-3</v>
      </c>
      <c r="R1674">
        <v>1.5444117754644625E-3</v>
      </c>
      <c r="S1674">
        <v>0.26744874914145422</v>
      </c>
      <c r="T1674">
        <v>1.4286922285956427</v>
      </c>
      <c r="U1674">
        <v>0.21363156074943079</v>
      </c>
      <c r="V1674">
        <v>0.24641185821621078</v>
      </c>
      <c r="W1674">
        <v>0.10194077926949809</v>
      </c>
      <c r="X1674">
        <v>1.8268193001218912E-2</v>
      </c>
      <c r="Y1674">
        <v>4.2033797376093114E-3</v>
      </c>
    </row>
    <row r="1675" spans="1:25" x14ac:dyDescent="0.2">
      <c r="A1675" s="1077"/>
      <c r="B1675" s="1444">
        <v>1425</v>
      </c>
      <c r="C1675" s="1081">
        <v>0.9934737878556128</v>
      </c>
      <c r="D1675" s="1081">
        <v>1.0195995338031563</v>
      </c>
      <c r="E1675" s="1081">
        <v>0.96916639973499452</v>
      </c>
      <c r="F1675" s="1081">
        <v>0.99271578978882236</v>
      </c>
      <c r="G1675" s="1081">
        <v>0.9854788791712662</v>
      </c>
      <c r="H1675" s="1081">
        <v>1.014225173938387</v>
      </c>
      <c r="I1675" s="1081">
        <v>0.99859208490552831</v>
      </c>
      <c r="K1675">
        <v>2.3964763622017133</v>
      </c>
      <c r="L1675">
        <v>0</v>
      </c>
      <c r="M1675">
        <v>1.77893629679094E-3</v>
      </c>
      <c r="N1675">
        <v>0.14751012677335376</v>
      </c>
      <c r="O1675">
        <v>2.1012983523347507E-2</v>
      </c>
      <c r="P1675">
        <v>2.7679264850756429E-2</v>
      </c>
      <c r="Q1675">
        <v>5.329443350069827E-3</v>
      </c>
      <c r="R1675">
        <v>1.755784098739239E-3</v>
      </c>
      <c r="S1675">
        <v>0.25840377553865551</v>
      </c>
      <c r="T1675">
        <v>1.3609873814491749</v>
      </c>
      <c r="U1675">
        <v>0.21326003000596902</v>
      </c>
      <c r="V1675">
        <v>0.24357108134316083</v>
      </c>
      <c r="W1675">
        <v>9.8718585925839916E-2</v>
      </c>
      <c r="X1675">
        <v>1.524817611674054E-2</v>
      </c>
      <c r="Y1675">
        <v>4.778665522695613E-3</v>
      </c>
    </row>
    <row r="1676" spans="1:25" x14ac:dyDescent="0.2">
      <c r="A1676" s="1077"/>
      <c r="B1676" s="1444">
        <v>1426</v>
      </c>
      <c r="C1676" s="1081">
        <v>1.0245028527252129</v>
      </c>
      <c r="D1676" s="1081">
        <v>1.034639882960934</v>
      </c>
      <c r="E1676" s="1081">
        <v>1.0328421544147557</v>
      </c>
      <c r="F1676" s="1081">
        <v>1.0228299620025414</v>
      </c>
      <c r="G1676" s="1081">
        <v>1.0032674966638642</v>
      </c>
      <c r="H1676" s="1081">
        <v>1.0071547970325672</v>
      </c>
      <c r="I1676" s="1081">
        <v>0.99467866154824358</v>
      </c>
      <c r="K1676">
        <v>2.4269586444139679</v>
      </c>
      <c r="L1676">
        <v>0</v>
      </c>
      <c r="M1676">
        <v>1.4962233369063675E-3</v>
      </c>
      <c r="N1676">
        <v>0.15036973281392871</v>
      </c>
      <c r="O1676">
        <v>2.0351970861267162E-2</v>
      </c>
      <c r="P1676">
        <v>2.9396309674929896E-2</v>
      </c>
      <c r="Q1676">
        <v>5.5028104661710717E-3</v>
      </c>
      <c r="R1676">
        <v>1.4766138415657699E-3</v>
      </c>
      <c r="S1676">
        <v>0.24770836307086139</v>
      </c>
      <c r="T1676">
        <v>1.403681934698622</v>
      </c>
      <c r="U1676">
        <v>0.20701350648624872</v>
      </c>
      <c r="V1676">
        <v>0.24447987517676292</v>
      </c>
      <c r="W1676">
        <v>9.68974465108563E-2</v>
      </c>
      <c r="X1676">
        <v>1.7557448038539428E-2</v>
      </c>
      <c r="Y1676">
        <v>4.0188561111199755E-3</v>
      </c>
    </row>
    <row r="1677" spans="1:25" x14ac:dyDescent="0.2">
      <c r="A1677" s="1077"/>
      <c r="B1677" s="1444">
        <v>1427</v>
      </c>
      <c r="C1677" s="1081">
        <v>1.0091491237649122</v>
      </c>
      <c r="D1677" s="1081">
        <v>1.0168052135645014</v>
      </c>
      <c r="E1677" s="1081">
        <v>0.96627400921956619</v>
      </c>
      <c r="F1677" s="1081">
        <v>1.0102831469155797</v>
      </c>
      <c r="G1677" s="1081">
        <v>0.99980025798642369</v>
      </c>
      <c r="H1677" s="1081">
        <v>1.0029454958570987</v>
      </c>
      <c r="I1677" s="1081">
        <v>1.0397626245358962</v>
      </c>
      <c r="K1677">
        <v>2.4173166012834808</v>
      </c>
      <c r="L1677">
        <v>0</v>
      </c>
      <c r="M1677">
        <v>1.7432470236747977E-3</v>
      </c>
      <c r="N1677">
        <v>0.14326887307614256</v>
      </c>
      <c r="O1677">
        <v>2.0697192469923176E-2</v>
      </c>
      <c r="P1677">
        <v>2.7990481954133329E-2</v>
      </c>
      <c r="Q1677">
        <v>5.2338353123830067E-3</v>
      </c>
      <c r="R1677">
        <v>1.7203041497576145E-3</v>
      </c>
      <c r="S1677">
        <v>0.26423162318664589</v>
      </c>
      <c r="T1677">
        <v>1.3850089945431958</v>
      </c>
      <c r="U1677">
        <v>0.2099376693129483</v>
      </c>
      <c r="V1677">
        <v>0.24505457391958266</v>
      </c>
      <c r="W1677">
        <v>9.6049443858410008E-2</v>
      </c>
      <c r="X1677">
        <v>1.5184755726503499E-2</v>
      </c>
      <c r="Y1677">
        <v>4.6821007975296706E-3</v>
      </c>
    </row>
    <row r="1678" spans="1:25" x14ac:dyDescent="0.2">
      <c r="A1678" s="1077"/>
      <c r="B1678" s="1444">
        <v>1428</v>
      </c>
      <c r="C1678" s="1081">
        <v>1.0011840589396817</v>
      </c>
      <c r="D1678" s="1081">
        <v>1.0457305268260959</v>
      </c>
      <c r="E1678" s="1081">
        <v>1.0024993117536642</v>
      </c>
      <c r="F1678" s="1081">
        <v>0.96082749887424157</v>
      </c>
      <c r="G1678" s="1081">
        <v>0.97874901571927675</v>
      </c>
      <c r="H1678" s="1081">
        <v>0.99876256857974632</v>
      </c>
      <c r="I1678" s="1081">
        <v>1.0108608374020542</v>
      </c>
      <c r="K1678">
        <v>2.3461864717109164</v>
      </c>
      <c r="L1678">
        <v>0</v>
      </c>
      <c r="M1678">
        <v>1.613435240530547E-3</v>
      </c>
      <c r="N1678">
        <v>0.14794691356562853</v>
      </c>
      <c r="O1678">
        <v>2.0757227866887669E-2</v>
      </c>
      <c r="P1678">
        <v>2.7708916291403742E-2</v>
      </c>
      <c r="Q1678">
        <v>5.4454005804465723E-3</v>
      </c>
      <c r="R1678">
        <v>1.5921118873929144E-3</v>
      </c>
      <c r="S1678">
        <v>0.25528533208984178</v>
      </c>
      <c r="T1678">
        <v>1.3179600363204707</v>
      </c>
      <c r="U1678">
        <v>0.21173122759128807</v>
      </c>
      <c r="V1678">
        <v>0.24181957976902854</v>
      </c>
      <c r="W1678">
        <v>9.704694133998451E-2</v>
      </c>
      <c r="X1678">
        <v>1.6173015931129405E-2</v>
      </c>
      <c r="Y1678">
        <v>4.3332037179408872E-3</v>
      </c>
    </row>
    <row r="1679" spans="1:25" x14ac:dyDescent="0.2">
      <c r="A1679" s="1077"/>
      <c r="B1679" s="1444">
        <v>1429</v>
      </c>
      <c r="C1679" s="1081">
        <v>1.0028004767101819</v>
      </c>
      <c r="D1679" s="1081">
        <v>1.0011550959525162</v>
      </c>
      <c r="E1679" s="1081">
        <v>1.0099570876108808</v>
      </c>
      <c r="F1679" s="1081">
        <v>0.98885682079138737</v>
      </c>
      <c r="G1679" s="1081">
        <v>1.0146615665736047</v>
      </c>
      <c r="H1679" s="1081">
        <v>0.99198896250925639</v>
      </c>
      <c r="I1679" s="1081">
        <v>0.99189938093991081</v>
      </c>
      <c r="K1679">
        <v>2.3933205027377205</v>
      </c>
      <c r="L1679">
        <v>0</v>
      </c>
      <c r="M1679">
        <v>1.5904964080086167E-3</v>
      </c>
      <c r="N1679">
        <v>0.14915169631077646</v>
      </c>
      <c r="O1679">
        <v>2.0928269062206819E-2</v>
      </c>
      <c r="P1679">
        <v>2.8468421755992686E-2</v>
      </c>
      <c r="Q1679">
        <v>5.531440509377563E-3</v>
      </c>
      <c r="R1679">
        <v>1.5693326848907263E-3</v>
      </c>
      <c r="S1679">
        <v>0.25506758559834286</v>
      </c>
      <c r="T1679">
        <v>1.356567351676355</v>
      </c>
      <c r="U1679">
        <v>0.21141538306628985</v>
      </c>
      <c r="V1679">
        <v>0.24782442629670673</v>
      </c>
      <c r="W1679">
        <v>9.7406640501977407E-2</v>
      </c>
      <c r="X1679">
        <v>1.6709245444919134E-2</v>
      </c>
      <c r="Y1679">
        <v>4.2712062378920173E-3</v>
      </c>
    </row>
    <row r="1680" spans="1:25" x14ac:dyDescent="0.2">
      <c r="A1680" s="1077"/>
      <c r="B1680" s="1444">
        <v>1430</v>
      </c>
      <c r="C1680" s="1081">
        <v>0.97471986740080641</v>
      </c>
      <c r="D1680" s="1081">
        <v>1.0077127015355583</v>
      </c>
      <c r="E1680" s="1081">
        <v>1.0033525004004822</v>
      </c>
      <c r="F1680" s="1081">
        <v>1.0204184767682341</v>
      </c>
      <c r="G1680" s="1081">
        <v>1.0051333104793456</v>
      </c>
      <c r="H1680" s="1081">
        <v>1.0384506307759744</v>
      </c>
      <c r="I1680" s="1081">
        <v>0.98779521866012299</v>
      </c>
      <c r="K1680">
        <v>2.4716018174642915</v>
      </c>
      <c r="L1680">
        <v>0</v>
      </c>
      <c r="M1680">
        <v>1.7341176688554162E-3</v>
      </c>
      <c r="N1680">
        <v>0.15950503752134462</v>
      </c>
      <c r="O1680">
        <v>2.1495792199951871E-2</v>
      </c>
      <c r="P1680">
        <v>2.9133367962405853E-2</v>
      </c>
      <c r="Q1680">
        <v>5.6439841739363804E-3</v>
      </c>
      <c r="R1680">
        <v>1.7120752664191484E-3</v>
      </c>
      <c r="S1680">
        <v>0.26442115542943251</v>
      </c>
      <c r="T1680">
        <v>1.3997193846781235</v>
      </c>
      <c r="U1680">
        <v>0.2174828426754036</v>
      </c>
      <c r="V1680">
        <v>0.24801398381538625</v>
      </c>
      <c r="W1680">
        <v>0.1045756634412752</v>
      </c>
      <c r="X1680">
        <v>1.69729434797358E-2</v>
      </c>
      <c r="Y1680">
        <v>4.6597044897330282E-3</v>
      </c>
    </row>
    <row r="1681" spans="1:25" x14ac:dyDescent="0.2">
      <c r="A1681" s="1077"/>
      <c r="B1681" s="1444">
        <v>1431</v>
      </c>
      <c r="C1681" s="1081">
        <v>0.99628823821239509</v>
      </c>
      <c r="D1681" s="1081">
        <v>0.9998082543585125</v>
      </c>
      <c r="E1681" s="1081">
        <v>0.98758130205543093</v>
      </c>
      <c r="F1681" s="1081">
        <v>0.97422839367485148</v>
      </c>
      <c r="G1681" s="1081">
        <v>1.0025185291444974</v>
      </c>
      <c r="H1681" s="1081">
        <v>1.0158230271355027</v>
      </c>
      <c r="I1681" s="1081">
        <v>1.0147255017872068</v>
      </c>
      <c r="K1681">
        <v>2.3847674080449339</v>
      </c>
      <c r="L1681">
        <v>0</v>
      </c>
      <c r="M1681">
        <v>1.717732631700803E-3</v>
      </c>
      <c r="N1681">
        <v>0.15060056457001608</v>
      </c>
      <c r="O1681">
        <v>2.1056403011690414E-2</v>
      </c>
      <c r="P1681">
        <v>2.7845821405615631E-2</v>
      </c>
      <c r="Q1681">
        <v>5.4414464490757037E-3</v>
      </c>
      <c r="R1681">
        <v>1.6954121413607999E-3</v>
      </c>
      <c r="S1681">
        <v>0.26469868645275429</v>
      </c>
      <c r="T1681">
        <v>1.3360279270622115</v>
      </c>
      <c r="U1681">
        <v>0.21272054465275564</v>
      </c>
      <c r="V1681">
        <v>0.2462385526262843</v>
      </c>
      <c r="W1681">
        <v>9.967088968002373E-2</v>
      </c>
      <c r="X1681">
        <v>1.5874539668523559E-2</v>
      </c>
      <c r="Y1681">
        <v>4.614352956321904E-3</v>
      </c>
    </row>
    <row r="1682" spans="1:25" x14ac:dyDescent="0.2">
      <c r="A1682" s="1077"/>
      <c r="B1682" s="1444">
        <v>1432</v>
      </c>
      <c r="C1682" s="1081">
        <v>0.99576793283198139</v>
      </c>
      <c r="D1682" s="1081">
        <v>1.0213507186504343</v>
      </c>
      <c r="E1682" s="1081">
        <v>0.99044352381063516</v>
      </c>
      <c r="F1682" s="1081">
        <v>1.0030947247156152</v>
      </c>
      <c r="G1682" s="1081">
        <v>1.0349011185028973</v>
      </c>
      <c r="H1682" s="1081">
        <v>1.0184770423855531</v>
      </c>
      <c r="I1682" s="1081">
        <v>0.98967801358659846</v>
      </c>
      <c r="K1682">
        <v>2.4220240946510385</v>
      </c>
      <c r="L1682">
        <v>0</v>
      </c>
      <c r="M1682">
        <v>1.7049230840578027E-3</v>
      </c>
      <c r="N1682">
        <v>0.15078192040666338</v>
      </c>
      <c r="O1682">
        <v>2.0970728046865773E-2</v>
      </c>
      <c r="P1682">
        <v>2.8399584049543052E-2</v>
      </c>
      <c r="Q1682">
        <v>5.4350156846471693E-3</v>
      </c>
      <c r="R1682">
        <v>1.6828267734865113E-3</v>
      </c>
      <c r="S1682">
        <v>0.25581839081677443</v>
      </c>
      <c r="T1682">
        <v>1.3756763146702315</v>
      </c>
      <c r="U1682">
        <v>0.21284150286199835</v>
      </c>
      <c r="V1682">
        <v>0.2517923713910073</v>
      </c>
      <c r="W1682">
        <v>9.9619822172828582E-2</v>
      </c>
      <c r="X1682">
        <v>1.6130441127316306E-2</v>
      </c>
      <c r="Y1682">
        <v>4.5800997337334948E-3</v>
      </c>
    </row>
    <row r="1683" spans="1:25" x14ac:dyDescent="0.2">
      <c r="A1683" s="1077"/>
      <c r="B1683" s="1444">
        <v>1433</v>
      </c>
      <c r="C1683" s="1081">
        <v>1.0062529018588329</v>
      </c>
      <c r="D1683" s="1081">
        <v>0.99021816038915456</v>
      </c>
      <c r="E1683" s="1081">
        <v>0.98965134408415734</v>
      </c>
      <c r="F1683" s="1081">
        <v>1.0058915016930861</v>
      </c>
      <c r="G1683" s="1081">
        <v>0.98203855746178026</v>
      </c>
      <c r="H1683" s="1081">
        <v>0.98359588721419866</v>
      </c>
      <c r="I1683" s="1081">
        <v>1.0219115085025416</v>
      </c>
      <c r="K1683">
        <v>2.4104593611780532</v>
      </c>
      <c r="L1683">
        <v>0</v>
      </c>
      <c r="M1683">
        <v>1.6432039034498462E-3</v>
      </c>
      <c r="N1683">
        <v>0.1449083749438333</v>
      </c>
      <c r="O1683">
        <v>2.0893505646185726E-2</v>
      </c>
      <c r="P1683">
        <v>2.8362912472392275E-2</v>
      </c>
      <c r="Q1683">
        <v>5.4106678513208169E-3</v>
      </c>
      <c r="R1683">
        <v>1.6211522594723432E-3</v>
      </c>
      <c r="S1683">
        <v>0.26243655561697643</v>
      </c>
      <c r="T1683">
        <v>1.3794947049504489</v>
      </c>
      <c r="U1683">
        <v>0.21062104701013118</v>
      </c>
      <c r="V1683">
        <v>0.24211255581030328</v>
      </c>
      <c r="W1683">
        <v>9.5784683975805918E-2</v>
      </c>
      <c r="X1683">
        <v>1.6044162507046125E-2</v>
      </c>
      <c r="Y1683">
        <v>4.4122420375850109E-3</v>
      </c>
    </row>
    <row r="1684" spans="1:25" x14ac:dyDescent="0.2">
      <c r="A1684" s="1077"/>
      <c r="B1684" s="1444">
        <v>1434</v>
      </c>
      <c r="C1684" s="1081">
        <v>1.0352574133070747</v>
      </c>
      <c r="D1684" s="1081">
        <v>1.0229083132252856</v>
      </c>
      <c r="E1684" s="1081">
        <v>1.0047367763249009</v>
      </c>
      <c r="F1684" s="1081">
        <v>0.99233963516430934</v>
      </c>
      <c r="G1684" s="1081">
        <v>1.0039654860569371</v>
      </c>
      <c r="H1684" s="1081">
        <v>1.0183623166519875</v>
      </c>
      <c r="I1684" s="1081">
        <v>0.96131063569300934</v>
      </c>
      <c r="K1684">
        <v>2.3661866091304233</v>
      </c>
      <c r="L1684">
        <v>0</v>
      </c>
      <c r="M1684">
        <v>1.5912876211640165E-3</v>
      </c>
      <c r="N1684">
        <v>0.14694336444656356</v>
      </c>
      <c r="O1684">
        <v>2.0173160874318107E-2</v>
      </c>
      <c r="P1684">
        <v>2.8058940379882415E-2</v>
      </c>
      <c r="Q1684">
        <v>5.3040698001740961E-3</v>
      </c>
      <c r="R1684">
        <v>1.5706617366205086E-3</v>
      </c>
      <c r="S1684">
        <v>0.23892565304378582</v>
      </c>
      <c r="T1684">
        <v>1.3612330593056632</v>
      </c>
      <c r="U1684">
        <v>0.20476992447642156</v>
      </c>
      <c r="V1684">
        <v>0.2440662002974551</v>
      </c>
      <c r="W1684">
        <v>9.626092539047959E-2</v>
      </c>
      <c r="X1684">
        <v>1.6197113521646413E-2</v>
      </c>
      <c r="Y1684">
        <v>4.2748234785786998E-3</v>
      </c>
    </row>
    <row r="1685" spans="1:25" x14ac:dyDescent="0.2">
      <c r="A1685" s="1077"/>
      <c r="B1685" s="1444">
        <v>1435</v>
      </c>
      <c r="C1685" s="1081">
        <v>1.0245170044458189</v>
      </c>
      <c r="D1685" s="1081">
        <v>0.980041082441373</v>
      </c>
      <c r="E1685" s="1081">
        <v>0.99911433385728488</v>
      </c>
      <c r="F1685" s="1081">
        <v>1.0418651377285786</v>
      </c>
      <c r="G1685" s="1081">
        <v>0.99702397075794369</v>
      </c>
      <c r="H1685" s="1081">
        <v>0.99238920357581684</v>
      </c>
      <c r="I1685" s="1081">
        <v>1.0051919526632533</v>
      </c>
      <c r="K1685">
        <v>2.4516988226465188</v>
      </c>
      <c r="L1685">
        <v>0</v>
      </c>
      <c r="M1685">
        <v>1.600348067987151E-3</v>
      </c>
      <c r="N1685">
        <v>0.14524136005960647</v>
      </c>
      <c r="O1685">
        <v>2.0573880948829015E-2</v>
      </c>
      <c r="P1685">
        <v>2.9116767878267193E-2</v>
      </c>
      <c r="Q1685">
        <v>5.3789767997864607E-3</v>
      </c>
      <c r="R1685">
        <v>1.5790618435253111E-3</v>
      </c>
      <c r="S1685">
        <v>0.25567850224052813</v>
      </c>
      <c r="T1685">
        <v>1.4290424828257451</v>
      </c>
      <c r="U1685">
        <v>0.20689784241623435</v>
      </c>
      <c r="V1685">
        <v>0.24353297879998534</v>
      </c>
      <c r="W1685">
        <v>9.5463955930506772E-2</v>
      </c>
      <c r="X1685">
        <v>1.6495675171011779E-2</v>
      </c>
      <c r="Y1685">
        <v>4.2976858004790761E-3</v>
      </c>
    </row>
    <row r="1686" spans="1:25" x14ac:dyDescent="0.2">
      <c r="A1686" s="1077"/>
      <c r="B1686" s="1444">
        <v>1436</v>
      </c>
      <c r="C1686" s="1081">
        <v>1.0125146409474006</v>
      </c>
      <c r="D1686" s="1081">
        <v>1.0193093841604182</v>
      </c>
      <c r="E1686" s="1081">
        <v>1.0276410576004817</v>
      </c>
      <c r="F1686" s="1081">
        <v>1.0070498746393244</v>
      </c>
      <c r="G1686" s="1081">
        <v>1.0483150273947976</v>
      </c>
      <c r="H1686" s="1081">
        <v>1.0377988008961401</v>
      </c>
      <c r="I1686" s="1081">
        <v>1.0110089662728003</v>
      </c>
      <c r="K1686">
        <v>2.4385457309586025</v>
      </c>
      <c r="L1686">
        <v>0</v>
      </c>
      <c r="M1686">
        <v>1.5821896967718745E-3</v>
      </c>
      <c r="N1686">
        <v>0.15659705966362159</v>
      </c>
      <c r="O1686">
        <v>2.0657270769666562E-2</v>
      </c>
      <c r="P1686">
        <v>2.9293723477729676E-2</v>
      </c>
      <c r="Q1686">
        <v>5.5567140551592139E-3</v>
      </c>
      <c r="R1686">
        <v>1.562065822009767E-3</v>
      </c>
      <c r="S1686">
        <v>0.25920408823836572</v>
      </c>
      <c r="T1686">
        <v>1.3819121630431928</v>
      </c>
      <c r="U1686">
        <v>0.20944691542092003</v>
      </c>
      <c r="V1686">
        <v>0.25290644547547469</v>
      </c>
      <c r="W1686">
        <v>0.10121536443245249</v>
      </c>
      <c r="X1686">
        <v>1.7524682024132269E-2</v>
      </c>
      <c r="Y1686">
        <v>4.2514282326507509E-3</v>
      </c>
    </row>
    <row r="1687" spans="1:25" x14ac:dyDescent="0.2">
      <c r="A1687" s="1077"/>
      <c r="B1687" s="1444">
        <v>1437</v>
      </c>
      <c r="C1687" s="1081">
        <v>0.99518398985132772</v>
      </c>
      <c r="D1687" s="1081">
        <v>0.98040089901744654</v>
      </c>
      <c r="E1687" s="1081">
        <v>0.98391861153620908</v>
      </c>
      <c r="F1687" s="1081">
        <v>1.0020264151550273</v>
      </c>
      <c r="G1687" s="1081">
        <v>0.97509476246460047</v>
      </c>
      <c r="H1687" s="1081">
        <v>0.99650581486790368</v>
      </c>
      <c r="I1687" s="1081">
        <v>1.0155120686434973</v>
      </c>
      <c r="K1687">
        <v>2.4162305777182738</v>
      </c>
      <c r="L1687">
        <v>0</v>
      </c>
      <c r="M1687">
        <v>1.7071199703825343E-3</v>
      </c>
      <c r="N1687">
        <v>0.14798353120572563</v>
      </c>
      <c r="O1687">
        <v>2.1168420608462944E-2</v>
      </c>
      <c r="P1687">
        <v>2.8241692358651191E-2</v>
      </c>
      <c r="Q1687">
        <v>5.450132007409814E-3</v>
      </c>
      <c r="R1687">
        <v>1.6845073743629545E-3</v>
      </c>
      <c r="S1687">
        <v>0.26609890385844603</v>
      </c>
      <c r="T1687">
        <v>1.3740701628090226</v>
      </c>
      <c r="U1687">
        <v>0.2129440257870843</v>
      </c>
      <c r="V1687">
        <v>0.24163606238742075</v>
      </c>
      <c r="W1687">
        <v>9.8154733906653774E-2</v>
      </c>
      <c r="X1687">
        <v>1.5920851610108564E-2</v>
      </c>
      <c r="Y1687">
        <v>4.5846737753092422E-3</v>
      </c>
    </row>
    <row r="1688" spans="1:25" x14ac:dyDescent="0.2">
      <c r="A1688" s="1077"/>
      <c r="B1688" s="1444">
        <v>1438</v>
      </c>
      <c r="C1688" s="1081">
        <v>0.98803258743426847</v>
      </c>
      <c r="D1688" s="1081">
        <v>0.99525439500292356</v>
      </c>
      <c r="E1688" s="1081">
        <v>1.0036156277791919</v>
      </c>
      <c r="F1688" s="1081">
        <v>1.0105734605523504</v>
      </c>
      <c r="G1688" s="1081">
        <v>1.0046025330807749</v>
      </c>
      <c r="H1688" s="1081">
        <v>0.98314553626173695</v>
      </c>
      <c r="I1688" s="1081">
        <v>0.99625709269661833</v>
      </c>
      <c r="K1688">
        <v>2.4317712616869405</v>
      </c>
      <c r="L1688">
        <v>0</v>
      </c>
      <c r="M1688">
        <v>1.6231941898612904E-3</v>
      </c>
      <c r="N1688">
        <v>0.14931272864606582</v>
      </c>
      <c r="O1688">
        <v>2.1264452160514383E-2</v>
      </c>
      <c r="P1688">
        <v>2.8840420774530313E-2</v>
      </c>
      <c r="Q1688">
        <v>5.5847170700901796E-3</v>
      </c>
      <c r="R1688">
        <v>1.6014010961598252E-3</v>
      </c>
      <c r="S1688">
        <v>0.25997802293209793</v>
      </c>
      <c r="T1688">
        <v>1.3862206215185273</v>
      </c>
      <c r="U1688">
        <v>0.21455339650766309</v>
      </c>
      <c r="V1688">
        <v>0.24705986638605393</v>
      </c>
      <c r="W1688">
        <v>9.7878053705151333E-2</v>
      </c>
      <c r="X1688">
        <v>1.6742289197928865E-2</v>
      </c>
      <c r="Y1688">
        <v>4.3584858820175732E-3</v>
      </c>
    </row>
    <row r="1689" spans="1:25" x14ac:dyDescent="0.2">
      <c r="A1689" s="1077"/>
      <c r="B1689" s="1444">
        <v>1439</v>
      </c>
      <c r="C1689" s="1081">
        <v>0.98226414897062708</v>
      </c>
      <c r="D1689" s="1081">
        <v>1.0075337946369809</v>
      </c>
      <c r="E1689" s="1081">
        <v>0.99090304810341545</v>
      </c>
      <c r="F1689" s="1081">
        <v>0.98438574225017306</v>
      </c>
      <c r="G1689" s="1081">
        <v>0.97987223291632819</v>
      </c>
      <c r="H1689" s="1081">
        <v>0.98081515587778256</v>
      </c>
      <c r="I1689" s="1081">
        <v>1.0041831695279506</v>
      </c>
      <c r="K1689">
        <v>2.3913335045892725</v>
      </c>
      <c r="L1689">
        <v>0</v>
      </c>
      <c r="M1689">
        <v>1.6678560124535398E-3</v>
      </c>
      <c r="N1689">
        <v>0.1476343326930874</v>
      </c>
      <c r="O1689">
        <v>2.1323133020642676E-2</v>
      </c>
      <c r="P1689">
        <v>2.8064938720177002E-2</v>
      </c>
      <c r="Q1689">
        <v>5.5289154885429046E-3</v>
      </c>
      <c r="R1689">
        <v>1.6454100824018823E-3</v>
      </c>
      <c r="S1689">
        <v>0.26165950105949465</v>
      </c>
      <c r="T1689">
        <v>1.3500279803271253</v>
      </c>
      <c r="U1689">
        <v>0.2157691614690557</v>
      </c>
      <c r="V1689">
        <v>0.24325216932409627</v>
      </c>
      <c r="W1689">
        <v>9.7513415207318321E-2</v>
      </c>
      <c r="X1689">
        <v>1.6104139374771322E-2</v>
      </c>
      <c r="Y1689">
        <v>4.4782638350100348E-3</v>
      </c>
    </row>
    <row r="1690" spans="1:25" x14ac:dyDescent="0.2">
      <c r="A1690" s="1077"/>
      <c r="B1690" s="1444">
        <v>1440</v>
      </c>
      <c r="C1690" s="1081">
        <v>0.97678029603409555</v>
      </c>
      <c r="D1690" s="1081">
        <v>1.007513853658655</v>
      </c>
      <c r="E1690" s="1081">
        <v>0.96415696131634465</v>
      </c>
      <c r="F1690" s="1081">
        <v>1.0302549018613791</v>
      </c>
      <c r="G1690" s="1081">
        <v>1.013884970629044</v>
      </c>
      <c r="H1690" s="1081">
        <v>1.0119610707411628</v>
      </c>
      <c r="I1690" s="1081">
        <v>0.97886272333352631</v>
      </c>
      <c r="K1690">
        <v>2.4628606707788405</v>
      </c>
      <c r="L1690">
        <v>0</v>
      </c>
      <c r="M1690">
        <v>1.8288478782769763E-3</v>
      </c>
      <c r="N1690">
        <v>0.14936099744183418</v>
      </c>
      <c r="O1690">
        <v>2.1424862061590097E-2</v>
      </c>
      <c r="P1690">
        <v>2.8389040077680294E-2</v>
      </c>
      <c r="Q1690">
        <v>5.4061042451595629E-3</v>
      </c>
      <c r="R1690">
        <v>1.8049928467256042E-3</v>
      </c>
      <c r="S1690">
        <v>0.25892776761692504</v>
      </c>
      <c r="T1690">
        <v>1.4123416780039377</v>
      </c>
      <c r="U1690">
        <v>0.21688727807335043</v>
      </c>
      <c r="V1690">
        <v>0.24951785960756534</v>
      </c>
      <c r="W1690">
        <v>0.10026328677943624</v>
      </c>
      <c r="X1690">
        <v>1.5453056389857436E-2</v>
      </c>
      <c r="Y1690">
        <v>4.912595513055085E-3</v>
      </c>
    </row>
    <row r="1691" spans="1:25" x14ac:dyDescent="0.2">
      <c r="A1691" s="1077"/>
      <c r="B1691" s="1444">
        <v>1441</v>
      </c>
      <c r="C1691" s="1081">
        <v>0.9720154426112888</v>
      </c>
      <c r="D1691" s="1081">
        <v>0.95660863918131522</v>
      </c>
      <c r="E1691" s="1081">
        <v>1.0203153284254884</v>
      </c>
      <c r="F1691" s="1081">
        <v>0.98920473935396847</v>
      </c>
      <c r="G1691" s="1081">
        <v>0.98018461313273542</v>
      </c>
      <c r="H1691" s="1081">
        <v>0.98991392327235816</v>
      </c>
      <c r="I1691" s="1081">
        <v>0.96174444859099706</v>
      </c>
      <c r="K1691">
        <v>2.4167653201672357</v>
      </c>
      <c r="L1691">
        <v>0</v>
      </c>
      <c r="M1691">
        <v>1.6186776972712453E-3</v>
      </c>
      <c r="N1691">
        <v>0.15661001686016526</v>
      </c>
      <c r="O1691">
        <v>2.1815539698417118E-2</v>
      </c>
      <c r="P1691">
        <v>2.8816255902078449E-2</v>
      </c>
      <c r="Q1691">
        <v>5.8257935022173919E-3</v>
      </c>
      <c r="R1691">
        <v>1.5970938346260217E-3</v>
      </c>
      <c r="S1691">
        <v>0.26097950865030939</v>
      </c>
      <c r="T1691">
        <v>1.3572669209923882</v>
      </c>
      <c r="U1691">
        <v>0.21814770302140926</v>
      </c>
      <c r="V1691">
        <v>0.24387402983202716</v>
      </c>
      <c r="W1691">
        <v>0.10165714974487947</v>
      </c>
      <c r="X1691">
        <v>1.7447222889977399E-2</v>
      </c>
      <c r="Y1691">
        <v>4.3467629360109412E-3</v>
      </c>
    </row>
    <row r="1692" spans="1:25" x14ac:dyDescent="0.2">
      <c r="A1692" s="1077"/>
      <c r="B1692" s="1444">
        <v>1442</v>
      </c>
      <c r="C1692" s="1081">
        <v>0.98832395600097644</v>
      </c>
      <c r="D1692" s="1081">
        <v>1.0229139084131027</v>
      </c>
      <c r="E1692" s="1081">
        <v>0.97433107708356803</v>
      </c>
      <c r="F1692" s="1081">
        <v>1.0293696287942633</v>
      </c>
      <c r="G1692" s="1081">
        <v>0.98714528592220951</v>
      </c>
      <c r="H1692" s="1081">
        <v>1.0188752648666</v>
      </c>
      <c r="I1692" s="1081">
        <v>1.0362419484381158</v>
      </c>
      <c r="K1692">
        <v>2.4645201585413372</v>
      </c>
      <c r="L1692">
        <v>0</v>
      </c>
      <c r="M1692">
        <v>1.776078513486132E-3</v>
      </c>
      <c r="N1692">
        <v>0.14960302856008048</v>
      </c>
      <c r="O1692">
        <v>2.1110834623137783E-2</v>
      </c>
      <c r="P1692">
        <v>2.8635372073296205E-2</v>
      </c>
      <c r="Q1692">
        <v>5.3825715142539901E-3</v>
      </c>
      <c r="R1692">
        <v>1.7530690040449394E-3</v>
      </c>
      <c r="S1692">
        <v>0.26956548600463331</v>
      </c>
      <c r="T1692">
        <v>1.411353143427573</v>
      </c>
      <c r="U1692">
        <v>0.21438903873140466</v>
      </c>
      <c r="V1692">
        <v>0.24416432712026168</v>
      </c>
      <c r="W1692">
        <v>9.9805439013239669E-2</v>
      </c>
      <c r="X1692">
        <v>1.5762651052926523E-2</v>
      </c>
      <c r="Y1692">
        <v>4.771275929968454E-3</v>
      </c>
    </row>
    <row r="1693" spans="1:25" x14ac:dyDescent="0.2">
      <c r="A1693" s="1077"/>
      <c r="B1693" s="1444">
        <v>1443</v>
      </c>
      <c r="C1693" s="1081">
        <v>0.99374071773497374</v>
      </c>
      <c r="D1693" s="1081">
        <v>1.0013137474285558</v>
      </c>
      <c r="E1693" s="1081">
        <v>0.98209823336583624</v>
      </c>
      <c r="F1693" s="1081">
        <v>0.98860119751680364</v>
      </c>
      <c r="G1693" s="1081">
        <v>0.96225195418597254</v>
      </c>
      <c r="H1693" s="1081">
        <v>0.98299077562646975</v>
      </c>
      <c r="I1693" s="1081">
        <v>1.0169638762382345</v>
      </c>
      <c r="K1693">
        <v>2.3875617212968789</v>
      </c>
      <c r="L1693">
        <v>0</v>
      </c>
      <c r="M1693">
        <v>1.6849338389823762E-3</v>
      </c>
      <c r="N1693">
        <v>0.14523140402368812</v>
      </c>
      <c r="O1693">
        <v>2.1099743644261173E-2</v>
      </c>
      <c r="P1693">
        <v>2.7886687625384356E-2</v>
      </c>
      <c r="Q1693">
        <v>5.422424869639484E-3</v>
      </c>
      <c r="R1693">
        <v>1.6623082638084602E-3</v>
      </c>
      <c r="S1693">
        <v>0.26286122114227212</v>
      </c>
      <c r="T1693">
        <v>1.3556214909283708</v>
      </c>
      <c r="U1693">
        <v>0.21324705314485945</v>
      </c>
      <c r="V1693">
        <v>0.2395392136226443</v>
      </c>
      <c r="W1693">
        <v>9.6434988682364761E-2</v>
      </c>
      <c r="X1693">
        <v>1.5715864074253388E-2</v>
      </c>
      <c r="Y1693">
        <v>4.524255114314737E-3</v>
      </c>
    </row>
    <row r="1694" spans="1:25" x14ac:dyDescent="0.2">
      <c r="A1694" s="1077"/>
      <c r="B1694" s="1444">
        <v>1444</v>
      </c>
      <c r="C1694" s="1081">
        <v>0.98495353069161129</v>
      </c>
      <c r="D1694" s="1081">
        <v>0.99865844223456723</v>
      </c>
      <c r="E1694" s="1081">
        <v>1.0252721124848467</v>
      </c>
      <c r="F1694" s="1081">
        <v>0.9931143081381808</v>
      </c>
      <c r="G1694" s="1081">
        <v>1.0066261180844387</v>
      </c>
      <c r="H1694" s="1081">
        <v>1.0175329790295793</v>
      </c>
      <c r="I1694" s="1081">
        <v>0.98608058171354473</v>
      </c>
      <c r="K1694">
        <v>2.4247920180888149</v>
      </c>
      <c r="L1694">
        <v>0</v>
      </c>
      <c r="M1694">
        <v>1.609821577622691E-3</v>
      </c>
      <c r="N1694">
        <v>0.15815724481594301</v>
      </c>
      <c r="O1694">
        <v>2.1329538684271978E-2</v>
      </c>
      <c r="P1694">
        <v>2.9005377162201185E-2</v>
      </c>
      <c r="Q1694">
        <v>5.7241024665617771E-3</v>
      </c>
      <c r="R1694">
        <v>1.588938453551884E-3</v>
      </c>
      <c r="S1694">
        <v>0.26079267672452577</v>
      </c>
      <c r="T1694">
        <v>1.3627381020897942</v>
      </c>
      <c r="U1694">
        <v>0.21529943464846032</v>
      </c>
      <c r="V1694">
        <v>0.24752604147117457</v>
      </c>
      <c r="W1694">
        <v>0.10236483692567526</v>
      </c>
      <c r="X1694">
        <v>1.7550979547129839E-2</v>
      </c>
      <c r="Y1694">
        <v>4.3245666771477868E-3</v>
      </c>
    </row>
    <row r="1695" spans="1:25" x14ac:dyDescent="0.2">
      <c r="A1695" s="1077"/>
      <c r="B1695" s="1444">
        <v>1445</v>
      </c>
      <c r="C1695" s="1081">
        <v>1.0103046169066072</v>
      </c>
      <c r="D1695" s="1081">
        <v>1.015891998536592</v>
      </c>
      <c r="E1695" s="1081">
        <v>0.97341876136273187</v>
      </c>
      <c r="F1695" s="1081">
        <v>0.98583468178567069</v>
      </c>
      <c r="G1695" s="1081">
        <v>1.0206428666589862</v>
      </c>
      <c r="H1695" s="1081">
        <v>0.96217084254967655</v>
      </c>
      <c r="I1695" s="1081">
        <v>1.0002808269731789</v>
      </c>
      <c r="K1695">
        <v>2.3641004057998347</v>
      </c>
      <c r="L1695">
        <v>0</v>
      </c>
      <c r="M1695">
        <v>1.6463301742015162E-3</v>
      </c>
      <c r="N1695">
        <v>0.13818463262258662</v>
      </c>
      <c r="O1695">
        <v>2.0682262232366036E-2</v>
      </c>
      <c r="P1695">
        <v>2.7559695029056055E-2</v>
      </c>
      <c r="Q1695">
        <v>5.2683953605632498E-3</v>
      </c>
      <c r="R1695">
        <v>1.6237446089332392E-3</v>
      </c>
      <c r="S1695">
        <v>0.25065909942493936</v>
      </c>
      <c r="T1695">
        <v>1.351643688654615</v>
      </c>
      <c r="U1695">
        <v>0.20972161665206088</v>
      </c>
      <c r="V1695">
        <v>0.24851942348540096</v>
      </c>
      <c r="W1695">
        <v>9.2238871354110172E-2</v>
      </c>
      <c r="X1695">
        <v>1.522600899115439E-2</v>
      </c>
      <c r="Y1695">
        <v>4.4192975582497979E-3</v>
      </c>
    </row>
    <row r="1696" spans="1:25" x14ac:dyDescent="0.2">
      <c r="A1696" s="1077"/>
      <c r="B1696" s="1444">
        <v>1446</v>
      </c>
      <c r="C1696" s="1081">
        <v>1.0253039687521475</v>
      </c>
      <c r="D1696" s="1081">
        <v>1.0237187097006222</v>
      </c>
      <c r="E1696" s="1081">
        <v>0.98579276825952922</v>
      </c>
      <c r="F1696" s="1081">
        <v>1.0290336364675647</v>
      </c>
      <c r="G1696" s="1081">
        <v>0.9679280692865172</v>
      </c>
      <c r="H1696" s="1081">
        <v>1.0043791536186051</v>
      </c>
      <c r="I1696" s="1081">
        <v>1.0003400364110544</v>
      </c>
      <c r="K1696">
        <v>2.4191551258984618</v>
      </c>
      <c r="L1696">
        <v>0</v>
      </c>
      <c r="M1696">
        <v>1.6478488203143142E-3</v>
      </c>
      <c r="N1696">
        <v>0.14367268938265226</v>
      </c>
      <c r="O1696">
        <v>2.0353259169837039E-2</v>
      </c>
      <c r="P1696">
        <v>2.8434144858717418E-2</v>
      </c>
      <c r="Q1696">
        <v>5.25022094337448E-3</v>
      </c>
      <c r="R1696">
        <v>1.6261924387994669E-3</v>
      </c>
      <c r="S1696">
        <v>0.24963683466097644</v>
      </c>
      <c r="T1696">
        <v>1.4111465141158257</v>
      </c>
      <c r="U1696">
        <v>0.20669468027613938</v>
      </c>
      <c r="V1696">
        <v>0.23856375423955392</v>
      </c>
      <c r="W1696">
        <v>9.518806500401919E-2</v>
      </c>
      <c r="X1696">
        <v>1.5810659884659333E-2</v>
      </c>
      <c r="Y1696">
        <v>4.4259597442187718E-3</v>
      </c>
    </row>
    <row r="1697" spans="1:25" x14ac:dyDescent="0.2">
      <c r="A1697" s="1077"/>
      <c r="B1697" s="1444">
        <v>1447</v>
      </c>
      <c r="C1697" s="1081">
        <v>1.0168898611470849</v>
      </c>
      <c r="D1697" s="1081">
        <v>0.99200965921725215</v>
      </c>
      <c r="E1697" s="1081">
        <v>1.0064669844959702</v>
      </c>
      <c r="F1697" s="1081">
        <v>1.0125068859076507</v>
      </c>
      <c r="G1697" s="1081">
        <v>1.004522277741055</v>
      </c>
      <c r="H1697" s="1081">
        <v>0.98834432737699329</v>
      </c>
      <c r="I1697" s="1081">
        <v>1.0102836684019922</v>
      </c>
      <c r="K1697">
        <v>2.4175793662156653</v>
      </c>
      <c r="L1697">
        <v>0</v>
      </c>
      <c r="M1697">
        <v>1.5772466808102142E-3</v>
      </c>
      <c r="N1697">
        <v>0.14635141786840472</v>
      </c>
      <c r="O1697">
        <v>2.0677724363857192E-2</v>
      </c>
      <c r="P1697">
        <v>2.8790188080346949E-2</v>
      </c>
      <c r="Q1697">
        <v>5.446167520798074E-3</v>
      </c>
      <c r="R1697">
        <v>1.556181869823936E-3</v>
      </c>
      <c r="S1697">
        <v>0.25704145237719178</v>
      </c>
      <c r="T1697">
        <v>1.3889352378819162</v>
      </c>
      <c r="U1697">
        <v>0.20847439810977569</v>
      </c>
      <c r="V1697">
        <v>0.24524372991094132</v>
      </c>
      <c r="W1697">
        <v>9.5775042678345232E-2</v>
      </c>
      <c r="X1697">
        <v>1.6629658180627942E-2</v>
      </c>
      <c r="Y1697">
        <v>4.2354140544452372E-3</v>
      </c>
    </row>
    <row r="1698" spans="1:25" x14ac:dyDescent="0.2">
      <c r="A1698" s="1077"/>
      <c r="B1698" s="1444">
        <v>1448</v>
      </c>
      <c r="C1698" s="1081">
        <v>1.0263119513622854</v>
      </c>
      <c r="D1698" s="1081">
        <v>0.99268642161808673</v>
      </c>
      <c r="E1698" s="1081">
        <v>1.0135274559897178</v>
      </c>
      <c r="F1698" s="1081">
        <v>0.99322434829923101</v>
      </c>
      <c r="G1698" s="1081">
        <v>1.0150310912442426</v>
      </c>
      <c r="H1698" s="1081">
        <v>0.9820655203453581</v>
      </c>
      <c r="I1698" s="1081">
        <v>0.99403836967186643</v>
      </c>
      <c r="K1698">
        <v>2.3803695351000251</v>
      </c>
      <c r="L1698">
        <v>0</v>
      </c>
      <c r="M1698">
        <v>1.5299980763202345E-3</v>
      </c>
      <c r="N1698">
        <v>0.14501330056180317</v>
      </c>
      <c r="O1698">
        <v>2.0489398359408658E-2</v>
      </c>
      <c r="P1698">
        <v>2.8472240748462982E-2</v>
      </c>
      <c r="Q1698">
        <v>5.4347889531668192E-3</v>
      </c>
      <c r="R1698">
        <v>1.5094336480575528E-3</v>
      </c>
      <c r="S1698">
        <v>0.2500381233371145</v>
      </c>
      <c r="T1698">
        <v>1.3626358391127509</v>
      </c>
      <c r="U1698">
        <v>0.20658404407309636</v>
      </c>
      <c r="V1698">
        <v>0.24644893057329034</v>
      </c>
      <c r="W1698">
        <v>9.4505070945755637E-2</v>
      </c>
      <c r="X1698">
        <v>1.6660182058091916E-2</v>
      </c>
      <c r="Y1698">
        <v>4.1081808053443046E-3</v>
      </c>
    </row>
    <row r="1699" spans="1:25" x14ac:dyDescent="0.2">
      <c r="A1699" s="1077"/>
      <c r="B1699" s="1444">
        <v>1449</v>
      </c>
      <c r="C1699" s="1081">
        <v>1.0322648565781374</v>
      </c>
      <c r="D1699" s="1081">
        <v>1.0226237504005333</v>
      </c>
      <c r="E1699" s="1081">
        <v>1.0129444242671533</v>
      </c>
      <c r="F1699" s="1081">
        <v>0.96785958475926981</v>
      </c>
      <c r="G1699" s="1081">
        <v>1.033559863674971</v>
      </c>
      <c r="H1699" s="1081">
        <v>1.022726703168136</v>
      </c>
      <c r="I1699" s="1081">
        <v>1.0283994514636792</v>
      </c>
      <c r="K1699">
        <v>2.3600992656229649</v>
      </c>
      <c r="L1699">
        <v>0</v>
      </c>
      <c r="M1699">
        <v>1.5757442317386615E-3</v>
      </c>
      <c r="N1699">
        <v>0.14916729061773698</v>
      </c>
      <c r="O1699">
        <v>2.0238139962020344E-2</v>
      </c>
      <c r="P1699">
        <v>2.8096055310462921E-2</v>
      </c>
      <c r="Q1699">
        <v>5.365020778933448E-3</v>
      </c>
      <c r="R1699">
        <v>1.5554069760421122E-3</v>
      </c>
      <c r="S1699">
        <v>0.2568112274282443</v>
      </c>
      <c r="T1699">
        <v>1.3278248825352754</v>
      </c>
      <c r="U1699">
        <v>0.20539077257116486</v>
      </c>
      <c r="V1699">
        <v>0.24926342002010787</v>
      </c>
      <c r="W1699">
        <v>9.7245565679484836E-2</v>
      </c>
      <c r="X1699">
        <v>1.6483922926212726E-2</v>
      </c>
      <c r="Y1699">
        <v>4.2333050490147798E-3</v>
      </c>
    </row>
    <row r="1700" spans="1:25" x14ac:dyDescent="0.2">
      <c r="A1700" s="1077"/>
      <c r="B1700" s="1444">
        <v>1450</v>
      </c>
      <c r="C1700" s="1081">
        <v>1.0105196568254398</v>
      </c>
      <c r="D1700" s="1081">
        <v>0.97449915578035751</v>
      </c>
      <c r="E1700" s="1081">
        <v>0.98393223849538991</v>
      </c>
      <c r="F1700" s="1081">
        <v>0.95896487364269056</v>
      </c>
      <c r="G1700" s="1081">
        <v>0.98234617791488976</v>
      </c>
      <c r="H1700" s="1081">
        <v>1.0305673862304872</v>
      </c>
      <c r="I1700" s="1081">
        <v>0.96654963543922967</v>
      </c>
      <c r="K1700">
        <v>2.3444033742898176</v>
      </c>
      <c r="L1700">
        <v>0</v>
      </c>
      <c r="M1700">
        <v>1.7409402299848593E-3</v>
      </c>
      <c r="N1700">
        <v>0.15098845766965902</v>
      </c>
      <c r="O1700">
        <v>2.0874887761758335E-2</v>
      </c>
      <c r="P1700">
        <v>2.7229139569373027E-2</v>
      </c>
      <c r="Q1700">
        <v>5.3746317873314365E-3</v>
      </c>
      <c r="R1700">
        <v>1.7186418308424549E-3</v>
      </c>
      <c r="S1700">
        <v>0.2529715825196262</v>
      </c>
      <c r="T1700">
        <v>1.3150205248055422</v>
      </c>
      <c r="U1700">
        <v>0.20971242887440467</v>
      </c>
      <c r="V1700">
        <v>0.2419236825583963</v>
      </c>
      <c r="W1700">
        <v>0.10014702446289951</v>
      </c>
      <c r="X1700">
        <v>1.5505736166540239E-2</v>
      </c>
      <c r="Y1700">
        <v>4.6775765134258896E-3</v>
      </c>
    </row>
    <row r="1701" spans="1:25" x14ac:dyDescent="0.2">
      <c r="A1701" s="1077"/>
      <c r="B1701" s="1444">
        <v>1451</v>
      </c>
      <c r="C1701" s="1081">
        <v>0.96811956975307234</v>
      </c>
      <c r="D1701" s="1081">
        <v>0.96887421275336072</v>
      </c>
      <c r="E1701" s="1081">
        <v>1.0258590890059653</v>
      </c>
      <c r="F1701" s="1081">
        <v>0.96538304961333443</v>
      </c>
      <c r="G1701" s="1081">
        <v>1.0019612147067749</v>
      </c>
      <c r="H1701" s="1081">
        <v>1.0421331195048782</v>
      </c>
      <c r="I1701" s="1081">
        <v>1.0276412114180848</v>
      </c>
      <c r="K1701">
        <v>2.4268488396692676</v>
      </c>
      <c r="L1701">
        <v>0</v>
      </c>
      <c r="M1701">
        <v>1.6865578834669237E-3</v>
      </c>
      <c r="N1701">
        <v>0.16604126764723115</v>
      </c>
      <c r="O1701">
        <v>2.1845862671870043E-2</v>
      </c>
      <c r="P1701">
        <v>2.8853713675031947E-2</v>
      </c>
      <c r="Q1701">
        <v>5.8660774043722214E-3</v>
      </c>
      <c r="R1701">
        <v>1.6651957673619639E-3</v>
      </c>
      <c r="S1701">
        <v>0.28298311400729903</v>
      </c>
      <c r="T1701">
        <v>1.3246979590274555</v>
      </c>
      <c r="U1701">
        <v>0.21904520798736785</v>
      </c>
      <c r="V1701">
        <v>0.24782988235854583</v>
      </c>
      <c r="W1701">
        <v>0.10743091069683738</v>
      </c>
      <c r="X1701">
        <v>1.7744092362236646E-2</v>
      </c>
      <c r="Y1701">
        <v>4.5321139471220838E-3</v>
      </c>
    </row>
    <row r="1702" spans="1:25" x14ac:dyDescent="0.2">
      <c r="A1702" s="1077"/>
      <c r="B1702" s="1444">
        <v>1452</v>
      </c>
      <c r="C1702" s="1081">
        <v>1.038998153132263</v>
      </c>
      <c r="D1702" s="1081">
        <v>0.98326201386546741</v>
      </c>
      <c r="E1702" s="1081">
        <v>1.0102887052100766</v>
      </c>
      <c r="F1702" s="1081">
        <v>1.0199148969201361</v>
      </c>
      <c r="G1702" s="1081">
        <v>0.97306324326412352</v>
      </c>
      <c r="H1702" s="1081">
        <v>1.0165346078396076</v>
      </c>
      <c r="I1702" s="1081">
        <v>0.9937877153545106</v>
      </c>
      <c r="K1702">
        <v>2.4129337169747092</v>
      </c>
      <c r="L1702">
        <v>0</v>
      </c>
      <c r="M1702">
        <v>1.5782348623772746E-3</v>
      </c>
      <c r="N1702">
        <v>0.14819833553855952</v>
      </c>
      <c r="O1702">
        <v>2.0279660901873831E-2</v>
      </c>
      <c r="P1702">
        <v>2.8775385132606579E-2</v>
      </c>
      <c r="Q1702">
        <v>5.3617873101821237E-3</v>
      </c>
      <c r="R1702">
        <v>1.5577413837982578E-3</v>
      </c>
      <c r="S1702">
        <v>0.25090338744922425</v>
      </c>
      <c r="T1702">
        <v>1.3991818327746945</v>
      </c>
      <c r="U1702">
        <v>0.2040509712215289</v>
      </c>
      <c r="V1702">
        <v>0.23855344915376045</v>
      </c>
      <c r="W1702">
        <v>9.6765106131765283E-2</v>
      </c>
      <c r="X1702">
        <v>1.6644636301699097E-2</v>
      </c>
      <c r="Y1702">
        <v>4.2396585373896982E-3</v>
      </c>
    </row>
    <row r="1703" spans="1:25" x14ac:dyDescent="0.2">
      <c r="A1703" s="1077"/>
      <c r="B1703" s="1444">
        <v>1453</v>
      </c>
      <c r="C1703" s="1081">
        <v>1.0022710456100885</v>
      </c>
      <c r="D1703" s="1081">
        <v>1.020818865068281</v>
      </c>
      <c r="E1703" s="1081">
        <v>1.0358807694117185</v>
      </c>
      <c r="F1703" s="1081">
        <v>0.99555928606666833</v>
      </c>
      <c r="G1703" s="1081">
        <v>0.97789249574799186</v>
      </c>
      <c r="H1703" s="1081">
        <v>0.99829055967707914</v>
      </c>
      <c r="I1703" s="1081">
        <v>0.97958640782280448</v>
      </c>
      <c r="K1703">
        <v>2.3987729526712829</v>
      </c>
      <c r="L1703">
        <v>0</v>
      </c>
      <c r="M1703">
        <v>1.5108398162061712E-3</v>
      </c>
      <c r="N1703">
        <v>0.15321741537171296</v>
      </c>
      <c r="O1703">
        <v>2.0867060732955356E-2</v>
      </c>
      <c r="P1703">
        <v>2.8996826242876989E-2</v>
      </c>
      <c r="Q1703">
        <v>5.6590167487996935E-3</v>
      </c>
      <c r="R1703">
        <v>1.4908629355207962E-3</v>
      </c>
      <c r="S1703">
        <v>0.25032179009280658</v>
      </c>
      <c r="T1703">
        <v>1.3663228526473419</v>
      </c>
      <c r="U1703">
        <v>0.21161577905596471</v>
      </c>
      <c r="V1703">
        <v>0.24149190739808818</v>
      </c>
      <c r="W1703">
        <v>9.8559076419808711E-2</v>
      </c>
      <c r="X1703">
        <v>1.7683567393960299E-2</v>
      </c>
      <c r="Y1703">
        <v>4.0576374476529956E-3</v>
      </c>
    </row>
    <row r="1704" spans="1:25" x14ac:dyDescent="0.2">
      <c r="A1704" s="1077"/>
      <c r="B1704" s="1444">
        <v>1454</v>
      </c>
      <c r="C1704" s="1081">
        <v>1.0178186350186871</v>
      </c>
      <c r="D1704" s="1081">
        <v>1.0084875409884761</v>
      </c>
      <c r="E1704" s="1081">
        <v>1.0103673430861699</v>
      </c>
      <c r="F1704" s="1081">
        <v>0.98316868431234661</v>
      </c>
      <c r="G1704" s="1081">
        <v>0.97609874883734626</v>
      </c>
      <c r="H1704" s="1081">
        <v>1.0309901680647882</v>
      </c>
      <c r="I1704" s="1081">
        <v>0.99829678179903969</v>
      </c>
      <c r="K1704">
        <v>2.3800906811393214</v>
      </c>
      <c r="L1704">
        <v>0</v>
      </c>
      <c r="M1704">
        <v>1.6246399555169145E-3</v>
      </c>
      <c r="N1704">
        <v>0.15262020337572099</v>
      </c>
      <c r="O1704">
        <v>2.0586658825335669E-2</v>
      </c>
      <c r="P1704">
        <v>2.822640711700089E-2</v>
      </c>
      <c r="Q1704">
        <v>5.4433830214142961E-3</v>
      </c>
      <c r="R1704">
        <v>1.6038396925988725E-3</v>
      </c>
      <c r="S1704">
        <v>0.25525425563830534</v>
      </c>
      <c r="T1704">
        <v>1.3487727993568595</v>
      </c>
      <c r="U1704">
        <v>0.20829727829854866</v>
      </c>
      <c r="V1704">
        <v>0.24032121649931806</v>
      </c>
      <c r="W1704">
        <v>9.9647715321293268E-2</v>
      </c>
      <c r="X1704">
        <v>1.657644101080042E-2</v>
      </c>
      <c r="Y1704">
        <v>4.3651229376415572E-3</v>
      </c>
    </row>
    <row r="1705" spans="1:25" x14ac:dyDescent="0.2">
      <c r="A1705" s="1077"/>
      <c r="B1705" s="1444">
        <v>1455</v>
      </c>
      <c r="C1705" s="1081">
        <v>0.96067372877707646</v>
      </c>
      <c r="D1705" s="1081">
        <v>0.96864661109411965</v>
      </c>
      <c r="E1705" s="1081">
        <v>0.98705411146838462</v>
      </c>
      <c r="F1705" s="1081">
        <v>1.0312195127348376</v>
      </c>
      <c r="G1705" s="1081">
        <v>1.0098101496855298</v>
      </c>
      <c r="H1705" s="1081">
        <v>0.97599913304257613</v>
      </c>
      <c r="I1705" s="1081">
        <v>1.0197306456458501</v>
      </c>
      <c r="K1705">
        <v>2.4901901685185135</v>
      </c>
      <c r="L1705">
        <v>0</v>
      </c>
      <c r="M1705">
        <v>1.7254219310665704E-3</v>
      </c>
      <c r="N1705">
        <v>0.15095260741313435</v>
      </c>
      <c r="O1705">
        <v>2.198929684156585E-2</v>
      </c>
      <c r="P1705">
        <v>2.9207208153750042E-2</v>
      </c>
      <c r="Q1705">
        <v>5.679495393330969E-3</v>
      </c>
      <c r="R1705">
        <v>1.7020867002837115E-3</v>
      </c>
      <c r="S1705">
        <v>0.27665604330815541</v>
      </c>
      <c r="T1705">
        <v>1.4141721298838941</v>
      </c>
      <c r="U1705">
        <v>0.2206047400835455</v>
      </c>
      <c r="V1705">
        <v>0.24980734579303834</v>
      </c>
      <c r="W1705">
        <v>9.9935503274235768E-2</v>
      </c>
      <c r="X1705">
        <v>1.6576614699200395E-2</v>
      </c>
      <c r="Y1705">
        <v>4.6325189054423109E-3</v>
      </c>
    </row>
    <row r="1706" spans="1:25" x14ac:dyDescent="0.2">
      <c r="A1706" s="1077"/>
      <c r="B1706" s="1444">
        <v>1456</v>
      </c>
      <c r="C1706" s="1081">
        <v>0.99968865821887487</v>
      </c>
      <c r="D1706" s="1081">
        <v>1.0257475510723739</v>
      </c>
      <c r="E1706" s="1081">
        <v>1.0058463080491178</v>
      </c>
      <c r="F1706" s="1081">
        <v>0.99380997524819459</v>
      </c>
      <c r="G1706" s="1081">
        <v>1.0165589194758999</v>
      </c>
      <c r="H1706" s="1081">
        <v>0.9851011146127161</v>
      </c>
      <c r="I1706" s="1081">
        <v>1.0338773325355304</v>
      </c>
      <c r="K1706">
        <v>2.4059169206397071</v>
      </c>
      <c r="L1706">
        <v>0</v>
      </c>
      <c r="M1706">
        <v>1.5894452626019381E-3</v>
      </c>
      <c r="N1706">
        <v>0.14720057755927338</v>
      </c>
      <c r="O1706">
        <v>2.0878916309562377E-2</v>
      </c>
      <c r="P1706">
        <v>2.8596489772742699E-2</v>
      </c>
      <c r="Q1706">
        <v>5.4957399699432658E-3</v>
      </c>
      <c r="R1706">
        <v>1.5681476470025067E-3</v>
      </c>
      <c r="S1706">
        <v>0.26283750262945771</v>
      </c>
      <c r="T1706">
        <v>1.3632738592074589</v>
      </c>
      <c r="U1706">
        <v>0.21205940105036339</v>
      </c>
      <c r="V1706">
        <v>0.2483569882266527</v>
      </c>
      <c r="W1706">
        <v>9.6366118627411887E-2</v>
      </c>
      <c r="X1706">
        <v>1.660464394702894E-2</v>
      </c>
      <c r="Y1706">
        <v>4.2679809554079205E-3</v>
      </c>
    </row>
    <row r="1707" spans="1:25" x14ac:dyDescent="0.2">
      <c r="A1707" s="1077"/>
      <c r="B1707" s="1444">
        <v>1457</v>
      </c>
      <c r="C1707" s="1081">
        <v>1.0384358665694098</v>
      </c>
      <c r="D1707" s="1081">
        <v>0.97979865626082407</v>
      </c>
      <c r="E1707" s="1081">
        <v>1.0409951334058511</v>
      </c>
      <c r="F1707" s="1081">
        <v>0.97617685486755079</v>
      </c>
      <c r="G1707" s="1081">
        <v>1.0207901476242112</v>
      </c>
      <c r="H1707" s="1081">
        <v>0.985628570227704</v>
      </c>
      <c r="I1707" s="1081">
        <v>0.9746992239520551</v>
      </c>
      <c r="K1707">
        <v>2.3538642131903584</v>
      </c>
      <c r="L1707">
        <v>0</v>
      </c>
      <c r="M1707">
        <v>1.4373572163621526E-3</v>
      </c>
      <c r="N1707">
        <v>0.14800326949805201</v>
      </c>
      <c r="O1707">
        <v>2.0326188658433875E-2</v>
      </c>
      <c r="P1707">
        <v>2.8616933076737194E-2</v>
      </c>
      <c r="Q1707">
        <v>5.5401502902843111E-3</v>
      </c>
      <c r="R1707">
        <v>1.4181077963665344E-3</v>
      </c>
      <c r="S1707">
        <v>0.24441194330361482</v>
      </c>
      <c r="T1707">
        <v>1.339830846082704</v>
      </c>
      <c r="U1707">
        <v>0.20426292778504068</v>
      </c>
      <c r="V1707">
        <v>0.24662275633818156</v>
      </c>
      <c r="W1707">
        <v>9.4924645637691887E-2</v>
      </c>
      <c r="X1707">
        <v>1.7484179997015015E-2</v>
      </c>
      <c r="Y1707">
        <v>3.859621942600271E-3</v>
      </c>
    </row>
    <row r="1708" spans="1:25" x14ac:dyDescent="0.2">
      <c r="A1708" s="1077"/>
      <c r="B1708" s="1444">
        <v>1458</v>
      </c>
      <c r="C1708" s="1081">
        <v>1.0026383715392695</v>
      </c>
      <c r="D1708" s="1081">
        <v>1.0220689288907701</v>
      </c>
      <c r="E1708" s="1081">
        <v>0.99481584578487037</v>
      </c>
      <c r="F1708" s="1081">
        <v>0.9772639731539734</v>
      </c>
      <c r="G1708" s="1081">
        <v>0.96645571691281529</v>
      </c>
      <c r="H1708" s="1081">
        <v>1.0375855372512501</v>
      </c>
      <c r="I1708" s="1081">
        <v>1.0386599841016257</v>
      </c>
      <c r="K1708">
        <v>2.3887364502905548</v>
      </c>
      <c r="L1708">
        <v>0</v>
      </c>
      <c r="M1708">
        <v>1.709187809285096E-3</v>
      </c>
      <c r="N1708">
        <v>0.15320724064600472</v>
      </c>
      <c r="O1708">
        <v>2.0826685408918039E-2</v>
      </c>
      <c r="P1708">
        <v>2.7997221586849225E-2</v>
      </c>
      <c r="Q1708">
        <v>5.4215562849570824E-3</v>
      </c>
      <c r="R1708">
        <v>1.687444176975701E-3</v>
      </c>
      <c r="S1708">
        <v>0.26825918230306528</v>
      </c>
      <c r="T1708">
        <v>1.3403434698844847</v>
      </c>
      <c r="U1708">
        <v>0.21139792524942133</v>
      </c>
      <c r="V1708">
        <v>0.23965634338948835</v>
      </c>
      <c r="W1708">
        <v>0.10095796858037115</v>
      </c>
      <c r="X1708">
        <v>1.6097933805397476E-2</v>
      </c>
      <c r="Y1708">
        <v>4.5926667839044175E-3</v>
      </c>
    </row>
    <row r="1709" spans="1:25" x14ac:dyDescent="0.2">
      <c r="A1709" s="1077"/>
      <c r="B1709" s="1444">
        <v>1459</v>
      </c>
      <c r="C1709" s="1081">
        <v>1.0000373388058361</v>
      </c>
      <c r="D1709" s="1081">
        <v>1.004898001416868</v>
      </c>
      <c r="E1709" s="1081">
        <v>1.0141456907837774</v>
      </c>
      <c r="F1709" s="1081">
        <v>0.98503245110147963</v>
      </c>
      <c r="G1709" s="1081">
        <v>0.9619418532275178</v>
      </c>
      <c r="H1709" s="1081">
        <v>0.99636078663282013</v>
      </c>
      <c r="I1709" s="1081">
        <v>0.96212228232651331</v>
      </c>
      <c r="K1709">
        <v>2.375147190000356</v>
      </c>
      <c r="L1709">
        <v>0</v>
      </c>
      <c r="M1709">
        <v>1.5867332120896793E-3</v>
      </c>
      <c r="N1709">
        <v>0.15070099097622483</v>
      </c>
      <c r="O1709">
        <v>2.097165497808938E-2</v>
      </c>
      <c r="P1709">
        <v>2.827454763539131E-2</v>
      </c>
      <c r="Q1709">
        <v>5.5661385636148544E-3</v>
      </c>
      <c r="R1709">
        <v>1.5657122057277403E-3</v>
      </c>
      <c r="S1709">
        <v>0.24802086483688826</v>
      </c>
      <c r="T1709">
        <v>1.3514103240701756</v>
      </c>
      <c r="U1709">
        <v>0.2120138748201279</v>
      </c>
      <c r="V1709">
        <v>0.23898180519820181</v>
      </c>
      <c r="W1709">
        <v>9.8176045589199373E-2</v>
      </c>
      <c r="X1709">
        <v>1.679061185170275E-2</v>
      </c>
      <c r="Y1709">
        <v>4.2613524871010057E-3</v>
      </c>
    </row>
    <row r="1710" spans="1:25" x14ac:dyDescent="0.2">
      <c r="A1710" s="1077"/>
      <c r="B1710" s="1444">
        <v>1460</v>
      </c>
      <c r="C1710" s="1081">
        <v>0.97262363065311441</v>
      </c>
      <c r="D1710" s="1081">
        <v>0.97937878324751004</v>
      </c>
      <c r="E1710" s="1081">
        <v>1.0089219821903306</v>
      </c>
      <c r="F1710" s="1081">
        <v>1.0237798275822831</v>
      </c>
      <c r="G1710" s="1081">
        <v>1.0329455214389958</v>
      </c>
      <c r="H1710" s="1081">
        <v>1.0246920065737088</v>
      </c>
      <c r="I1710" s="1081">
        <v>1.0009173858813765</v>
      </c>
      <c r="K1710">
        <v>2.4890493489257208</v>
      </c>
      <c r="L1710">
        <v>0</v>
      </c>
      <c r="M1710">
        <v>1.7057834884385244E-3</v>
      </c>
      <c r="N1710">
        <v>0.15953246387905751</v>
      </c>
      <c r="O1710">
        <v>2.1681530665704035E-2</v>
      </c>
      <c r="P1710">
        <v>2.9485458840190347E-2</v>
      </c>
      <c r="Q1710">
        <v>5.7246027868705241E-3</v>
      </c>
      <c r="R1710">
        <v>1.6838101129950122E-3</v>
      </c>
      <c r="S1710">
        <v>0.27119094526259463</v>
      </c>
      <c r="T1710">
        <v>1.404453661096327</v>
      </c>
      <c r="U1710">
        <v>0.21797116257369009</v>
      </c>
      <c r="V1710">
        <v>0.25288048223643189</v>
      </c>
      <c r="W1710">
        <v>0.10424965853799469</v>
      </c>
      <c r="X1710">
        <v>1.7318580362583848E-2</v>
      </c>
      <c r="Y1710">
        <v>4.5827760597178515E-3</v>
      </c>
    </row>
    <row r="1711" spans="1:25" x14ac:dyDescent="0.2">
      <c r="A1711" s="1077"/>
      <c r="B1711" s="1444">
        <v>1461</v>
      </c>
      <c r="C1711" s="1081">
        <v>1.0066719822847197</v>
      </c>
      <c r="D1711" s="1081">
        <v>0.99599386413762847</v>
      </c>
      <c r="E1711" s="1081">
        <v>1.0288692455464996</v>
      </c>
      <c r="F1711" s="1081">
        <v>1.0211183759799018</v>
      </c>
      <c r="G1711" s="1081">
        <v>0.95377705789403422</v>
      </c>
      <c r="H1711" s="1081">
        <v>0.97888434702165361</v>
      </c>
      <c r="I1711" s="1081">
        <v>0.96523922500386694</v>
      </c>
      <c r="K1711">
        <v>2.4191308126413098</v>
      </c>
      <c r="L1711">
        <v>0</v>
      </c>
      <c r="M1711">
        <v>1.5048380749250517E-3</v>
      </c>
      <c r="N1711">
        <v>0.14937782171501265</v>
      </c>
      <c r="O1711">
        <v>2.0884017926794778E-2</v>
      </c>
      <c r="P1711">
        <v>2.921607161775636E-2</v>
      </c>
      <c r="Q1711">
        <v>5.6245403205319117E-3</v>
      </c>
      <c r="R1711">
        <v>1.4845460865175644E-3</v>
      </c>
      <c r="S1711">
        <v>0.24697724061367113</v>
      </c>
      <c r="T1711">
        <v>1.4012447698823234</v>
      </c>
      <c r="U1711">
        <v>0.21066671989796307</v>
      </c>
      <c r="V1711">
        <v>0.23712827755693963</v>
      </c>
      <c r="W1711">
        <v>9.6480359871988594E-2</v>
      </c>
      <c r="X1711">
        <v>1.7510840159718322E-2</v>
      </c>
      <c r="Y1711">
        <v>4.0404450670149137E-3</v>
      </c>
    </row>
    <row r="1712" spans="1:25" x14ac:dyDescent="0.2">
      <c r="A1712" s="1077"/>
      <c r="B1712" s="1444">
        <v>1462</v>
      </c>
      <c r="C1712" s="1081">
        <v>1.0041889980102832</v>
      </c>
      <c r="D1712" s="1081">
        <v>1.0067528891808424</v>
      </c>
      <c r="E1712" s="1081">
        <v>1.0024998122986635</v>
      </c>
      <c r="F1712" s="1081">
        <v>1.0283610368545113</v>
      </c>
      <c r="G1712" s="1081">
        <v>1.0390264221816148</v>
      </c>
      <c r="H1712" s="1081">
        <v>0.98614950632365628</v>
      </c>
      <c r="I1712" s="1081">
        <v>0.99838243822812556</v>
      </c>
      <c r="K1712">
        <v>2.4482909859422541</v>
      </c>
      <c r="L1712">
        <v>0</v>
      </c>
      <c r="M1712">
        <v>1.6016196077357941E-3</v>
      </c>
      <c r="N1712">
        <v>0.14683852154343285</v>
      </c>
      <c r="O1712">
        <v>2.0868784063110941E-2</v>
      </c>
      <c r="P1712">
        <v>2.91024432528319E-2</v>
      </c>
      <c r="Q1712">
        <v>5.4746687118433996E-3</v>
      </c>
      <c r="R1712">
        <v>1.580181678464562E-3</v>
      </c>
      <c r="S1712">
        <v>0.25511095197615952</v>
      </c>
      <c r="T1712">
        <v>1.4105953064140486</v>
      </c>
      <c r="U1712">
        <v>0.21109764394531255</v>
      </c>
      <c r="V1712">
        <v>0.25192600220940425</v>
      </c>
      <c r="W1712">
        <v>9.6319854278789141E-2</v>
      </c>
      <c r="X1712">
        <v>1.6677513854560976E-2</v>
      </c>
      <c r="Y1712">
        <v>4.3007336220302296E-3</v>
      </c>
    </row>
    <row r="1713" spans="1:25" x14ac:dyDescent="0.2">
      <c r="A1713" s="1077"/>
      <c r="B1713" s="1444">
        <v>1463</v>
      </c>
      <c r="C1713" s="1081">
        <v>1.0268596774052763</v>
      </c>
      <c r="D1713" s="1081">
        <v>1.0291948610255186</v>
      </c>
      <c r="E1713" s="1081">
        <v>0.98455071936471827</v>
      </c>
      <c r="F1713" s="1081">
        <v>1.00023319664304</v>
      </c>
      <c r="G1713" s="1081">
        <v>0.98984454477179673</v>
      </c>
      <c r="H1713" s="1081">
        <v>1.016139572954764</v>
      </c>
      <c r="I1713" s="1081">
        <v>1.0092768093411133</v>
      </c>
      <c r="K1713">
        <v>2.386369022557091</v>
      </c>
      <c r="L1713">
        <v>0</v>
      </c>
      <c r="M1713">
        <v>1.6669445668503564E-3</v>
      </c>
      <c r="N1713">
        <v>0.14481497716547378</v>
      </c>
      <c r="O1713">
        <v>2.0297789342824685E-2</v>
      </c>
      <c r="P1713">
        <v>2.7948402327313927E-2</v>
      </c>
      <c r="Q1713">
        <v>5.2293254637540117E-3</v>
      </c>
      <c r="R1713">
        <v>1.6452907723325846E-3</v>
      </c>
      <c r="S1713">
        <v>0.25178621678378654</v>
      </c>
      <c r="T1713">
        <v>1.371624768121396</v>
      </c>
      <c r="U1713">
        <v>0.20637740979421326</v>
      </c>
      <c r="V1713">
        <v>0.24222027092063875</v>
      </c>
      <c r="W1713">
        <v>9.6016558792272277E-2</v>
      </c>
      <c r="X1713">
        <v>1.5597018527605269E-2</v>
      </c>
      <c r="Y1713">
        <v>4.4779391123319599E-3</v>
      </c>
    </row>
    <row r="1714" spans="1:25" x14ac:dyDescent="0.2">
      <c r="A1714" s="1077"/>
      <c r="B1714" s="1444">
        <v>1464</v>
      </c>
      <c r="C1714" s="1081">
        <v>1.0273219446951072</v>
      </c>
      <c r="D1714" s="1081">
        <v>0.95253951134598425</v>
      </c>
      <c r="E1714" s="1081">
        <v>1.0048644286511788</v>
      </c>
      <c r="F1714" s="1081">
        <v>1.026861595887504</v>
      </c>
      <c r="G1714" s="1081">
        <v>1.035730822117948</v>
      </c>
      <c r="H1714" s="1081">
        <v>1.0066446794438033</v>
      </c>
      <c r="I1714" s="1081">
        <v>1.0342292627134231</v>
      </c>
      <c r="K1714">
        <v>2.4547315219216173</v>
      </c>
      <c r="L1714">
        <v>0</v>
      </c>
      <c r="M1714">
        <v>1.6097524101997577E-3</v>
      </c>
      <c r="N1714">
        <v>0.14868303613218967</v>
      </c>
      <c r="O1714">
        <v>2.0650344731749832E-2</v>
      </c>
      <c r="P1714">
        <v>2.9202961773119211E-2</v>
      </c>
      <c r="Q1714">
        <v>5.4302292264280551E-3</v>
      </c>
      <c r="R1714">
        <v>1.5886443122905881E-3</v>
      </c>
      <c r="S1714">
        <v>0.26743357375131677</v>
      </c>
      <c r="T1714">
        <v>1.4085910893524003</v>
      </c>
      <c r="U1714">
        <v>0.20635207892028062</v>
      </c>
      <c r="V1714">
        <v>0.2499551798677023</v>
      </c>
      <c r="W1714">
        <v>9.7393202990897654E-2</v>
      </c>
      <c r="X1714">
        <v>1.6737167151845048E-2</v>
      </c>
      <c r="Y1714">
        <v>4.32376612159818E-3</v>
      </c>
    </row>
    <row r="1715" spans="1:25" x14ac:dyDescent="0.2">
      <c r="A1715" s="1077"/>
      <c r="B1715" s="1444">
        <v>1465</v>
      </c>
      <c r="C1715" s="1081">
        <v>1.0011004146883842</v>
      </c>
      <c r="D1715" s="1081">
        <v>0.98890349969648783</v>
      </c>
      <c r="E1715" s="1081">
        <v>0.97836405808304727</v>
      </c>
      <c r="F1715" s="1081">
        <v>0.98405897702798772</v>
      </c>
      <c r="G1715" s="1081">
        <v>1.0322969458787767</v>
      </c>
      <c r="H1715" s="1081">
        <v>1.0287196821129139</v>
      </c>
      <c r="I1715" s="1081">
        <v>1.0222084282133856</v>
      </c>
      <c r="K1715">
        <v>2.4057720009070422</v>
      </c>
      <c r="L1715">
        <v>0</v>
      </c>
      <c r="M1715">
        <v>1.7687685095751707E-3</v>
      </c>
      <c r="N1715">
        <v>0.15083587267569129</v>
      </c>
      <c r="O1715">
        <v>2.0999697742779166E-2</v>
      </c>
      <c r="P1715">
        <v>2.7923778563159952E-2</v>
      </c>
      <c r="Q1715">
        <v>5.3762727734232123E-3</v>
      </c>
      <c r="R1715">
        <v>1.746072988050403E-3</v>
      </c>
      <c r="S1715">
        <v>0.26787284616155321</v>
      </c>
      <c r="T1715">
        <v>1.3493138090064356</v>
      </c>
      <c r="U1715">
        <v>0.21166663483252079</v>
      </c>
      <c r="V1715">
        <v>0.25105971323138232</v>
      </c>
      <c r="W1715">
        <v>0.1003824517612406</v>
      </c>
      <c r="X1715">
        <v>1.5611384599714158E-2</v>
      </c>
      <c r="Y1715">
        <v>4.7522350806673795E-3</v>
      </c>
    </row>
    <row r="1716" spans="1:25" x14ac:dyDescent="0.2">
      <c r="A1716" s="1077"/>
      <c r="B1716" s="1444">
        <v>1466</v>
      </c>
      <c r="C1716" s="1081">
        <v>0.96705206260162624</v>
      </c>
      <c r="D1716" s="1081">
        <v>1.0185123742993858</v>
      </c>
      <c r="E1716" s="1081">
        <v>0.9954223772323707</v>
      </c>
      <c r="F1716" s="1081">
        <v>0.99346900036219477</v>
      </c>
      <c r="G1716" s="1081">
        <v>1.0057385594105714</v>
      </c>
      <c r="H1716" s="1081">
        <v>1.0112787783983788</v>
      </c>
      <c r="I1716" s="1081">
        <v>1.036577830995675</v>
      </c>
      <c r="K1716">
        <v>2.4401940358688048</v>
      </c>
      <c r="L1716">
        <v>0</v>
      </c>
      <c r="M1716">
        <v>1.7263080851165819E-3</v>
      </c>
      <c r="N1716">
        <v>0.15497381493677478</v>
      </c>
      <c r="O1716">
        <v>2.1610061402477974E-2</v>
      </c>
      <c r="P1716">
        <v>2.8641298337237581E-2</v>
      </c>
      <c r="Q1716">
        <v>5.6289230150432974E-3</v>
      </c>
      <c r="R1716">
        <v>1.7037753646384224E-3</v>
      </c>
      <c r="S1716">
        <v>0.27566906456435508</v>
      </c>
      <c r="T1716">
        <v>1.3625821143546137</v>
      </c>
      <c r="U1716">
        <v>0.21917924730923677</v>
      </c>
      <c r="V1716">
        <v>0.24865329463957966</v>
      </c>
      <c r="W1716">
        <v>0.10208512702269877</v>
      </c>
      <c r="X1716">
        <v>1.6556508114117928E-2</v>
      </c>
      <c r="Y1716">
        <v>4.63711489314778E-3</v>
      </c>
    </row>
    <row r="1717" spans="1:25" x14ac:dyDescent="0.2">
      <c r="A1717" s="1077"/>
      <c r="B1717" s="1444">
        <v>1467</v>
      </c>
      <c r="C1717" s="1081">
        <v>0.99687208920812709</v>
      </c>
      <c r="D1717" s="1081">
        <v>1.039711323265011</v>
      </c>
      <c r="E1717" s="1081">
        <v>0.98312619211916707</v>
      </c>
      <c r="F1717" s="1081">
        <v>0.97929129008670301</v>
      </c>
      <c r="G1717" s="1081">
        <v>1.0029954067712938</v>
      </c>
      <c r="H1717" s="1081">
        <v>1.0329681816813314</v>
      </c>
      <c r="I1717" s="1081">
        <v>0.99439976900769422</v>
      </c>
      <c r="K1717">
        <v>2.3831035320170524</v>
      </c>
      <c r="L1717">
        <v>0</v>
      </c>
      <c r="M1717">
        <v>1.7467675357427522E-3</v>
      </c>
      <c r="N1717">
        <v>0.15112948527053116</v>
      </c>
      <c r="O1717">
        <v>2.0860731990471868E-2</v>
      </c>
      <c r="P1717">
        <v>2.7721682449063614E-2</v>
      </c>
      <c r="Q1717">
        <v>5.3665972860870844E-3</v>
      </c>
      <c r="R1717">
        <v>1.7244464977861538E-3</v>
      </c>
      <c r="S1717">
        <v>0.25565833254213788</v>
      </c>
      <c r="T1717">
        <v>1.3428769553392563</v>
      </c>
      <c r="U1717">
        <v>0.21258071718331034</v>
      </c>
      <c r="V1717">
        <v>0.24629960341135113</v>
      </c>
      <c r="W1717">
        <v>0.10028922830651907</v>
      </c>
      <c r="X1717">
        <v>1.5649144372943038E-2</v>
      </c>
      <c r="Y1717">
        <v>4.6933749033386922E-3</v>
      </c>
    </row>
    <row r="1718" spans="1:25" x14ac:dyDescent="0.2">
      <c r="A1718" s="1077"/>
      <c r="B1718" s="1444">
        <v>1468</v>
      </c>
      <c r="C1718" s="1081">
        <v>1.0137179631640822</v>
      </c>
      <c r="D1718" s="1081">
        <v>0.9907612027960665</v>
      </c>
      <c r="E1718" s="1081">
        <v>1.0029307273215236</v>
      </c>
      <c r="F1718" s="1081">
        <v>0.97549906299158218</v>
      </c>
      <c r="G1718" s="1081">
        <v>0.98717489229721445</v>
      </c>
      <c r="H1718" s="1081">
        <v>0.97266627087342006</v>
      </c>
      <c r="I1718" s="1081">
        <v>0.99402117961675407</v>
      </c>
      <c r="K1718">
        <v>2.3551980096562226</v>
      </c>
      <c r="L1718">
        <v>0</v>
      </c>
      <c r="M1718">
        <v>1.5689904030162583E-3</v>
      </c>
      <c r="N1718">
        <v>0.14400730403423803</v>
      </c>
      <c r="O1718">
        <v>2.0745850256353605E-2</v>
      </c>
      <c r="P1718">
        <v>2.7928613520866362E-2</v>
      </c>
      <c r="Q1718">
        <v>5.4447728769914817E-3</v>
      </c>
      <c r="R1718">
        <v>1.5476980994437997E-3</v>
      </c>
      <c r="S1718">
        <v>0.25251700480162081</v>
      </c>
      <c r="T1718">
        <v>1.3380940203885174</v>
      </c>
      <c r="U1718">
        <v>0.20911477634960071</v>
      </c>
      <c r="V1718">
        <v>0.24248628074962841</v>
      </c>
      <c r="W1718">
        <v>9.4438557261443609E-2</v>
      </c>
      <c r="X1718">
        <v>1.6229797692388918E-2</v>
      </c>
      <c r="Y1718">
        <v>4.2123240281446593E-3</v>
      </c>
    </row>
    <row r="1719" spans="1:25" x14ac:dyDescent="0.2">
      <c r="A1719" s="1077"/>
      <c r="B1719" s="1444">
        <v>1469</v>
      </c>
      <c r="C1719" s="1081">
        <v>1.0257347698672861</v>
      </c>
      <c r="D1719" s="1081">
        <v>0.97070526849648753</v>
      </c>
      <c r="E1719" s="1081">
        <v>1.0015781862201889</v>
      </c>
      <c r="F1719" s="1081">
        <v>0.98921174525454558</v>
      </c>
      <c r="G1719" s="1081">
        <v>0.97842877094711556</v>
      </c>
      <c r="H1719" s="1081">
        <v>1.0042862326527684</v>
      </c>
      <c r="I1719" s="1081">
        <v>1.0116551079632166</v>
      </c>
      <c r="K1719">
        <v>2.3821328758528351</v>
      </c>
      <c r="L1719">
        <v>0</v>
      </c>
      <c r="M1719">
        <v>1.6127566226727119E-3</v>
      </c>
      <c r="N1719">
        <v>0.14748463239184931</v>
      </c>
      <c r="O1719">
        <v>2.0594377769661984E-2</v>
      </c>
      <c r="P1719">
        <v>2.8185893996789446E-2</v>
      </c>
      <c r="Q1719">
        <v>5.397684512301772E-3</v>
      </c>
      <c r="R1719">
        <v>1.591559469250024E-3</v>
      </c>
      <c r="S1719">
        <v>0.25928642476959607</v>
      </c>
      <c r="T1719">
        <v>1.3568747834857291</v>
      </c>
      <c r="U1719">
        <v>0.20666042182212346</v>
      </c>
      <c r="V1719">
        <v>0.24027644302612952</v>
      </c>
      <c r="W1719">
        <v>9.679659760469346E-2</v>
      </c>
      <c r="X1719">
        <v>1.6265113409520065E-2</v>
      </c>
      <c r="Y1719">
        <v>4.3317002178605325E-3</v>
      </c>
    </row>
    <row r="1720" spans="1:25" x14ac:dyDescent="0.2">
      <c r="A1720" s="1077"/>
      <c r="B1720" s="1444">
        <v>1470</v>
      </c>
      <c r="C1720" s="1081">
        <v>0.99596567598339569</v>
      </c>
      <c r="D1720" s="1081">
        <v>0.98577874077146699</v>
      </c>
      <c r="E1720" s="1081">
        <v>1.0421783267359745</v>
      </c>
      <c r="F1720" s="1081">
        <v>0.96423719854491341</v>
      </c>
      <c r="G1720" s="1081">
        <v>0.9855508766087272</v>
      </c>
      <c r="H1720" s="1081">
        <v>1.0311889350518564</v>
      </c>
      <c r="I1720" s="1081">
        <v>1.0251941385581722</v>
      </c>
      <c r="K1720">
        <v>2.3938687038397419</v>
      </c>
      <c r="L1720">
        <v>0</v>
      </c>
      <c r="M1720">
        <v>1.5619639971859312E-3</v>
      </c>
      <c r="N1720">
        <v>0.16150491157403102</v>
      </c>
      <c r="O1720">
        <v>2.1165387122318888E-2</v>
      </c>
      <c r="P1720">
        <v>2.8862605986491444E-2</v>
      </c>
      <c r="Q1720">
        <v>5.7755937759152E-3</v>
      </c>
      <c r="R1720">
        <v>1.5419700291520574E-3</v>
      </c>
      <c r="S1720">
        <v>0.27123204894339792</v>
      </c>
      <c r="T1720">
        <v>1.3234681959723509</v>
      </c>
      <c r="U1720">
        <v>0.21297723902040158</v>
      </c>
      <c r="V1720">
        <v>0.24317157864684477</v>
      </c>
      <c r="W1720">
        <v>0.10351369846455802</v>
      </c>
      <c r="X1720">
        <v>1.8020704192393197E-2</v>
      </c>
      <c r="Y1720">
        <v>4.1967341090684016E-3</v>
      </c>
    </row>
    <row r="1721" spans="1:25" x14ac:dyDescent="0.2">
      <c r="A1721" s="1077"/>
      <c r="B1721" s="1444">
        <v>1471</v>
      </c>
      <c r="C1721" s="1081">
        <v>1.0233927918967618</v>
      </c>
      <c r="D1721" s="1081">
        <v>1.0221029468790179</v>
      </c>
      <c r="E1721" s="1081">
        <v>0.96306543374062326</v>
      </c>
      <c r="F1721" s="1081">
        <v>0.9978256160580401</v>
      </c>
      <c r="G1721" s="1081">
        <v>1.018714800748747</v>
      </c>
      <c r="H1721" s="1081">
        <v>0.99362583193777188</v>
      </c>
      <c r="I1721" s="1081">
        <v>1.0268818631524919</v>
      </c>
      <c r="K1721">
        <v>2.3836487647884503</v>
      </c>
      <c r="L1721">
        <v>0</v>
      </c>
      <c r="M1721">
        <v>1.7123605828484173E-3</v>
      </c>
      <c r="N1721">
        <v>0.13935189837234577</v>
      </c>
      <c r="O1721">
        <v>2.0383748698614024E-2</v>
      </c>
      <c r="P1721">
        <v>2.757532710378293E-2</v>
      </c>
      <c r="Q1721">
        <v>5.1376462364586054E-3</v>
      </c>
      <c r="R1721">
        <v>1.6896128265479139E-3</v>
      </c>
      <c r="S1721">
        <v>0.25584441269129521</v>
      </c>
      <c r="T1721">
        <v>1.3678620880585777</v>
      </c>
      <c r="U1721">
        <v>0.20700508400880827</v>
      </c>
      <c r="V1721">
        <v>0.24743994975740846</v>
      </c>
      <c r="W1721">
        <v>9.3606845351246359E-2</v>
      </c>
      <c r="X1721">
        <v>1.4865943133067831E-2</v>
      </c>
      <c r="Y1721">
        <v>4.5985691331448426E-3</v>
      </c>
    </row>
    <row r="1722" spans="1:25" x14ac:dyDescent="0.2">
      <c r="A1722" s="1077"/>
      <c r="B1722" s="1444">
        <v>1472</v>
      </c>
      <c r="C1722" s="1081">
        <v>1.0110139527639104</v>
      </c>
      <c r="D1722" s="1081">
        <v>0.98915025891733976</v>
      </c>
      <c r="E1722" s="1081">
        <v>1.0157720715772915</v>
      </c>
      <c r="F1722" s="1081">
        <v>0.95476628943098396</v>
      </c>
      <c r="G1722" s="1081">
        <v>0.99660956356349883</v>
      </c>
      <c r="H1722" s="1081">
        <v>0.97887916285131171</v>
      </c>
      <c r="I1722" s="1081">
        <v>0.99279866706779318</v>
      </c>
      <c r="K1722">
        <v>2.3354289727018909</v>
      </c>
      <c r="L1722">
        <v>0</v>
      </c>
      <c r="M1722">
        <v>1.5421125179414128E-3</v>
      </c>
      <c r="N1722">
        <v>0.14714846735970002</v>
      </c>
      <c r="O1722">
        <v>2.0817246575481913E-2</v>
      </c>
      <c r="P1722">
        <v>2.7854687770819068E-2</v>
      </c>
      <c r="Q1722">
        <v>5.5341221424980557E-3</v>
      </c>
      <c r="R1722">
        <v>1.5213177921934336E-3</v>
      </c>
      <c r="S1722">
        <v>0.25371214761257238</v>
      </c>
      <c r="T1722">
        <v>1.3099204996963998</v>
      </c>
      <c r="U1722">
        <v>0.2097175441719788</v>
      </c>
      <c r="V1722">
        <v>0.24421644240305579</v>
      </c>
      <c r="W1722">
        <v>9.5770176663622864E-2</v>
      </c>
      <c r="X1722">
        <v>1.6617907503433723E-2</v>
      </c>
      <c r="Y1722">
        <v>4.1405255280751096E-3</v>
      </c>
    </row>
    <row r="1723" spans="1:25" x14ac:dyDescent="0.2">
      <c r="A1723" s="1077"/>
      <c r="B1723" s="1444">
        <v>1473</v>
      </c>
      <c r="C1723" s="1081">
        <v>1.0327891146798751</v>
      </c>
      <c r="D1723" s="1081">
        <v>0.96654318998423383</v>
      </c>
      <c r="E1723" s="1081">
        <v>1.0488929973008154</v>
      </c>
      <c r="F1723" s="1081">
        <v>0.97524477335891779</v>
      </c>
      <c r="G1723" s="1081">
        <v>1.0289477790093131</v>
      </c>
      <c r="H1723" s="1081">
        <v>0.99985675063291435</v>
      </c>
      <c r="I1723" s="1081">
        <v>1.0261872210854437</v>
      </c>
      <c r="K1723">
        <v>2.3812147063691849</v>
      </c>
      <c r="L1723">
        <v>0</v>
      </c>
      <c r="M1723">
        <v>1.4464238983235439E-3</v>
      </c>
      <c r="N1723">
        <v>0.15255088609598849</v>
      </c>
      <c r="O1723">
        <v>2.0503804246447221E-2</v>
      </c>
      <c r="P1723">
        <v>2.9049541948267366E-2</v>
      </c>
      <c r="Q1723">
        <v>5.6320126427862483E-3</v>
      </c>
      <c r="R1723">
        <v>1.4273287065649544E-3</v>
      </c>
      <c r="S1723">
        <v>0.26179677078304703</v>
      </c>
      <c r="T1723">
        <v>1.3387195558652878</v>
      </c>
      <c r="U1723">
        <v>0.20540604419120856</v>
      </c>
      <c r="V1723">
        <v>0.24831470051313742</v>
      </c>
      <c r="W1723">
        <v>9.739901155286787E-2</v>
      </c>
      <c r="X1723">
        <v>1.7976755501414844E-2</v>
      </c>
      <c r="Y1723">
        <v>3.8847182204881409E-3</v>
      </c>
    </row>
    <row r="1724" spans="1:25" x14ac:dyDescent="0.2">
      <c r="A1724" s="1077"/>
      <c r="B1724" s="1444">
        <v>1474</v>
      </c>
      <c r="C1724" s="1081">
        <v>0.98565202265096075</v>
      </c>
      <c r="D1724" s="1081">
        <v>0.97658920088079204</v>
      </c>
      <c r="E1724" s="1081">
        <v>1.0013211364331369</v>
      </c>
      <c r="F1724" s="1081">
        <v>1.0363303561611892</v>
      </c>
      <c r="G1724" s="1081">
        <v>0.9798970520762883</v>
      </c>
      <c r="H1724" s="1081">
        <v>1.0402883723128147</v>
      </c>
      <c r="I1724" s="1081">
        <v>1.0116568347111352</v>
      </c>
      <c r="K1724">
        <v>2.492803861680255</v>
      </c>
      <c r="L1724">
        <v>0</v>
      </c>
      <c r="M1724">
        <v>1.737123717804603E-3</v>
      </c>
      <c r="N1724">
        <v>0.15880770815427547</v>
      </c>
      <c r="O1724">
        <v>2.1403224495796031E-2</v>
      </c>
      <c r="P1724">
        <v>2.9391251960622082E-2</v>
      </c>
      <c r="Q1724">
        <v>5.6082311511250725E-3</v>
      </c>
      <c r="R1724">
        <v>1.7150821123560786E-3</v>
      </c>
      <c r="S1724">
        <v>0.27216847930873228</v>
      </c>
      <c r="T1724">
        <v>1.4215003343335537</v>
      </c>
      <c r="U1724">
        <v>0.21506362944676974</v>
      </c>
      <c r="V1724">
        <v>0.24300178654813417</v>
      </c>
      <c r="W1724">
        <v>0.10424402563849881</v>
      </c>
      <c r="X1724">
        <v>1.6969344115027693E-2</v>
      </c>
      <c r="Y1724">
        <v>4.6678881331668571E-3</v>
      </c>
    </row>
    <row r="1725" spans="1:25" x14ac:dyDescent="0.2">
      <c r="A1725" s="1077"/>
      <c r="B1725" s="1444">
        <v>1475</v>
      </c>
      <c r="C1725" s="1081">
        <v>0.99779753598467003</v>
      </c>
      <c r="D1725" s="1081">
        <v>1.0150598007798945</v>
      </c>
      <c r="E1725" s="1081">
        <v>1.0266238708034297</v>
      </c>
      <c r="F1725" s="1081">
        <v>0.98497853408965519</v>
      </c>
      <c r="G1725" s="1081">
        <v>1.0199048309487437</v>
      </c>
      <c r="H1725" s="1081">
        <v>1.007586153784412</v>
      </c>
      <c r="I1725" s="1081">
        <v>1.0268324791231307</v>
      </c>
      <c r="K1725">
        <v>2.4092514661153781</v>
      </c>
      <c r="L1725">
        <v>0</v>
      </c>
      <c r="M1725">
        <v>1.5635283645180976E-3</v>
      </c>
      <c r="N1725">
        <v>0.15421656447760887</v>
      </c>
      <c r="O1725">
        <v>2.0980555236880992E-2</v>
      </c>
      <c r="P1725">
        <v>2.8919845349468367E-2</v>
      </c>
      <c r="Q1725">
        <v>5.6379942864965976E-3</v>
      </c>
      <c r="R1725">
        <v>1.5430455424697213E-3</v>
      </c>
      <c r="S1725">
        <v>0.26505015397712467</v>
      </c>
      <c r="T1725">
        <v>1.3516032453414173</v>
      </c>
      <c r="U1725">
        <v>0.21253267267181239</v>
      </c>
      <c r="V1725">
        <v>0.24897147608650111</v>
      </c>
      <c r="W1725">
        <v>9.9735753200127328E-2</v>
      </c>
      <c r="X1725">
        <v>1.7424027008212252E-2</v>
      </c>
      <c r="Y1725">
        <v>4.1996613017762129E-3</v>
      </c>
    </row>
    <row r="1726" spans="1:25" x14ac:dyDescent="0.2">
      <c r="A1726" s="1077"/>
      <c r="B1726" s="1444">
        <v>1476</v>
      </c>
      <c r="C1726" s="1081">
        <v>0.98281032116669376</v>
      </c>
      <c r="D1726" s="1081">
        <v>1.0111236589670614</v>
      </c>
      <c r="E1726" s="1081">
        <v>0.97634517124013331</v>
      </c>
      <c r="F1726" s="1081">
        <v>0.99064912974278052</v>
      </c>
      <c r="G1726" s="1081">
        <v>1.026922181687582</v>
      </c>
      <c r="H1726" s="1081">
        <v>1.0048656822015674</v>
      </c>
      <c r="I1726" s="1081">
        <v>0.98392261505281442</v>
      </c>
      <c r="K1726">
        <v>2.4061872976605554</v>
      </c>
      <c r="L1726">
        <v>0</v>
      </c>
      <c r="M1726">
        <v>1.7586485815674806E-3</v>
      </c>
      <c r="N1726">
        <v>0.14901339028956667</v>
      </c>
      <c r="O1726">
        <v>2.1284833147627299E-2</v>
      </c>
      <c r="P1726">
        <v>2.7921216885989197E-2</v>
      </c>
      <c r="Q1726">
        <v>5.4380853468490699E-3</v>
      </c>
      <c r="R1726">
        <v>1.7355472363607086E-3</v>
      </c>
      <c r="S1726">
        <v>0.25770538243218039</v>
      </c>
      <c r="T1726">
        <v>1.3583069856930929</v>
      </c>
      <c r="U1726">
        <v>0.21559875340680065</v>
      </c>
      <c r="V1726">
        <v>0.25130839867005539</v>
      </c>
      <c r="W1726">
        <v>9.9290796135541592E-2</v>
      </c>
      <c r="X1726">
        <v>1.561896954367911E-2</v>
      </c>
      <c r="Y1726">
        <v>4.7235874543811425E-3</v>
      </c>
    </row>
    <row r="1727" spans="1:25" x14ac:dyDescent="0.2">
      <c r="A1727" s="1077"/>
      <c r="B1727" s="1444">
        <v>1477</v>
      </c>
      <c r="C1727" s="1081">
        <v>1.0255277236229954</v>
      </c>
      <c r="D1727" s="1081">
        <v>0.98269931278713907</v>
      </c>
      <c r="E1727" s="1081">
        <v>0.97050738046603002</v>
      </c>
      <c r="F1727" s="1081">
        <v>1.0134583957171313</v>
      </c>
      <c r="G1727" s="1081">
        <v>0.98139834930454994</v>
      </c>
      <c r="H1727" s="1081">
        <v>1.0221431841052651</v>
      </c>
      <c r="I1727" s="1081">
        <v>1.0036995805110838</v>
      </c>
      <c r="K1727">
        <v>2.4101208178920723</v>
      </c>
      <c r="L1727">
        <v>0</v>
      </c>
      <c r="M1727">
        <v>1.746089331529573E-3</v>
      </c>
      <c r="N1727">
        <v>0.14539037681189493</v>
      </c>
      <c r="O1727">
        <v>2.0522820535195576E-2</v>
      </c>
      <c r="P1727">
        <v>2.7943801236269456E-2</v>
      </c>
      <c r="Q1727">
        <v>5.2122647783447188E-3</v>
      </c>
      <c r="R1727">
        <v>1.7235406610369795E-3</v>
      </c>
      <c r="S1727">
        <v>0.2569538966519001</v>
      </c>
      <c r="T1727">
        <v>1.3894541600771502</v>
      </c>
      <c r="U1727">
        <v>0.20659881367103353</v>
      </c>
      <c r="V1727">
        <v>0.2409067485279216</v>
      </c>
      <c r="W1727">
        <v>9.7220589375333941E-2</v>
      </c>
      <c r="X1727">
        <v>1.524898538320163E-2</v>
      </c>
      <c r="Y1727">
        <v>4.6909095143164445E-3</v>
      </c>
    </row>
    <row r="1728" spans="1:25" x14ac:dyDescent="0.2">
      <c r="A1728" s="1077"/>
      <c r="B1728" s="1444">
        <v>1478</v>
      </c>
      <c r="C1728" s="1081">
        <v>0.97955393800205703</v>
      </c>
      <c r="D1728" s="1081">
        <v>0.99275945198707016</v>
      </c>
      <c r="E1728" s="1081">
        <v>1.014559692278268</v>
      </c>
      <c r="F1728" s="1081">
        <v>1.0290049758313276</v>
      </c>
      <c r="G1728" s="1081">
        <v>1.0111237419395271</v>
      </c>
      <c r="H1728" s="1081">
        <v>0.97719205287905186</v>
      </c>
      <c r="I1728" s="1081">
        <v>1.0419594864436759</v>
      </c>
      <c r="K1728">
        <v>2.4794200648443714</v>
      </c>
      <c r="L1728">
        <v>0</v>
      </c>
      <c r="M1728">
        <v>1.5916311910013962E-3</v>
      </c>
      <c r="N1728">
        <v>0.15131531397187986</v>
      </c>
      <c r="O1728">
        <v>2.1467793571354483E-2</v>
      </c>
      <c r="P1728">
        <v>2.9670971355632365E-2</v>
      </c>
      <c r="Q1728">
        <v>5.7001728132835506E-3</v>
      </c>
      <c r="R1728">
        <v>1.5701316725125398E-3</v>
      </c>
      <c r="S1728">
        <v>0.27415971805518496</v>
      </c>
      <c r="T1728">
        <v>1.4117474485743391</v>
      </c>
      <c r="U1728">
        <v>0.21644873367140857</v>
      </c>
      <c r="V1728">
        <v>0.2486808242050117</v>
      </c>
      <c r="W1728">
        <v>9.855227415340917E-2</v>
      </c>
      <c r="X1728">
        <v>1.7424933172543487E-2</v>
      </c>
      <c r="Y1728">
        <v>4.2733808188123975E-3</v>
      </c>
    </row>
    <row r="1729" spans="1:25" x14ac:dyDescent="0.2">
      <c r="A1729" s="1077"/>
      <c r="B1729" s="1444">
        <v>1479</v>
      </c>
      <c r="C1729" s="1081">
        <v>0.97216394788765925</v>
      </c>
      <c r="D1729" s="1081">
        <v>1.0024537272212715</v>
      </c>
      <c r="E1729" s="1081">
        <v>0.98479205802944925</v>
      </c>
      <c r="F1729" s="1081">
        <v>0.99167502456053447</v>
      </c>
      <c r="G1729" s="1081">
        <v>0.98621520656124739</v>
      </c>
      <c r="H1729" s="1081">
        <v>0.99547151632308883</v>
      </c>
      <c r="I1729" s="1081">
        <v>1.0207145018213304</v>
      </c>
      <c r="K1729">
        <v>2.4202612386995126</v>
      </c>
      <c r="L1729">
        <v>0</v>
      </c>
      <c r="M1729">
        <v>1.7340701003187207E-3</v>
      </c>
      <c r="N1729">
        <v>0.15071528571724022</v>
      </c>
      <c r="O1729">
        <v>2.1564478420609448E-2</v>
      </c>
      <c r="P1729">
        <v>2.8244431136590701E-2</v>
      </c>
      <c r="Q1729">
        <v>5.5570223583214541E-3</v>
      </c>
      <c r="R1729">
        <v>1.7110766560614983E-3</v>
      </c>
      <c r="S1729">
        <v>0.27066871092604466</v>
      </c>
      <c r="T1729">
        <v>1.359894064101496</v>
      </c>
      <c r="U1729">
        <v>0.2179894284675345</v>
      </c>
      <c r="V1729">
        <v>0.24501707578868714</v>
      </c>
      <c r="W1729">
        <v>9.9914128320433754E-2</v>
      </c>
      <c r="X1729">
        <v>1.6062620305280315E-2</v>
      </c>
      <c r="Y1729">
        <v>4.6569866015313214E-3</v>
      </c>
    </row>
    <row r="1730" spans="1:25" x14ac:dyDescent="0.2">
      <c r="A1730" s="1077"/>
      <c r="B1730" s="1444">
        <v>1480</v>
      </c>
      <c r="C1730" s="1081">
        <v>0.98490655596043608</v>
      </c>
      <c r="D1730" s="1081">
        <v>1.0359573613100952</v>
      </c>
      <c r="E1730" s="1081">
        <v>1.0129267204963197</v>
      </c>
      <c r="F1730" s="1081">
        <v>1.0121745518042435</v>
      </c>
      <c r="G1730" s="1081">
        <v>1.0083550617644832</v>
      </c>
      <c r="H1730" s="1081">
        <v>1.038460250748384</v>
      </c>
      <c r="I1730" s="1081">
        <v>1.0288648802268674</v>
      </c>
      <c r="K1730">
        <v>2.4598858119102514</v>
      </c>
      <c r="L1730">
        <v>0</v>
      </c>
      <c r="M1730">
        <v>1.6722083244083961E-3</v>
      </c>
      <c r="N1730">
        <v>0.1583219298154756</v>
      </c>
      <c r="O1730">
        <v>2.1150894742688456E-2</v>
      </c>
      <c r="P1730">
        <v>2.9217402976792217E-2</v>
      </c>
      <c r="Q1730">
        <v>5.606888037074975E-3</v>
      </c>
      <c r="R1730">
        <v>1.6509530497225734E-3</v>
      </c>
      <c r="S1730">
        <v>0.26894801907079635</v>
      </c>
      <c r="T1730">
        <v>1.3886210359935058</v>
      </c>
      <c r="U1730">
        <v>0.21526673212935488</v>
      </c>
      <c r="V1730">
        <v>0.24786776570381797</v>
      </c>
      <c r="W1730">
        <v>0.10321475919917682</v>
      </c>
      <c r="X1730">
        <v>1.7198289551436031E-2</v>
      </c>
      <c r="Y1730">
        <v>4.4933499648182702E-3</v>
      </c>
    </row>
    <row r="1731" spans="1:25" x14ac:dyDescent="0.2">
      <c r="A1731" s="1077"/>
      <c r="B1731" s="1444">
        <v>1481</v>
      </c>
      <c r="C1731" s="1081">
        <v>1.0236714652904484</v>
      </c>
      <c r="D1731" s="1081">
        <v>1.0121666867836179</v>
      </c>
      <c r="E1731" s="1081">
        <v>1.0123782530062382</v>
      </c>
      <c r="F1731" s="1081">
        <v>1.0042183716472102</v>
      </c>
      <c r="G1731" s="1081">
        <v>1.0173454278819709</v>
      </c>
      <c r="H1731" s="1081">
        <v>1.0055609995467198</v>
      </c>
      <c r="I1731" s="1081">
        <v>1.0011028234007868</v>
      </c>
      <c r="K1731">
        <v>2.4039606739888693</v>
      </c>
      <c r="L1731">
        <v>0</v>
      </c>
      <c r="M1731">
        <v>1.567682733281818E-3</v>
      </c>
      <c r="N1731">
        <v>0.14811768718224128</v>
      </c>
      <c r="O1731">
        <v>2.045386546721745E-2</v>
      </c>
      <c r="P1731">
        <v>2.8696848558388145E-2</v>
      </c>
      <c r="Q1731">
        <v>5.4191450154378309E-3</v>
      </c>
      <c r="R1731">
        <v>1.5471041263255933E-3</v>
      </c>
      <c r="S1731">
        <v>0.25195384872211279</v>
      </c>
      <c r="T1731">
        <v>1.3776938625457709</v>
      </c>
      <c r="U1731">
        <v>0.2071130675183879</v>
      </c>
      <c r="V1731">
        <v>0.24700503539049729</v>
      </c>
      <c r="W1731">
        <v>9.6593480796899764E-2</v>
      </c>
      <c r="X1731">
        <v>1.6723703969748614E-2</v>
      </c>
      <c r="Y1731">
        <v>4.2107074291200869E-3</v>
      </c>
    </row>
    <row r="1732" spans="1:25" x14ac:dyDescent="0.2">
      <c r="A1732" s="1077"/>
      <c r="B1732" s="1444">
        <v>1482</v>
      </c>
      <c r="C1732" s="1081">
        <v>1.0262760766490608</v>
      </c>
      <c r="D1732" s="1081">
        <v>1.0162910595563568</v>
      </c>
      <c r="E1732" s="1081">
        <v>1.0154345347622298</v>
      </c>
      <c r="F1732" s="1081">
        <v>1.0119103740014275</v>
      </c>
      <c r="G1732" s="1081">
        <v>1.0262049239856932</v>
      </c>
      <c r="H1732" s="1081">
        <v>1.0073253707244325</v>
      </c>
      <c r="I1732" s="1081">
        <v>0.98585116224482983</v>
      </c>
      <c r="K1732">
        <v>2.4109124037183962</v>
      </c>
      <c r="L1732">
        <v>0</v>
      </c>
      <c r="M1732">
        <v>1.5551354211952783E-3</v>
      </c>
      <c r="N1732">
        <v>0.14829725945072048</v>
      </c>
      <c r="O1732">
        <v>2.0385684643053091E-2</v>
      </c>
      <c r="P1732">
        <v>2.8853241297779698E-2</v>
      </c>
      <c r="Q1732">
        <v>5.4175717289133892E-3</v>
      </c>
      <c r="R1732">
        <v>1.534757275663969E-3</v>
      </c>
      <c r="S1732">
        <v>0.24715214954262343</v>
      </c>
      <c r="T1732">
        <v>1.3883136454766176</v>
      </c>
      <c r="U1732">
        <v>0.20659763155048494</v>
      </c>
      <c r="V1732">
        <v>0.24835148695551534</v>
      </c>
      <c r="W1732">
        <v>9.6536985022644392E-2</v>
      </c>
      <c r="X1732">
        <v>1.6850022823815879E-2</v>
      </c>
      <c r="Y1732">
        <v>4.1771033717573737E-3</v>
      </c>
    </row>
    <row r="1733" spans="1:25" x14ac:dyDescent="0.2">
      <c r="A1733" s="1077"/>
      <c r="B1733" s="1444">
        <v>1483</v>
      </c>
      <c r="C1733" s="1081">
        <v>0.97386015359243394</v>
      </c>
      <c r="D1733" s="1081">
        <v>1.0059365764426209</v>
      </c>
      <c r="E1733" s="1081">
        <v>0.97795156529130467</v>
      </c>
      <c r="F1733" s="1081">
        <v>0.98722761882382937</v>
      </c>
      <c r="G1733" s="1081">
        <v>0.97578298057372737</v>
      </c>
      <c r="H1733" s="1081">
        <v>1.017307839852313</v>
      </c>
      <c r="I1733" s="1081">
        <v>1.0240894805221059</v>
      </c>
      <c r="K1733">
        <v>2.4167813703901282</v>
      </c>
      <c r="L1733">
        <v>0</v>
      </c>
      <c r="M1733">
        <v>1.792858582652234E-3</v>
      </c>
      <c r="N1733">
        <v>0.15267722180648197</v>
      </c>
      <c r="O1733">
        <v>2.1505857713958819E-2</v>
      </c>
      <c r="P1733">
        <v>2.8008789742232268E-2</v>
      </c>
      <c r="Q1733">
        <v>5.5035479141056958E-3</v>
      </c>
      <c r="R1733">
        <v>1.7695958964930878E-3</v>
      </c>
      <c r="S1733">
        <v>0.27251134498363488</v>
      </c>
      <c r="T1733">
        <v>1.3536497931187259</v>
      </c>
      <c r="U1733">
        <v>0.21758581053863352</v>
      </c>
      <c r="V1733">
        <v>0.24314702853846509</v>
      </c>
      <c r="W1733">
        <v>0.10163323190214908</v>
      </c>
      <c r="X1733">
        <v>1.5765750134774246E-2</v>
      </c>
      <c r="Y1733">
        <v>4.8162566831236849E-3</v>
      </c>
    </row>
    <row r="1734" spans="1:25" x14ac:dyDescent="0.2">
      <c r="A1734" s="1077"/>
      <c r="B1734" s="1444">
        <v>1484</v>
      </c>
      <c r="C1734" s="1081">
        <v>0.96541343377186539</v>
      </c>
      <c r="D1734" s="1081">
        <v>0.96566512003149108</v>
      </c>
      <c r="E1734" s="1081">
        <v>1.00633682077044</v>
      </c>
      <c r="F1734" s="1081">
        <v>1.024948759240252</v>
      </c>
      <c r="G1734" s="1081">
        <v>0.99012442604652517</v>
      </c>
      <c r="H1734" s="1081">
        <v>1.0240237878186862</v>
      </c>
      <c r="I1734" s="1081">
        <v>0.96327995512734499</v>
      </c>
      <c r="K1734">
        <v>2.4811343063710241</v>
      </c>
      <c r="L1734">
        <v>0</v>
      </c>
      <c r="M1734">
        <v>1.7320124385088848E-3</v>
      </c>
      <c r="N1734">
        <v>0.16072461401612689</v>
      </c>
      <c r="O1734">
        <v>2.1909536519295916E-2</v>
      </c>
      <c r="P1734">
        <v>2.9290416046460745E-2</v>
      </c>
      <c r="Q1734">
        <v>5.7698539889984995E-3</v>
      </c>
      <c r="R1734">
        <v>1.7096866308092436E-3</v>
      </c>
      <c r="S1734">
        <v>0.26473206357864859</v>
      </c>
      <c r="T1734">
        <v>1.4059998438181258</v>
      </c>
      <c r="U1734">
        <v>0.21958991760202409</v>
      </c>
      <c r="V1734">
        <v>0.24605784847985904</v>
      </c>
      <c r="W1734">
        <v>0.10518922128979762</v>
      </c>
      <c r="X1734">
        <v>1.7240113428368137E-2</v>
      </c>
      <c r="Y1734">
        <v>4.6532034110163848E-3</v>
      </c>
    </row>
    <row r="1735" spans="1:25" x14ac:dyDescent="0.2">
      <c r="A1735" s="1077"/>
      <c r="B1735" s="1444">
        <v>1485</v>
      </c>
      <c r="C1735" s="1081">
        <v>1.0162577827856576</v>
      </c>
      <c r="D1735" s="1081">
        <v>1.011237350413408</v>
      </c>
      <c r="E1735" s="1081">
        <v>0.98661286689051808</v>
      </c>
      <c r="F1735" s="1081">
        <v>0.98487578602539028</v>
      </c>
      <c r="G1735" s="1081">
        <v>1.0117271083338197</v>
      </c>
      <c r="H1735" s="1081">
        <v>1.0225414531651813</v>
      </c>
      <c r="I1735" s="1081">
        <v>0.98388714388511533</v>
      </c>
      <c r="K1735">
        <v>2.3765826707176072</v>
      </c>
      <c r="L1735">
        <v>0</v>
      </c>
      <c r="M1735">
        <v>1.6942762097753334E-3</v>
      </c>
      <c r="N1735">
        <v>0.14812246301600854</v>
      </c>
      <c r="O1735">
        <v>2.0590458580053133E-2</v>
      </c>
      <c r="P1735">
        <v>2.7781929995995425E-2</v>
      </c>
      <c r="Q1735">
        <v>5.3158215670741403E-3</v>
      </c>
      <c r="R1735">
        <v>1.6724051660886561E-3</v>
      </c>
      <c r="S1735">
        <v>0.25073297216637713</v>
      </c>
      <c r="T1735">
        <v>1.3506088707995143</v>
      </c>
      <c r="U1735">
        <v>0.20853731869867076</v>
      </c>
      <c r="V1735">
        <v>0.24658488490787386</v>
      </c>
      <c r="W1735">
        <v>9.8087845639419094E-2</v>
      </c>
      <c r="X1735">
        <v>1.5690240836426356E-2</v>
      </c>
      <c r="Y1735">
        <v>4.5517355538784885E-3</v>
      </c>
    </row>
    <row r="1736" spans="1:25" x14ac:dyDescent="0.2">
      <c r="A1736" s="1077"/>
      <c r="B1736" s="1444">
        <v>1486</v>
      </c>
      <c r="C1736" s="1081">
        <v>0.99209453150154847</v>
      </c>
      <c r="D1736" s="1081">
        <v>0.98588754137990864</v>
      </c>
      <c r="E1736" s="1081">
        <v>0.96659169296908942</v>
      </c>
      <c r="F1736" s="1081">
        <v>1.0013643947383546</v>
      </c>
      <c r="G1736" s="1081">
        <v>1.018274221854705</v>
      </c>
      <c r="H1736" s="1081">
        <v>0.97086137313093779</v>
      </c>
      <c r="I1736" s="1081">
        <v>0.99185983930398203</v>
      </c>
      <c r="K1736">
        <v>2.4047594179367535</v>
      </c>
      <c r="L1736">
        <v>0</v>
      </c>
      <c r="M1736">
        <v>1.7270572479932997E-3</v>
      </c>
      <c r="N1736">
        <v>0.14201233172271133</v>
      </c>
      <c r="O1736">
        <v>2.11967051558219E-2</v>
      </c>
      <c r="P1736">
        <v>2.7851318073809857E-2</v>
      </c>
      <c r="Q1736">
        <v>5.3618945515327629E-3</v>
      </c>
      <c r="R1736">
        <v>1.7035762944355526E-3</v>
      </c>
      <c r="S1736">
        <v>0.2576518741233163</v>
      </c>
      <c r="T1736">
        <v>1.3727890047142544</v>
      </c>
      <c r="U1736">
        <v>0.21354768952313818</v>
      </c>
      <c r="V1736">
        <v>0.24927348891411133</v>
      </c>
      <c r="W1736">
        <v>9.5188582059411955E-2</v>
      </c>
      <c r="X1736">
        <v>1.5273436962522469E-2</v>
      </c>
      <c r="Y1736">
        <v>4.6365730896790426E-3</v>
      </c>
    </row>
    <row r="1737" spans="1:25" x14ac:dyDescent="0.2">
      <c r="A1737" s="1077"/>
      <c r="B1737" s="1444">
        <v>1487</v>
      </c>
      <c r="C1737" s="1081">
        <v>1.0145050817874581</v>
      </c>
      <c r="D1737" s="1081">
        <v>1.0107408865129932</v>
      </c>
      <c r="E1737" s="1081">
        <v>0.99366145846680187</v>
      </c>
      <c r="F1737" s="1081">
        <v>1.0020438364930624</v>
      </c>
      <c r="G1737" s="1081">
        <v>1.0195582362407087</v>
      </c>
      <c r="H1737" s="1081">
        <v>1.0242635479034998</v>
      </c>
      <c r="I1737" s="1081">
        <v>0.97227369722570933</v>
      </c>
      <c r="K1737">
        <v>2.4028158838900526</v>
      </c>
      <c r="L1737">
        <v>0</v>
      </c>
      <c r="M1737">
        <v>1.675604715225356E-3</v>
      </c>
      <c r="N1737">
        <v>0.14964870979759334</v>
      </c>
      <c r="O1737">
        <v>2.0632853051815496E-2</v>
      </c>
      <c r="P1737">
        <v>2.8244949235083021E-2</v>
      </c>
      <c r="Q1737">
        <v>5.3648495545307274E-3</v>
      </c>
      <c r="R1737">
        <v>1.6540110643648602E-3</v>
      </c>
      <c r="S1737">
        <v>0.24845741315471775</v>
      </c>
      <c r="T1737">
        <v>1.3743047207525552</v>
      </c>
      <c r="U1737">
        <v>0.20892130847461721</v>
      </c>
      <c r="V1737">
        <v>0.24800248488663049</v>
      </c>
      <c r="W1737">
        <v>9.8681017800863552E-2</v>
      </c>
      <c r="X1737">
        <v>1.6077497959904787E-2</v>
      </c>
      <c r="Y1737">
        <v>4.5016728726003192E-3</v>
      </c>
    </row>
    <row r="1738" spans="1:25" x14ac:dyDescent="0.2">
      <c r="A1738" s="1077"/>
      <c r="B1738" s="1444">
        <v>1488</v>
      </c>
      <c r="C1738" s="1081">
        <v>1.0084390467103006</v>
      </c>
      <c r="D1738" s="1081">
        <v>0.97562937184944976</v>
      </c>
      <c r="E1738" s="1081">
        <v>1.0339778676388061</v>
      </c>
      <c r="F1738" s="1081">
        <v>0.98826593322118972</v>
      </c>
      <c r="G1738" s="1081">
        <v>1.0103555372069488</v>
      </c>
      <c r="H1738" s="1081">
        <v>1.0395582529116048</v>
      </c>
      <c r="I1738" s="1081">
        <v>0.9903978690504589</v>
      </c>
      <c r="K1738">
        <v>2.4145995213064295</v>
      </c>
      <c r="L1738">
        <v>0</v>
      </c>
      <c r="M1738">
        <v>1.5856056840377235E-3</v>
      </c>
      <c r="N1738">
        <v>0.15996517765155394</v>
      </c>
      <c r="O1738">
        <v>2.0945783398589015E-2</v>
      </c>
      <c r="P1738">
        <v>2.9016510185336339E-2</v>
      </c>
      <c r="Q1738">
        <v>5.6697177176174727E-3</v>
      </c>
      <c r="R1738">
        <v>1.565472494512263E-3</v>
      </c>
      <c r="S1738">
        <v>0.2607648987613192</v>
      </c>
      <c r="T1738">
        <v>1.3562723803713284</v>
      </c>
      <c r="U1738">
        <v>0.2103149716774558</v>
      </c>
      <c r="V1738">
        <v>0.24665585173633245</v>
      </c>
      <c r="W1738">
        <v>0.10301294696520029</v>
      </c>
      <c r="X1738">
        <v>1.7740715959025963E-2</v>
      </c>
      <c r="Y1738">
        <v>4.2607000721932567E-3</v>
      </c>
    </row>
    <row r="1739" spans="1:25" x14ac:dyDescent="0.2">
      <c r="A1739" s="1077"/>
      <c r="B1739" s="1444">
        <v>1489</v>
      </c>
      <c r="C1739" s="1081">
        <v>0.99921861389219202</v>
      </c>
      <c r="D1739" s="1081">
        <v>1.0003499201553785</v>
      </c>
      <c r="E1739" s="1081">
        <v>0.98219377476615066</v>
      </c>
      <c r="F1739" s="1081">
        <v>1.0254461468281573</v>
      </c>
      <c r="G1739" s="1081">
        <v>0.99029262512307603</v>
      </c>
      <c r="H1739" s="1081">
        <v>0.99356224312555486</v>
      </c>
      <c r="I1739" s="1081">
        <v>0.98555056553727627</v>
      </c>
      <c r="K1739">
        <v>2.4349081071078036</v>
      </c>
      <c r="L1739">
        <v>0</v>
      </c>
      <c r="M1739">
        <v>1.693741944165894E-3</v>
      </c>
      <c r="N1739">
        <v>0.14605396122367217</v>
      </c>
      <c r="O1739">
        <v>2.0988580604215344E-2</v>
      </c>
      <c r="P1739">
        <v>2.8498569979362159E-2</v>
      </c>
      <c r="Q1739">
        <v>5.3943802583244806E-3</v>
      </c>
      <c r="R1739">
        <v>1.6712400860613814E-3</v>
      </c>
      <c r="S1739">
        <v>0.25435481762730805</v>
      </c>
      <c r="T1739">
        <v>1.4061473170912815</v>
      </c>
      <c r="U1739">
        <v>0.21207832034865232</v>
      </c>
      <c r="V1739">
        <v>0.24398571633085739</v>
      </c>
      <c r="W1739">
        <v>9.6975589043389196E-2</v>
      </c>
      <c r="X1739">
        <v>1.5904791868733573E-2</v>
      </c>
      <c r="Y1739">
        <v>4.5485645901127744E-3</v>
      </c>
    </row>
    <row r="1740" spans="1:25" x14ac:dyDescent="0.2">
      <c r="A1740" s="1077"/>
      <c r="B1740" s="1444">
        <v>1490</v>
      </c>
      <c r="C1740" s="1081">
        <v>0.99231219276014615</v>
      </c>
      <c r="D1740" s="1081">
        <v>0.9831417291105744</v>
      </c>
      <c r="E1740" s="1081">
        <v>0.95531131389253876</v>
      </c>
      <c r="F1740" s="1081">
        <v>0.98138695781911511</v>
      </c>
      <c r="G1740" s="1081">
        <v>1.0200625576523432</v>
      </c>
      <c r="H1740" s="1081">
        <v>1.0341615515175684</v>
      </c>
      <c r="I1740" s="1081">
        <v>0.99226228159582486</v>
      </c>
      <c r="K1740">
        <v>2.3961489971068364</v>
      </c>
      <c r="L1740">
        <v>0</v>
      </c>
      <c r="M1740">
        <v>1.8836837852993821E-3</v>
      </c>
      <c r="N1740">
        <v>0.14981318650659806</v>
      </c>
      <c r="O1740">
        <v>2.1197538599450214E-2</v>
      </c>
      <c r="P1740">
        <v>2.7324077069903214E-2</v>
      </c>
      <c r="Q1740">
        <v>5.3003286893475573E-3</v>
      </c>
      <c r="R1740">
        <v>1.8596409417487166E-3</v>
      </c>
      <c r="S1740">
        <v>0.26336884563500002</v>
      </c>
      <c r="T1740">
        <v>1.3451641035950603</v>
      </c>
      <c r="U1740">
        <v>0.21346224050600229</v>
      </c>
      <c r="V1740">
        <v>0.24960847626552923</v>
      </c>
      <c r="W1740">
        <v>0.10111418245381264</v>
      </c>
      <c r="X1740">
        <v>1.4758731016712176E-2</v>
      </c>
      <c r="Y1740">
        <v>5.061329612968314E-3</v>
      </c>
    </row>
    <row r="1741" spans="1:25" x14ac:dyDescent="0.2">
      <c r="A1741" s="1077"/>
      <c r="B1741" s="1444">
        <v>1491</v>
      </c>
      <c r="C1741" s="1081">
        <v>0.98812311501943417</v>
      </c>
      <c r="D1741" s="1081">
        <v>1.0174877696775033</v>
      </c>
      <c r="E1741" s="1081">
        <v>0.99386287865033662</v>
      </c>
      <c r="F1741" s="1081">
        <v>1.0129215098965629</v>
      </c>
      <c r="G1741" s="1081">
        <v>0.98992259079413336</v>
      </c>
      <c r="H1741" s="1081">
        <v>0.97438152475417261</v>
      </c>
      <c r="I1741" s="1081">
        <v>1.0134916687074809</v>
      </c>
      <c r="K1741">
        <v>2.4270688771386735</v>
      </c>
      <c r="L1741">
        <v>0</v>
      </c>
      <c r="M1741">
        <v>1.6334849237473719E-3</v>
      </c>
      <c r="N1741">
        <v>0.14587826207199148</v>
      </c>
      <c r="O1741">
        <v>2.1152882522173781E-2</v>
      </c>
      <c r="P1741">
        <v>2.8647520820446911E-2</v>
      </c>
      <c r="Q1741">
        <v>5.5011825032645822E-3</v>
      </c>
      <c r="R1741">
        <v>1.6113564068152677E-3</v>
      </c>
      <c r="S1741">
        <v>0.26069468973542181</v>
      </c>
      <c r="T1741">
        <v>1.3892278742612858</v>
      </c>
      <c r="U1741">
        <v>0.21450000889824772</v>
      </c>
      <c r="V1741">
        <v>0.24458182733873365</v>
      </c>
      <c r="W1741">
        <v>9.6183145625919481E-2</v>
      </c>
      <c r="X1741">
        <v>1.6338030922261985E-2</v>
      </c>
      <c r="Y1741">
        <v>4.3855809558544095E-3</v>
      </c>
    </row>
    <row r="1742" spans="1:25" x14ac:dyDescent="0.2">
      <c r="A1742" s="1077"/>
      <c r="B1742" s="1444">
        <v>1492</v>
      </c>
      <c r="C1742" s="1081">
        <v>0.9941206612996546</v>
      </c>
      <c r="D1742" s="1081">
        <v>1.0112472197036118</v>
      </c>
      <c r="E1742" s="1081">
        <v>0.96032711800824799</v>
      </c>
      <c r="F1742" s="1081">
        <v>0.9888920652923926</v>
      </c>
      <c r="G1742" s="1081">
        <v>1.0167268486787626</v>
      </c>
      <c r="H1742" s="1081">
        <v>1.0309672819388076</v>
      </c>
      <c r="I1742" s="1081">
        <v>1.0007116053335017</v>
      </c>
      <c r="K1742">
        <v>2.4015091862604563</v>
      </c>
      <c r="L1742">
        <v>0</v>
      </c>
      <c r="M1742">
        <v>1.8437095446188015E-3</v>
      </c>
      <c r="N1742">
        <v>0.14887398886426062</v>
      </c>
      <c r="O1742">
        <v>2.1031492707123244E-2</v>
      </c>
      <c r="P1742">
        <v>2.7525113968337834E-2</v>
      </c>
      <c r="Q1742">
        <v>5.2860236038804551E-3</v>
      </c>
      <c r="R1742">
        <v>1.8201040100791054E-3</v>
      </c>
      <c r="S1742">
        <v>0.26120099456713297</v>
      </c>
      <c r="T1742">
        <v>1.355557499362934</v>
      </c>
      <c r="U1742">
        <v>0.21309104404225174</v>
      </c>
      <c r="V1742">
        <v>0.24890466032800959</v>
      </c>
      <c r="W1742">
        <v>0.10017103153810757</v>
      </c>
      <c r="X1742">
        <v>1.493721969464811E-2</v>
      </c>
      <c r="Y1742">
        <v>4.9537231183096548E-3</v>
      </c>
    </row>
    <row r="1743" spans="1:25" x14ac:dyDescent="0.2">
      <c r="A1743" s="1077"/>
      <c r="B1743" s="1444">
        <v>1493</v>
      </c>
      <c r="C1743" s="1081">
        <v>1.0109326807520316</v>
      </c>
      <c r="D1743" s="1081">
        <v>1.0135197023932347</v>
      </c>
      <c r="E1743" s="1081">
        <v>1.0002176220740444</v>
      </c>
      <c r="F1743" s="1081">
        <v>0.99114011663038015</v>
      </c>
      <c r="G1743" s="1081">
        <v>0.95837137300938691</v>
      </c>
      <c r="H1743" s="1081">
        <v>1.0039030242079017</v>
      </c>
      <c r="I1743" s="1081">
        <v>1.0208707090618512</v>
      </c>
      <c r="K1743">
        <v>2.3867807637850427</v>
      </c>
      <c r="L1743">
        <v>0</v>
      </c>
      <c r="M1743">
        <v>1.6248673743407556E-3</v>
      </c>
      <c r="N1743">
        <v>0.14798189079446394</v>
      </c>
      <c r="O1743">
        <v>2.0697551349994871E-2</v>
      </c>
      <c r="P1743">
        <v>2.8206128207168335E-2</v>
      </c>
      <c r="Q1743">
        <v>5.4173156347124014E-3</v>
      </c>
      <c r="R1743">
        <v>1.6035028919957103E-3</v>
      </c>
      <c r="S1743">
        <v>0.25975122364629716</v>
      </c>
      <c r="T1743">
        <v>1.3594907067162818</v>
      </c>
      <c r="U1743">
        <v>0.20968174525792957</v>
      </c>
      <c r="V1743">
        <v>0.237746657475016</v>
      </c>
      <c r="W1743">
        <v>9.7201470546215571E-2</v>
      </c>
      <c r="X1743">
        <v>1.626323236187887E-2</v>
      </c>
      <c r="Y1743">
        <v>4.3642062774260403E-3</v>
      </c>
    </row>
    <row r="1744" spans="1:25" x14ac:dyDescent="0.2">
      <c r="A1744" s="1077"/>
      <c r="B1744" s="1444">
        <v>1494</v>
      </c>
      <c r="C1744" s="1081">
        <v>0.99610448015497322</v>
      </c>
      <c r="D1744" s="1081">
        <v>0.9961819093617994</v>
      </c>
      <c r="E1744" s="1081">
        <v>1.0016787633867761</v>
      </c>
      <c r="F1744" s="1081">
        <v>1.0081822459842427</v>
      </c>
      <c r="G1744" s="1081">
        <v>0.9625641292710363</v>
      </c>
      <c r="H1744" s="1081">
        <v>1.0142682468490043</v>
      </c>
      <c r="I1744" s="1081">
        <v>1.0330406958937528</v>
      </c>
      <c r="K1744">
        <v>2.4342034613821291</v>
      </c>
      <c r="L1744">
        <v>0</v>
      </c>
      <c r="M1744">
        <v>1.6673563631188961E-3</v>
      </c>
      <c r="N1744">
        <v>0.1525440385518409</v>
      </c>
      <c r="O1744">
        <v>2.1086522438148025E-2</v>
      </c>
      <c r="P1744">
        <v>2.8761671237722473E-2</v>
      </c>
      <c r="Q1744">
        <v>5.5272314557450993E-3</v>
      </c>
      <c r="R1744">
        <v>1.6456572581762703E-3</v>
      </c>
      <c r="S1744">
        <v>0.26999884582715783</v>
      </c>
      <c r="T1744">
        <v>1.3828982959989129</v>
      </c>
      <c r="U1744">
        <v>0.21280812236608043</v>
      </c>
      <c r="V1744">
        <v>0.23937645619590009</v>
      </c>
      <c r="W1744">
        <v>0.10011119244982748</v>
      </c>
      <c r="X1744">
        <v>1.6633847399749574E-2</v>
      </c>
      <c r="Y1744">
        <v>4.478936565986448E-3</v>
      </c>
    </row>
    <row r="1745" spans="1:25" x14ac:dyDescent="0.2">
      <c r="A1745" s="1077"/>
      <c r="B1745" s="1444">
        <v>1495</v>
      </c>
      <c r="C1745" s="1081">
        <v>0.99743087555398291</v>
      </c>
      <c r="D1745" s="1081">
        <v>0.95857316816513816</v>
      </c>
      <c r="E1745" s="1081">
        <v>0.99460866867820119</v>
      </c>
      <c r="F1745" s="1081">
        <v>1.0031515456475113</v>
      </c>
      <c r="G1745" s="1081">
        <v>0.99280313856105917</v>
      </c>
      <c r="H1745" s="1081">
        <v>0.97435154449953143</v>
      </c>
      <c r="I1745" s="1081">
        <v>1.028551751698336</v>
      </c>
      <c r="K1745">
        <v>2.4221083544065074</v>
      </c>
      <c r="L1745">
        <v>0</v>
      </c>
      <c r="M1745">
        <v>1.6370337540132797E-3</v>
      </c>
      <c r="N1745">
        <v>0.14652504531012681</v>
      </c>
      <c r="O1745">
        <v>2.1232782389856784E-2</v>
      </c>
      <c r="P1745">
        <v>2.8581153316087297E-2</v>
      </c>
      <c r="Q1745">
        <v>5.5261162348959995E-3</v>
      </c>
      <c r="R1745">
        <v>1.6148564793751635E-3</v>
      </c>
      <c r="S1745">
        <v>0.27011487399787004</v>
      </c>
      <c r="T1745">
        <v>1.3758444722709899</v>
      </c>
      <c r="U1745">
        <v>0.21250090520006135</v>
      </c>
      <c r="V1745">
        <v>0.24448198364513446</v>
      </c>
      <c r="W1745">
        <v>9.6566585962432644E-2</v>
      </c>
      <c r="X1745">
        <v>1.6361506354127791E-2</v>
      </c>
      <c r="Y1745">
        <v>4.3951069995638381E-3</v>
      </c>
    </row>
    <row r="1746" spans="1:25" x14ac:dyDescent="0.2">
      <c r="A1746" s="1077"/>
      <c r="B1746" s="1444">
        <v>1496</v>
      </c>
      <c r="C1746" s="1081">
        <v>1.0053170053387397</v>
      </c>
      <c r="D1746" s="1081">
        <v>0.98881818792601683</v>
      </c>
      <c r="E1746" s="1081">
        <v>1.0221730644209075</v>
      </c>
      <c r="F1746" s="1081">
        <v>0.97007249149022834</v>
      </c>
      <c r="G1746" s="1081">
        <v>1.0350038688425567</v>
      </c>
      <c r="H1746" s="1081">
        <v>1.0319796618388912</v>
      </c>
      <c r="I1746" s="1081">
        <v>0.96874759823982814</v>
      </c>
      <c r="K1746">
        <v>2.381793300905382</v>
      </c>
      <c r="L1746">
        <v>0</v>
      </c>
      <c r="M1746">
        <v>1.6134709448394496E-3</v>
      </c>
      <c r="N1746">
        <v>0.15706998885948878</v>
      </c>
      <c r="O1746">
        <v>2.0941009120657793E-2</v>
      </c>
      <c r="P1746">
        <v>2.8387059742219622E-2</v>
      </c>
      <c r="Q1746">
        <v>5.6025825216055895E-3</v>
      </c>
      <c r="R1746">
        <v>1.5928334855691455E-3</v>
      </c>
      <c r="S1746">
        <v>0.25342797158494818</v>
      </c>
      <c r="T1746">
        <v>1.3310551077971517</v>
      </c>
      <c r="U1746">
        <v>0.21092780259864391</v>
      </c>
      <c r="V1746">
        <v>0.25109643206188026</v>
      </c>
      <c r="W1746">
        <v>0.10184507760349475</v>
      </c>
      <c r="X1746">
        <v>1.7125738804258692E-2</v>
      </c>
      <c r="Y1746">
        <v>4.3351676703018141E-3</v>
      </c>
    </row>
    <row r="1747" spans="1:25" x14ac:dyDescent="0.2">
      <c r="A1747" s="1077"/>
      <c r="B1747" s="1444">
        <v>1497</v>
      </c>
      <c r="C1747" s="1081">
        <v>1.0032991720052256</v>
      </c>
      <c r="D1747" s="1081">
        <v>0.96709946513156564</v>
      </c>
      <c r="E1747" s="1081">
        <v>0.97067961422709048</v>
      </c>
      <c r="F1747" s="1081">
        <v>0.97273669742007784</v>
      </c>
      <c r="G1747" s="1081">
        <v>0.99391616011827777</v>
      </c>
      <c r="H1747" s="1081">
        <v>0.98669973103635944</v>
      </c>
      <c r="I1747" s="1081">
        <v>1.0302292807249289</v>
      </c>
      <c r="K1747">
        <v>2.3717009799677236</v>
      </c>
      <c r="L1747">
        <v>0</v>
      </c>
      <c r="M1747">
        <v>1.7283477883443979E-3</v>
      </c>
      <c r="N1747">
        <v>0.14392050493551156</v>
      </c>
      <c r="O1747">
        <v>2.1051606690220447E-2</v>
      </c>
      <c r="P1747">
        <v>2.7466114708743605E-2</v>
      </c>
      <c r="Q1747">
        <v>5.3475037230284852E-3</v>
      </c>
      <c r="R1747">
        <v>1.7052264831225554E-3</v>
      </c>
      <c r="S1747">
        <v>0.26864903970526277</v>
      </c>
      <c r="T1747">
        <v>1.3336282045901249</v>
      </c>
      <c r="U1747">
        <v>0.21117668878721582</v>
      </c>
      <c r="V1747">
        <v>0.24439289759785796</v>
      </c>
      <c r="W1747">
        <v>9.622762277576373E-2</v>
      </c>
      <c r="X1747">
        <v>1.5222853399912193E-2</v>
      </c>
      <c r="Y1747">
        <v>4.6410643593005098E-3</v>
      </c>
    </row>
    <row r="1748" spans="1:25" x14ac:dyDescent="0.2">
      <c r="A1748" s="1077"/>
      <c r="B1748" s="1444">
        <v>1498</v>
      </c>
      <c r="C1748" s="1081">
        <v>1.0294137270517256</v>
      </c>
      <c r="D1748" s="1081">
        <v>0.95532070092580246</v>
      </c>
      <c r="E1748" s="1081">
        <v>0.98110788465383814</v>
      </c>
      <c r="F1748" s="1081">
        <v>1.0180367747067129</v>
      </c>
      <c r="G1748" s="1081">
        <v>0.96943388153526699</v>
      </c>
      <c r="H1748" s="1081">
        <v>0.99887001495176631</v>
      </c>
      <c r="I1748" s="1081">
        <v>0.99410693552557261</v>
      </c>
      <c r="K1748">
        <v>2.4093238962451</v>
      </c>
      <c r="L1748">
        <v>0</v>
      </c>
      <c r="M1748">
        <v>1.6734306611982726E-3</v>
      </c>
      <c r="N1748">
        <v>0.14383950313014549</v>
      </c>
      <c r="O1748">
        <v>2.0579715020024147E-2</v>
      </c>
      <c r="P1748">
        <v>2.8194864348253294E-2</v>
      </c>
      <c r="Q1748">
        <v>5.2834664623589928E-3</v>
      </c>
      <c r="R1748">
        <v>1.6513167804045688E-3</v>
      </c>
      <c r="S1748">
        <v>0.25532103721747251</v>
      </c>
      <c r="T1748">
        <v>1.3959633653274492</v>
      </c>
      <c r="U1748">
        <v>0.20585397185145543</v>
      </c>
      <c r="V1748">
        <v>0.23859462900787221</v>
      </c>
      <c r="W1748">
        <v>9.5567813223459044E-2</v>
      </c>
      <c r="X1748">
        <v>1.5653304617573582E-2</v>
      </c>
      <c r="Y1748">
        <v>4.4943399198308746E-3</v>
      </c>
    </row>
    <row r="1749" spans="1:25" x14ac:dyDescent="0.2">
      <c r="A1749" s="1077"/>
      <c r="B1749" s="1444">
        <v>1499</v>
      </c>
      <c r="C1749" s="1081">
        <v>0.96436405325074559</v>
      </c>
      <c r="D1749" s="1081">
        <v>0.98984091252051365</v>
      </c>
      <c r="E1749" s="1081">
        <v>1.0078133599253905</v>
      </c>
      <c r="F1749" s="1081">
        <v>1.0302673515413807</v>
      </c>
      <c r="G1749" s="1081">
        <v>0.99057850181557772</v>
      </c>
      <c r="H1749" s="1081">
        <v>1.0185170982425789</v>
      </c>
      <c r="I1749" s="1081">
        <v>1.0418770407395153</v>
      </c>
      <c r="K1749">
        <v>2.5047711966178867</v>
      </c>
      <c r="L1749">
        <v>0</v>
      </c>
      <c r="M1749">
        <v>1.709965910670398E-3</v>
      </c>
      <c r="N1749">
        <v>0.15937659024272158</v>
      </c>
      <c r="O1749">
        <v>2.1815404197781413E-2</v>
      </c>
      <c r="P1749">
        <v>2.967388275156338E-2</v>
      </c>
      <c r="Q1749">
        <v>5.7535640751071853E-3</v>
      </c>
      <c r="R1749">
        <v>1.6878051151311129E-3</v>
      </c>
      <c r="S1749">
        <v>0.2826173545661147</v>
      </c>
      <c r="T1749">
        <v>1.4133287078069003</v>
      </c>
      <c r="U1749">
        <v>0.21983410555369587</v>
      </c>
      <c r="V1749">
        <v>0.24620058095124073</v>
      </c>
      <c r="W1749">
        <v>0.10421599410640006</v>
      </c>
      <c r="X1749">
        <v>1.7383524023319458E-2</v>
      </c>
      <c r="Y1749">
        <v>4.5936491385802185E-3</v>
      </c>
    </row>
    <row r="1750" spans="1:25" x14ac:dyDescent="0.2">
      <c r="A1750" s="1077"/>
      <c r="B1750" s="1444">
        <v>1500</v>
      </c>
      <c r="C1750" s="1081">
        <v>0.98088032407223502</v>
      </c>
      <c r="D1750" s="1081">
        <v>0.99282757488296169</v>
      </c>
      <c r="E1750" s="1081">
        <v>0.97689363083041592</v>
      </c>
      <c r="F1750" s="1081">
        <v>0.9961220078182581</v>
      </c>
      <c r="G1750" s="1081">
        <v>0.98283866627869743</v>
      </c>
      <c r="H1750" s="1081">
        <v>0.96689363352851132</v>
      </c>
      <c r="I1750" s="1081">
        <v>0.96443837933364862</v>
      </c>
      <c r="K1750">
        <v>2.3932480798151738</v>
      </c>
      <c r="L1750">
        <v>0</v>
      </c>
      <c r="M1750">
        <v>1.7004186889194388E-3</v>
      </c>
      <c r="N1750">
        <v>0.14424337874840334</v>
      </c>
      <c r="O1750">
        <v>2.1412932258138652E-2</v>
      </c>
      <c r="P1750">
        <v>2.7866837405180082E-2</v>
      </c>
      <c r="Q1750">
        <v>5.4738698495035345E-3</v>
      </c>
      <c r="R1750">
        <v>1.6772050413163674E-3</v>
      </c>
      <c r="S1750">
        <v>0.25224690059229976</v>
      </c>
      <c r="T1750">
        <v>1.3658227623564039</v>
      </c>
      <c r="U1750">
        <v>0.21602487333801601</v>
      </c>
      <c r="V1750">
        <v>0.24389808119432366</v>
      </c>
      <c r="W1750">
        <v>9.608052588612212E-2</v>
      </c>
      <c r="X1750">
        <v>1.5636332602411061E-2</v>
      </c>
      <c r="Y1750">
        <v>4.5647992319698735E-3</v>
      </c>
    </row>
    <row r="1751" spans="1:25" x14ac:dyDescent="0.2">
      <c r="A1751" s="1077"/>
      <c r="B1751" s="1444">
        <v>1501</v>
      </c>
      <c r="C1751" s="1081">
        <v>0.99973570769574083</v>
      </c>
      <c r="D1751" s="1081">
        <v>1.0278903534463568</v>
      </c>
      <c r="E1751" s="1081">
        <v>0.99239067909146161</v>
      </c>
      <c r="F1751" s="1081">
        <v>1.0117619879444129</v>
      </c>
      <c r="G1751" s="1081">
        <v>1.0059953705332927</v>
      </c>
      <c r="H1751" s="1081">
        <v>0.96246900199283658</v>
      </c>
      <c r="I1751" s="1081">
        <v>0.99817768623096392</v>
      </c>
      <c r="K1751">
        <v>2.4083175348287655</v>
      </c>
      <c r="L1751">
        <v>0</v>
      </c>
      <c r="M1751">
        <v>1.5960689532351E-3</v>
      </c>
      <c r="N1751">
        <v>0.14187982076776809</v>
      </c>
      <c r="O1751">
        <v>2.0859473331184691E-2</v>
      </c>
      <c r="P1751">
        <v>2.8462159894495482E-2</v>
      </c>
      <c r="Q1751">
        <v>5.4168237285303544E-3</v>
      </c>
      <c r="R1751">
        <v>1.5741796913621554E-3</v>
      </c>
      <c r="S1751">
        <v>0.25146785639450853</v>
      </c>
      <c r="T1751">
        <v>1.3876054123132509</v>
      </c>
      <c r="U1751">
        <v>0.21200342098141742</v>
      </c>
      <c r="V1751">
        <v>0.24659903832865812</v>
      </c>
      <c r="W1751">
        <v>9.3629154450767998E-2</v>
      </c>
      <c r="X1751">
        <v>1.6131865708365067E-2</v>
      </c>
      <c r="Y1751">
        <v>4.2843981916919939E-3</v>
      </c>
    </row>
    <row r="1752" spans="1:25" x14ac:dyDescent="0.2">
      <c r="A1752" s="1077"/>
      <c r="B1752" s="1444">
        <v>1502</v>
      </c>
      <c r="C1752" s="1081">
        <v>0.99432917489560269</v>
      </c>
      <c r="D1752" s="1081">
        <v>0.98546421978934495</v>
      </c>
      <c r="E1752" s="1081">
        <v>1.0067271464450904</v>
      </c>
      <c r="F1752" s="1081">
        <v>0.99799364846510541</v>
      </c>
      <c r="G1752" s="1081">
        <v>1.0046605020793424</v>
      </c>
      <c r="H1752" s="1081">
        <v>0.99818113673865994</v>
      </c>
      <c r="I1752" s="1081">
        <v>0.98029941099228268</v>
      </c>
      <c r="K1752">
        <v>2.4126416105222419</v>
      </c>
      <c r="L1752">
        <v>0</v>
      </c>
      <c r="M1752">
        <v>1.6305808667672565E-3</v>
      </c>
      <c r="N1752">
        <v>0.15143936355325036</v>
      </c>
      <c r="O1752">
        <v>2.1177883834992427E-2</v>
      </c>
      <c r="P1752">
        <v>2.8603114379555532E-2</v>
      </c>
      <c r="Q1752">
        <v>5.5793547300039799E-3</v>
      </c>
      <c r="R1752">
        <v>1.609018362322611E-3</v>
      </c>
      <c r="S1752">
        <v>0.25675298932810869</v>
      </c>
      <c r="T1752">
        <v>1.3690319128940556</v>
      </c>
      <c r="U1752">
        <v>0.21320544272949385</v>
      </c>
      <c r="V1752">
        <v>0.2466587066585364</v>
      </c>
      <c r="W1752">
        <v>9.9089443887908524E-2</v>
      </c>
      <c r="X1752">
        <v>1.67457434613008E-2</v>
      </c>
      <c r="Y1752">
        <v>4.3792175694815586E-3</v>
      </c>
    </row>
    <row r="1753" spans="1:25" x14ac:dyDescent="0.2">
      <c r="A1753" s="1077"/>
      <c r="B1753" s="1444">
        <v>1503</v>
      </c>
      <c r="C1753" s="1081">
        <v>0.9701755402878578</v>
      </c>
      <c r="D1753" s="1081">
        <v>1.0180164174718958</v>
      </c>
      <c r="E1753" s="1081">
        <v>0.97476042767676463</v>
      </c>
      <c r="F1753" s="1081">
        <v>0.99105962393356095</v>
      </c>
      <c r="G1753" s="1081">
        <v>1.0068801035341484</v>
      </c>
      <c r="H1753" s="1081">
        <v>0.99181296135431996</v>
      </c>
      <c r="I1753" s="1081">
        <v>1.0071174255845128</v>
      </c>
      <c r="K1753">
        <v>2.4140637628369017</v>
      </c>
      <c r="L1753">
        <v>0</v>
      </c>
      <c r="M1753">
        <v>1.7615429499277628E-3</v>
      </c>
      <c r="N1753">
        <v>0.14851841439641583</v>
      </c>
      <c r="O1753">
        <v>2.1528750698009604E-2</v>
      </c>
      <c r="P1753">
        <v>2.7997146747698574E-2</v>
      </c>
      <c r="Q1753">
        <v>5.4915296455613442E-3</v>
      </c>
      <c r="R1753">
        <v>1.7380990598992647E-3</v>
      </c>
      <c r="S1753">
        <v>0.26515180551185424</v>
      </c>
      <c r="T1753">
        <v>1.3588360291424562</v>
      </c>
      <c r="U1753">
        <v>0.21840097555435942</v>
      </c>
      <c r="V1753">
        <v>0.24871579125271864</v>
      </c>
      <c r="W1753">
        <v>9.9056059624854462E-2</v>
      </c>
      <c r="X1753">
        <v>1.566017147615624E-2</v>
      </c>
      <c r="Y1753">
        <v>4.7305326768446914E-3</v>
      </c>
    </row>
    <row r="1754" spans="1:25" x14ac:dyDescent="0.2">
      <c r="A1754" s="1077"/>
      <c r="B1754" s="1444">
        <v>1504</v>
      </c>
      <c r="C1754" s="1081">
        <v>1.0017029064448275</v>
      </c>
      <c r="D1754" s="1081">
        <v>1.0285624556933779</v>
      </c>
      <c r="E1754" s="1081">
        <v>1.0043658543763696</v>
      </c>
      <c r="F1754" s="1081">
        <v>1.0002636444062691</v>
      </c>
      <c r="G1754" s="1081">
        <v>0.99706790799717016</v>
      </c>
      <c r="H1754" s="1081">
        <v>1.001100524933372</v>
      </c>
      <c r="I1754" s="1081">
        <v>1.0010335456703372</v>
      </c>
      <c r="K1754">
        <v>2.4059471264376904</v>
      </c>
      <c r="L1754">
        <v>0</v>
      </c>
      <c r="M1754">
        <v>1.615999347991669E-3</v>
      </c>
      <c r="N1754">
        <v>0.14902447612680936</v>
      </c>
      <c r="O1754">
        <v>2.082339793591657E-2</v>
      </c>
      <c r="P1754">
        <v>2.8525026499458664E-2</v>
      </c>
      <c r="Q1754">
        <v>5.4729988990374692E-3</v>
      </c>
      <c r="R1754">
        <v>1.5946919847083484E-3</v>
      </c>
      <c r="S1754">
        <v>0.25496916115711149</v>
      </c>
      <c r="T1754">
        <v>1.3720947165955883</v>
      </c>
      <c r="U1754">
        <v>0.21162793097207808</v>
      </c>
      <c r="V1754">
        <v>0.24490877584345291</v>
      </c>
      <c r="W1754">
        <v>9.7645684978849775E-2</v>
      </c>
      <c r="X1754">
        <v>1.6536038900365257E-2</v>
      </c>
      <c r="Y1754">
        <v>4.3402258923046482E-3</v>
      </c>
    </row>
    <row r="1755" spans="1:25" x14ac:dyDescent="0.2">
      <c r="A1755" s="1077"/>
      <c r="B1755" s="1444">
        <v>1505</v>
      </c>
      <c r="C1755" s="1081">
        <v>1.0444103057325234</v>
      </c>
      <c r="D1755" s="1081">
        <v>0.97702463536729534</v>
      </c>
      <c r="E1755" s="1081">
        <v>0.99504473788883918</v>
      </c>
      <c r="F1755" s="1081">
        <v>0.99125414088742625</v>
      </c>
      <c r="G1755" s="1081">
        <v>0.98077138242471995</v>
      </c>
      <c r="H1755" s="1081">
        <v>0.99991831907331841</v>
      </c>
      <c r="I1755" s="1081">
        <v>1.0043323677941416</v>
      </c>
      <c r="K1755">
        <v>2.3645593559256959</v>
      </c>
      <c r="L1755">
        <v>0</v>
      </c>
      <c r="M1755">
        <v>1.5962612294225403E-3</v>
      </c>
      <c r="N1755">
        <v>0.14311430687118537</v>
      </c>
      <c r="O1755">
        <v>2.0193095498103622E-2</v>
      </c>
      <c r="P1755">
        <v>2.7920464149221589E-2</v>
      </c>
      <c r="Q1755">
        <v>5.257834544164423E-3</v>
      </c>
      <c r="R1755">
        <v>1.5751892342126318E-3</v>
      </c>
      <c r="S1755">
        <v>0.25157053653931466</v>
      </c>
      <c r="T1755">
        <v>1.3595362583504256</v>
      </c>
      <c r="U1755">
        <v>0.20294366317216778</v>
      </c>
      <c r="V1755">
        <v>0.23961187929390551</v>
      </c>
      <c r="W1755">
        <v>9.4294214111055735E-2</v>
      </c>
      <c r="X1755">
        <v>1.5851029556824887E-2</v>
      </c>
      <c r="Y1755">
        <v>4.2871458345352794E-3</v>
      </c>
    </row>
    <row r="1756" spans="1:25" x14ac:dyDescent="0.2">
      <c r="A1756" s="1077"/>
      <c r="B1756" s="1444">
        <v>1506</v>
      </c>
      <c r="C1756" s="1081">
        <v>0.98366446832568666</v>
      </c>
      <c r="D1756" s="1081">
        <v>0.97958985316812353</v>
      </c>
      <c r="E1756" s="1081">
        <v>0.9705841924475539</v>
      </c>
      <c r="F1756" s="1081">
        <v>0.95692824382368358</v>
      </c>
      <c r="G1756" s="1081">
        <v>1.030303255786877</v>
      </c>
      <c r="H1756" s="1081">
        <v>0.97698818503226448</v>
      </c>
      <c r="I1756" s="1081">
        <v>1.0422388341389104</v>
      </c>
      <c r="K1756">
        <v>2.3697338613503192</v>
      </c>
      <c r="L1756">
        <v>0</v>
      </c>
      <c r="M1756">
        <v>1.7409182682650416E-3</v>
      </c>
      <c r="N1756">
        <v>0.14490584587257274</v>
      </c>
      <c r="O1756">
        <v>2.141121546413334E-2</v>
      </c>
      <c r="P1756">
        <v>2.7409164373685169E-2</v>
      </c>
      <c r="Q1756">
        <v>5.4383208802239119E-3</v>
      </c>
      <c r="R1756">
        <v>1.7173972949474378E-3</v>
      </c>
      <c r="S1756">
        <v>0.27453399856775079</v>
      </c>
      <c r="T1756">
        <v>1.3119527512458351</v>
      </c>
      <c r="U1756">
        <v>0.21539160883939462</v>
      </c>
      <c r="V1756">
        <v>0.25185303849981816</v>
      </c>
      <c r="W1756">
        <v>9.6892062175141513E-2</v>
      </c>
      <c r="X1756">
        <v>1.5295187108095961E-2</v>
      </c>
      <c r="Y1756">
        <v>4.6741892969807989E-3</v>
      </c>
    </row>
    <row r="1757" spans="1:25" x14ac:dyDescent="0.2">
      <c r="A1757" s="1077"/>
      <c r="B1757" s="1444">
        <v>1507</v>
      </c>
      <c r="C1757" s="1081">
        <v>1.0371958969454953</v>
      </c>
      <c r="D1757" s="1081">
        <v>1.019258520029404</v>
      </c>
      <c r="E1757" s="1081">
        <v>1.0036334697428251</v>
      </c>
      <c r="F1757" s="1081">
        <v>0.9807598614460642</v>
      </c>
      <c r="G1757" s="1081">
        <v>0.95812646490155595</v>
      </c>
      <c r="H1757" s="1081">
        <v>1.0335349719275355</v>
      </c>
      <c r="I1757" s="1081">
        <v>1.0138613583548322</v>
      </c>
      <c r="K1757">
        <v>2.3592490989844208</v>
      </c>
      <c r="L1757">
        <v>0</v>
      </c>
      <c r="M1757">
        <v>1.6169447726184462E-3</v>
      </c>
      <c r="N1757">
        <v>0.14884457045598415</v>
      </c>
      <c r="O1757">
        <v>2.0150594708420608E-2</v>
      </c>
      <c r="P1757">
        <v>2.7899949688949353E-2</v>
      </c>
      <c r="Q1757">
        <v>5.2922776292326293E-3</v>
      </c>
      <c r="R1757">
        <v>1.5962940036255799E-3</v>
      </c>
      <c r="S1757">
        <v>0.2532101418971392</v>
      </c>
      <c r="T1757">
        <v>1.3453251846701619</v>
      </c>
      <c r="U1757">
        <v>0.20438357801168458</v>
      </c>
      <c r="V1757">
        <v>0.23613036448540881</v>
      </c>
      <c r="W1757">
        <v>9.757013313758385E-2</v>
      </c>
      <c r="X1757">
        <v>1.6118369009152943E-2</v>
      </c>
      <c r="Y1757">
        <v>4.3445860596919589E-3</v>
      </c>
    </row>
    <row r="1758" spans="1:25" x14ac:dyDescent="0.2">
      <c r="A1758" s="1077"/>
      <c r="B1758" s="1444">
        <v>1508</v>
      </c>
      <c r="C1758" s="1081">
        <v>0.98171805366956544</v>
      </c>
      <c r="D1758" s="1081">
        <v>1.0414495614684942</v>
      </c>
      <c r="E1758" s="1081">
        <v>1.0309175257679535</v>
      </c>
      <c r="F1758" s="1081">
        <v>0.9535954504445735</v>
      </c>
      <c r="G1758" s="1081">
        <v>0.96326611525975314</v>
      </c>
      <c r="H1758" s="1081">
        <v>1.0060183778297316</v>
      </c>
      <c r="I1758" s="1081">
        <v>0.99938728737084526</v>
      </c>
      <c r="K1758">
        <v>2.3575404024023521</v>
      </c>
      <c r="L1758">
        <v>0</v>
      </c>
      <c r="M1758">
        <v>1.5636802355676268E-3</v>
      </c>
      <c r="N1758">
        <v>0.15623777124287122</v>
      </c>
      <c r="O1758">
        <v>2.1207015146189039E-2</v>
      </c>
      <c r="P1758">
        <v>2.8250665376176983E-2</v>
      </c>
      <c r="Q1758">
        <v>5.723109761085571E-3</v>
      </c>
      <c r="R1758">
        <v>1.543163500482575E-3</v>
      </c>
      <c r="S1758">
        <v>0.25877156159324644</v>
      </c>
      <c r="T1758">
        <v>1.30862792882301</v>
      </c>
      <c r="U1758">
        <v>0.21602874347139359</v>
      </c>
      <c r="V1758">
        <v>0.24031690367662942</v>
      </c>
      <c r="W1758">
        <v>0.10079115415826305</v>
      </c>
      <c r="X1758">
        <v>1.7406083543967291E-2</v>
      </c>
      <c r="Y1758">
        <v>4.1999823446023524E-3</v>
      </c>
    </row>
    <row r="1759" spans="1:25" x14ac:dyDescent="0.2">
      <c r="A1759" s="1077"/>
      <c r="B1759" s="1444">
        <v>1509</v>
      </c>
      <c r="C1759" s="1081">
        <v>0.97355476337651126</v>
      </c>
      <c r="D1759" s="1081">
        <v>0.99196353067643006</v>
      </c>
      <c r="E1759" s="1081">
        <v>1.0135415463503161</v>
      </c>
      <c r="F1759" s="1081">
        <v>1.0222712967977667</v>
      </c>
      <c r="G1759" s="1081">
        <v>1.0089745004042776</v>
      </c>
      <c r="H1759" s="1081">
        <v>1.0109091325727653</v>
      </c>
      <c r="I1759" s="1081">
        <v>0.96256778909269902</v>
      </c>
      <c r="K1759">
        <v>2.4652518702345603</v>
      </c>
      <c r="L1759">
        <v>0</v>
      </c>
      <c r="M1759">
        <v>1.6604982578623537E-3</v>
      </c>
      <c r="N1759">
        <v>0.15744998872184973</v>
      </c>
      <c r="O1759">
        <v>2.1603195853502434E-2</v>
      </c>
      <c r="P1759">
        <v>2.9313868770822763E-2</v>
      </c>
      <c r="Q1759">
        <v>5.7303029909975692E-3</v>
      </c>
      <c r="R1759">
        <v>1.6388165982151892E-3</v>
      </c>
      <c r="S1759">
        <v>0.25776774205056868</v>
      </c>
      <c r="T1759">
        <v>1.4024865771314334</v>
      </c>
      <c r="U1759">
        <v>0.21777893718291585</v>
      </c>
      <c r="V1759">
        <v>0.24871015157486179</v>
      </c>
      <c r="W1759">
        <v>0.10260920211050514</v>
      </c>
      <c r="X1759">
        <v>1.7363266962153453E-2</v>
      </c>
      <c r="Y1759">
        <v>4.4603185445953345E-3</v>
      </c>
    </row>
    <row r="1760" spans="1:25" x14ac:dyDescent="0.2">
      <c r="A1760" s="1077"/>
      <c r="B1760" s="1444">
        <v>1510</v>
      </c>
      <c r="C1760" s="1081">
        <v>1.0243228285112909</v>
      </c>
      <c r="D1760" s="1081">
        <v>1.0089827911378091</v>
      </c>
      <c r="E1760" s="1081">
        <v>0.97924766702696464</v>
      </c>
      <c r="F1760" s="1081">
        <v>0.9892110808871768</v>
      </c>
      <c r="G1760" s="1081">
        <v>1.0078251428396916</v>
      </c>
      <c r="H1760" s="1081">
        <v>0.96291696621446643</v>
      </c>
      <c r="I1760" s="1081">
        <v>1.0198851090279748</v>
      </c>
      <c r="K1760">
        <v>2.3635577375296069</v>
      </c>
      <c r="L1760">
        <v>0</v>
      </c>
      <c r="M1760">
        <v>1.6080133761323548E-3</v>
      </c>
      <c r="N1760">
        <v>0.13737210617105186</v>
      </c>
      <c r="O1760">
        <v>2.0433622711996828E-2</v>
      </c>
      <c r="P1760">
        <v>2.7698913118496545E-2</v>
      </c>
      <c r="Q1760">
        <v>5.2360516281021677E-3</v>
      </c>
      <c r="R1760">
        <v>1.585970562103575E-3</v>
      </c>
      <c r="S1760">
        <v>0.25304998517857014</v>
      </c>
      <c r="T1760">
        <v>1.3563970499783458</v>
      </c>
      <c r="U1760">
        <v>0.20687088102214954</v>
      </c>
      <c r="V1760">
        <v>0.24546230823333753</v>
      </c>
      <c r="W1760">
        <v>9.1373399049689594E-2</v>
      </c>
      <c r="X1760">
        <v>1.5368974196906271E-2</v>
      </c>
      <c r="Y1760">
        <v>4.3164890549906437E-3</v>
      </c>
    </row>
    <row r="1761" spans="1:25" x14ac:dyDescent="0.2">
      <c r="A1761" s="1077"/>
      <c r="B1761" s="1444">
        <v>1511</v>
      </c>
      <c r="C1761" s="1081">
        <v>1.0167988977341342</v>
      </c>
      <c r="D1761" s="1081">
        <v>1.0119770480561565</v>
      </c>
      <c r="E1761" s="1081">
        <v>0.95668814877199848</v>
      </c>
      <c r="F1761" s="1081">
        <v>0.97896810027957215</v>
      </c>
      <c r="G1761" s="1081">
        <v>0.97063285320930859</v>
      </c>
      <c r="H1761" s="1081">
        <v>0.99922465358156354</v>
      </c>
      <c r="I1761" s="1081">
        <v>1.0106926940751633</v>
      </c>
      <c r="K1761">
        <v>2.3521491677873594</v>
      </c>
      <c r="L1761">
        <v>0</v>
      </c>
      <c r="M1761">
        <v>1.7599583538383961E-3</v>
      </c>
      <c r="N1761">
        <v>0.14049487054331367</v>
      </c>
      <c r="O1761">
        <v>2.0556799367761641E-2</v>
      </c>
      <c r="P1761">
        <v>2.7001626718149742E-2</v>
      </c>
      <c r="Q1761">
        <v>5.1474106675748216E-3</v>
      </c>
      <c r="R1761">
        <v>1.7367092900621515E-3</v>
      </c>
      <c r="S1761">
        <v>0.25512721209053751</v>
      </c>
      <c r="T1761">
        <v>1.3418775125930194</v>
      </c>
      <c r="U1761">
        <v>0.20832620537321678</v>
      </c>
      <c r="V1761">
        <v>0.23963844637071605</v>
      </c>
      <c r="W1761">
        <v>9.4744605921830274E-2</v>
      </c>
      <c r="X1761">
        <v>1.4530977023527373E-2</v>
      </c>
      <c r="Y1761">
        <v>4.7267501814855723E-3</v>
      </c>
    </row>
    <row r="1762" spans="1:25" x14ac:dyDescent="0.2">
      <c r="A1762" s="1077"/>
      <c r="B1762" s="1444">
        <v>1512</v>
      </c>
      <c r="C1762" s="1081">
        <v>0.97338625374208843</v>
      </c>
      <c r="D1762" s="1081">
        <v>1.0122153861049425</v>
      </c>
      <c r="E1762" s="1081">
        <v>0.97354402797122508</v>
      </c>
      <c r="F1762" s="1081">
        <v>1.0368958002979702</v>
      </c>
      <c r="G1762" s="1081">
        <v>0.99363955232510159</v>
      </c>
      <c r="H1762" s="1081">
        <v>1.0312778068457953</v>
      </c>
      <c r="I1762" s="1081">
        <v>0.98139586688171998</v>
      </c>
      <c r="K1762">
        <v>2.480465280361007</v>
      </c>
      <c r="L1762">
        <v>0</v>
      </c>
      <c r="M1762">
        <v>1.8324898785924495E-3</v>
      </c>
      <c r="N1762">
        <v>0.15401169193050296</v>
      </c>
      <c r="O1762">
        <v>2.1483908637449745E-2</v>
      </c>
      <c r="P1762">
        <v>2.8721577159492365E-2</v>
      </c>
      <c r="Q1762">
        <v>5.4732982080405411E-3</v>
      </c>
      <c r="R1762">
        <v>1.8090350571455763E-3</v>
      </c>
      <c r="S1762">
        <v>0.26162694114219803</v>
      </c>
      <c r="T1762">
        <v>1.4216546083946133</v>
      </c>
      <c r="U1762">
        <v>0.21767632643747845</v>
      </c>
      <c r="V1762">
        <v>0.24624543076774036</v>
      </c>
      <c r="W1762">
        <v>0.10279568953928522</v>
      </c>
      <c r="X1762">
        <v>1.5875665888347143E-2</v>
      </c>
      <c r="Y1762">
        <v>4.9235970773039437E-3</v>
      </c>
    </row>
    <row r="1763" spans="1:25" x14ac:dyDescent="0.2">
      <c r="A1763" s="1077"/>
      <c r="B1763" s="1444">
        <v>1513</v>
      </c>
      <c r="C1763" s="1081">
        <v>1.0087118222527436</v>
      </c>
      <c r="D1763" s="1081">
        <v>1.0212695284607496</v>
      </c>
      <c r="E1763" s="1081">
        <v>0.99331480094487179</v>
      </c>
      <c r="F1763" s="1081">
        <v>0.98067053913378965</v>
      </c>
      <c r="G1763" s="1081">
        <v>1.0309223332790691</v>
      </c>
      <c r="H1763" s="1081">
        <v>0.98926622034600764</v>
      </c>
      <c r="I1763" s="1081">
        <v>0.98991248361581285</v>
      </c>
      <c r="K1763">
        <v>2.3703872053786377</v>
      </c>
      <c r="L1763">
        <v>0</v>
      </c>
      <c r="M1763">
        <v>1.6251071709414188E-3</v>
      </c>
      <c r="N1763">
        <v>0.14491979620350498</v>
      </c>
      <c r="O1763">
        <v>2.0703869661418919E-2</v>
      </c>
      <c r="P1763">
        <v>2.7910614181171141E-2</v>
      </c>
      <c r="Q1763">
        <v>5.3814326507423899E-3</v>
      </c>
      <c r="R1763">
        <v>1.6034233883007462E-3</v>
      </c>
      <c r="S1763">
        <v>0.25020167940935256</v>
      </c>
      <c r="T1763">
        <v>1.3449838663551459</v>
      </c>
      <c r="U1763">
        <v>0.21012001716245429</v>
      </c>
      <c r="V1763">
        <v>0.25029797717881114</v>
      </c>
      <c r="W1763">
        <v>9.5582480952058568E-2</v>
      </c>
      <c r="X1763">
        <v>1.5943165512039358E-2</v>
      </c>
      <c r="Y1763">
        <v>4.3639898945767351E-3</v>
      </c>
    </row>
    <row r="1764" spans="1:25" x14ac:dyDescent="0.2">
      <c r="A1764" s="1077"/>
      <c r="B1764" s="1444">
        <v>1514</v>
      </c>
      <c r="C1764" s="1081">
        <v>1.0118900096051471</v>
      </c>
      <c r="D1764" s="1081">
        <v>1.010032426253276</v>
      </c>
      <c r="E1764" s="1081">
        <v>1.0213362733910849</v>
      </c>
      <c r="F1764" s="1081">
        <v>0.95407405323635497</v>
      </c>
      <c r="G1764" s="1081">
        <v>1.0178639220014407</v>
      </c>
      <c r="H1764" s="1081">
        <v>0.96253294264548728</v>
      </c>
      <c r="I1764" s="1081">
        <v>1.0018202882272442</v>
      </c>
      <c r="K1764">
        <v>2.331612181103011</v>
      </c>
      <c r="L1764">
        <v>0</v>
      </c>
      <c r="M1764">
        <v>1.4907455561556961E-3</v>
      </c>
      <c r="N1764">
        <v>0.14462161807402027</v>
      </c>
      <c r="O1764">
        <v>2.0707499134127828E-2</v>
      </c>
      <c r="P1764">
        <v>2.7977364478064291E-2</v>
      </c>
      <c r="Q1764">
        <v>5.5355065769724741E-3</v>
      </c>
      <c r="R1764">
        <v>1.4703021084501136E-3</v>
      </c>
      <c r="S1764">
        <v>0.25179300275706396</v>
      </c>
      <c r="T1764">
        <v>1.3090860022995834</v>
      </c>
      <c r="U1764">
        <v>0.20955482810366294</v>
      </c>
      <c r="V1764">
        <v>0.24777094410488285</v>
      </c>
      <c r="W1764">
        <v>9.3819339253342113E-2</v>
      </c>
      <c r="X1764">
        <v>1.6764842114751773E-2</v>
      </c>
      <c r="Y1764">
        <v>4.0016776542414209E-3</v>
      </c>
    </row>
    <row r="1765" spans="1:25" x14ac:dyDescent="0.2">
      <c r="A1765" s="1077"/>
      <c r="B1765" s="1444">
        <v>1515</v>
      </c>
      <c r="C1765" s="1081">
        <v>1.0082595182850778</v>
      </c>
      <c r="D1765" s="1081">
        <v>1.0145651290869468</v>
      </c>
      <c r="E1765" s="1081">
        <v>0.99843572314740892</v>
      </c>
      <c r="F1765" s="1081">
        <v>0.99786198214159527</v>
      </c>
      <c r="G1765" s="1081">
        <v>1.0050600826679716</v>
      </c>
      <c r="H1765" s="1081">
        <v>0.99244542876235342</v>
      </c>
      <c r="I1765" s="1081">
        <v>0.96393343770765005</v>
      </c>
      <c r="K1765">
        <v>2.3871756917412457</v>
      </c>
      <c r="L1765">
        <v>0</v>
      </c>
      <c r="M1765">
        <v>1.6161782913207384E-3</v>
      </c>
      <c r="N1765">
        <v>0.14637771873965646</v>
      </c>
      <c r="O1765">
        <v>2.074655065402323E-2</v>
      </c>
      <c r="P1765">
        <v>2.8209059681456351E-2</v>
      </c>
      <c r="Q1765">
        <v>5.420419577103144E-3</v>
      </c>
      <c r="R1765">
        <v>1.5946827269706881E-3</v>
      </c>
      <c r="S1765">
        <v>0.24484528631845118</v>
      </c>
      <c r="T1765">
        <v>1.3686722567617762</v>
      </c>
      <c r="U1765">
        <v>0.21023162657053274</v>
      </c>
      <c r="V1765">
        <v>0.24588977256426944</v>
      </c>
      <c r="W1765">
        <v>9.6249709558569679E-2</v>
      </c>
      <c r="X1765">
        <v>1.621458618395908E-2</v>
      </c>
      <c r="Y1765">
        <v>4.3402006957945494E-3</v>
      </c>
    </row>
    <row r="1766" spans="1:25" x14ac:dyDescent="0.2">
      <c r="A1766" s="1077"/>
      <c r="B1766" s="1444">
        <v>1516</v>
      </c>
      <c r="C1766" s="1081">
        <v>0.986556949098081</v>
      </c>
      <c r="D1766" s="1081">
        <v>1.0024619897036326</v>
      </c>
      <c r="E1766" s="1081">
        <v>1.0045244941666087</v>
      </c>
      <c r="F1766" s="1081">
        <v>0.96125554636940902</v>
      </c>
      <c r="G1766" s="1081">
        <v>1.0244228061057263</v>
      </c>
      <c r="H1766" s="1081">
        <v>1.0289328416211012</v>
      </c>
      <c r="I1766" s="1081">
        <v>1.029000829403157</v>
      </c>
      <c r="K1766">
        <v>2.3911454814570603</v>
      </c>
      <c r="L1766">
        <v>0</v>
      </c>
      <c r="M1766">
        <v>1.6954308859330738E-3</v>
      </c>
      <c r="N1766">
        <v>0.15648097067086783</v>
      </c>
      <c r="O1766">
        <v>2.1263089062314507E-2</v>
      </c>
      <c r="P1766">
        <v>2.8150786153952164E-2</v>
      </c>
      <c r="Q1766">
        <v>5.5894516480599066E-3</v>
      </c>
      <c r="R1766">
        <v>1.6736808850166336E-3</v>
      </c>
      <c r="S1766">
        <v>0.27201946431418234</v>
      </c>
      <c r="T1766">
        <v>1.318589319751174</v>
      </c>
      <c r="U1766">
        <v>0.2148774648811683</v>
      </c>
      <c r="V1766">
        <v>0.25053537828782579</v>
      </c>
      <c r="W1766">
        <v>0.10252178973135628</v>
      </c>
      <c r="X1766">
        <v>1.6584309316813775E-2</v>
      </c>
      <c r="Y1766">
        <v>4.5552076402598125E-3</v>
      </c>
    </row>
    <row r="1767" spans="1:25" x14ac:dyDescent="0.2">
      <c r="A1767" s="1077"/>
      <c r="B1767" s="1444">
        <v>1517</v>
      </c>
      <c r="C1767" s="1081">
        <v>0.99020752613953777</v>
      </c>
      <c r="D1767" s="1081">
        <v>1.0054234534668405</v>
      </c>
      <c r="E1767" s="1081">
        <v>1.0242167683031136</v>
      </c>
      <c r="F1767" s="1081">
        <v>1.0236220746680726</v>
      </c>
      <c r="G1767" s="1081">
        <v>0.97897253261356376</v>
      </c>
      <c r="H1767" s="1081">
        <v>0.99268041205398494</v>
      </c>
      <c r="I1767" s="1081">
        <v>0.9999466936021475</v>
      </c>
      <c r="K1767">
        <v>2.4514904065743464</v>
      </c>
      <c r="L1767">
        <v>0</v>
      </c>
      <c r="M1767">
        <v>1.5632825647515346E-3</v>
      </c>
      <c r="N1767">
        <v>0.15304660649246052</v>
      </c>
      <c r="O1767">
        <v>2.1184167203944452E-2</v>
      </c>
      <c r="P1767">
        <v>2.9467605117445284E-2</v>
      </c>
      <c r="Q1767">
        <v>5.6791439090547007E-3</v>
      </c>
      <c r="R1767">
        <v>1.542495448236986E-3</v>
      </c>
      <c r="S1767">
        <v>0.26002932089566255</v>
      </c>
      <c r="T1767">
        <v>1.4045769715991578</v>
      </c>
      <c r="U1767">
        <v>0.21415340901134497</v>
      </c>
      <c r="V1767">
        <v>0.2424742401083422</v>
      </c>
      <c r="W1767">
        <v>9.9118007263608615E-2</v>
      </c>
      <c r="X1767">
        <v>1.7583557963222904E-2</v>
      </c>
      <c r="Y1767">
        <v>4.1981641266132233E-3</v>
      </c>
    </row>
    <row r="1768" spans="1:25" x14ac:dyDescent="0.2">
      <c r="A1768" s="1077"/>
      <c r="B1768" s="1444">
        <v>1518</v>
      </c>
      <c r="C1768" s="1081">
        <v>1.0257910600874709</v>
      </c>
      <c r="D1768" s="1081">
        <v>0.9997621416537148</v>
      </c>
      <c r="E1768" s="1081">
        <v>1.0157271013667857</v>
      </c>
      <c r="F1768" s="1081">
        <v>1.0134884385747249</v>
      </c>
      <c r="G1768" s="1081">
        <v>0.97090258184989153</v>
      </c>
      <c r="H1768" s="1081">
        <v>0.98270683994994701</v>
      </c>
      <c r="I1768" s="1081">
        <v>1.0168390021489648</v>
      </c>
      <c r="K1768">
        <v>2.4066859349230816</v>
      </c>
      <c r="L1768">
        <v>0</v>
      </c>
      <c r="M1768">
        <v>1.5224051164084969E-3</v>
      </c>
      <c r="N1768">
        <v>0.14525600643046652</v>
      </c>
      <c r="O1768">
        <v>2.0469221941484046E-2</v>
      </c>
      <c r="P1768">
        <v>2.8870121924558022E-2</v>
      </c>
      <c r="Q1768">
        <v>5.4413583402212144E-3</v>
      </c>
      <c r="R1768">
        <v>1.5019560976018912E-3</v>
      </c>
      <c r="S1768">
        <v>0.25506255335787831</v>
      </c>
      <c r="T1768">
        <v>1.3904851401863902</v>
      </c>
      <c r="U1768">
        <v>0.20669629270187631</v>
      </c>
      <c r="V1768">
        <v>0.23893926372674759</v>
      </c>
      <c r="W1768">
        <v>9.4540982182605954E-2</v>
      </c>
      <c r="X1768">
        <v>1.6857613771683468E-2</v>
      </c>
      <c r="Y1768">
        <v>4.0878293779778412E-3</v>
      </c>
    </row>
    <row r="1769" spans="1:25" x14ac:dyDescent="0.2">
      <c r="A1769" s="1077"/>
      <c r="B1769" s="1444">
        <v>1519</v>
      </c>
      <c r="C1769" s="1081">
        <v>1.012793151988937</v>
      </c>
      <c r="D1769" s="1081">
        <v>0.99385431825787607</v>
      </c>
      <c r="E1769" s="1081">
        <v>0.97443323530936443</v>
      </c>
      <c r="F1769" s="1081">
        <v>1.0107204799086422</v>
      </c>
      <c r="G1769" s="1081">
        <v>1.0316247673594363</v>
      </c>
      <c r="H1769" s="1081">
        <v>1.0125312587471851</v>
      </c>
      <c r="I1769" s="1081">
        <v>1.0243957339825944</v>
      </c>
      <c r="K1769">
        <v>2.4262888528332169</v>
      </c>
      <c r="L1769">
        <v>0</v>
      </c>
      <c r="M1769">
        <v>1.7329661778978859E-3</v>
      </c>
      <c r="N1769">
        <v>0.14600471800716805</v>
      </c>
      <c r="O1769">
        <v>2.0731893358277197E-2</v>
      </c>
      <c r="P1769">
        <v>2.8222910690193552E-2</v>
      </c>
      <c r="Q1769">
        <v>5.286504507805382E-3</v>
      </c>
      <c r="R1769">
        <v>1.7103745323507067E-3</v>
      </c>
      <c r="S1769">
        <v>0.26325961013562499</v>
      </c>
      <c r="T1769">
        <v>1.385785798514523</v>
      </c>
      <c r="U1769">
        <v>0.20920971890357204</v>
      </c>
      <c r="V1769">
        <v>0.2502406440853962</v>
      </c>
      <c r="W1769">
        <v>9.7398844446310598E-2</v>
      </c>
      <c r="X1769">
        <v>1.5515726177646906E-2</v>
      </c>
      <c r="Y1769">
        <v>4.6550756522455656E-3</v>
      </c>
    </row>
    <row r="1770" spans="1:25" x14ac:dyDescent="0.2">
      <c r="A1770" s="1077"/>
      <c r="B1770" s="1444">
        <v>1520</v>
      </c>
      <c r="C1770" s="1081">
        <v>0.99862195275269838</v>
      </c>
      <c r="D1770" s="1081">
        <v>1.0315666176628902</v>
      </c>
      <c r="E1770" s="1081">
        <v>1.0023193325104303</v>
      </c>
      <c r="F1770" s="1081">
        <v>0.98176590562539923</v>
      </c>
      <c r="G1770" s="1081">
        <v>0.99892643100725209</v>
      </c>
      <c r="H1770" s="1081">
        <v>0.97501765531067619</v>
      </c>
      <c r="I1770" s="1081">
        <v>1.0304119303950883</v>
      </c>
      <c r="K1770">
        <v>2.3805253531714405</v>
      </c>
      <c r="L1770">
        <v>0</v>
      </c>
      <c r="M1770">
        <v>1.5844543309535418E-3</v>
      </c>
      <c r="N1770">
        <v>0.14516312628230513</v>
      </c>
      <c r="O1770">
        <v>2.087289309336467E-2</v>
      </c>
      <c r="P1770">
        <v>2.8226966929294738E-2</v>
      </c>
      <c r="Q1770">
        <v>5.4747546986944565E-3</v>
      </c>
      <c r="R1770">
        <v>1.5630040263114645E-3</v>
      </c>
      <c r="S1770">
        <v>0.26058953514640282</v>
      </c>
      <c r="T1770">
        <v>1.3466772718479549</v>
      </c>
      <c r="U1770">
        <v>0.21227383777925904</v>
      </c>
      <c r="V1770">
        <v>0.24542559729417496</v>
      </c>
      <c r="W1770">
        <v>9.5231061132647163E-2</v>
      </c>
      <c r="X1770">
        <v>1.6357777556501859E-2</v>
      </c>
      <c r="Y1770">
        <v>4.2539817154810073E-3</v>
      </c>
    </row>
    <row r="1771" spans="1:25" x14ac:dyDescent="0.2">
      <c r="A1771" s="1077"/>
      <c r="B1771" s="1444">
        <v>1521</v>
      </c>
      <c r="C1771" s="1081">
        <v>1.0151411942352271</v>
      </c>
      <c r="D1771" s="1081">
        <v>1.0212841393046197</v>
      </c>
      <c r="E1771" s="1081">
        <v>1.0079925719311529</v>
      </c>
      <c r="F1771" s="1081">
        <v>1.0067481296454344</v>
      </c>
      <c r="G1771" s="1081">
        <v>1.0320382856206551</v>
      </c>
      <c r="H1771" s="1081">
        <v>0.99442123851769415</v>
      </c>
      <c r="I1771" s="1081">
        <v>0.99176047481677954</v>
      </c>
      <c r="K1771">
        <v>2.4078496514274046</v>
      </c>
      <c r="L1771">
        <v>0</v>
      </c>
      <c r="M1771">
        <v>1.5745431924025723E-3</v>
      </c>
      <c r="N1771">
        <v>0.14678729608301797</v>
      </c>
      <c r="O1771">
        <v>2.0582230078937624E-2</v>
      </c>
      <c r="P1771">
        <v>2.8683716963117334E-2</v>
      </c>
      <c r="Q1771">
        <v>5.4293021484605464E-3</v>
      </c>
      <c r="R1771">
        <v>1.5536429941492512E-3</v>
      </c>
      <c r="S1771">
        <v>0.24962157541410793</v>
      </c>
      <c r="T1771">
        <v>1.3810687659704128</v>
      </c>
      <c r="U1771">
        <v>0.20883865576324995</v>
      </c>
      <c r="V1771">
        <v>0.25004184210340719</v>
      </c>
      <c r="W1771">
        <v>9.5973723422708448E-2</v>
      </c>
      <c r="X1771">
        <v>1.6614939606439279E-2</v>
      </c>
      <c r="Y1771">
        <v>4.2285040717988855E-3</v>
      </c>
    </row>
    <row r="1772" spans="1:25" x14ac:dyDescent="0.2">
      <c r="A1772" s="1077"/>
      <c r="B1772" s="1444">
        <v>1522</v>
      </c>
      <c r="C1772" s="1081">
        <v>0.97959491269037879</v>
      </c>
      <c r="D1772" s="1081">
        <v>0.97022693765199941</v>
      </c>
      <c r="E1772" s="1081">
        <v>1.0061875200227122</v>
      </c>
      <c r="F1772" s="1081">
        <v>1.0114707280055439</v>
      </c>
      <c r="G1772" s="1081">
        <v>1.0024897262423114</v>
      </c>
      <c r="H1772" s="1081">
        <v>0.9726505418756608</v>
      </c>
      <c r="I1772" s="1081">
        <v>1.0087801828313936</v>
      </c>
      <c r="K1772">
        <v>2.4452649988015627</v>
      </c>
      <c r="L1772">
        <v>0</v>
      </c>
      <c r="M1772">
        <v>1.6201265829472846E-3</v>
      </c>
      <c r="N1772">
        <v>0.1501705883325643</v>
      </c>
      <c r="O1772">
        <v>2.156987670341904E-2</v>
      </c>
      <c r="P1772">
        <v>2.9051598241909147E-2</v>
      </c>
      <c r="Q1772">
        <v>5.6795554539642388E-3</v>
      </c>
      <c r="R1772">
        <v>1.5981399698924677E-3</v>
      </c>
      <c r="S1772">
        <v>0.26804399645852051</v>
      </c>
      <c r="T1772">
        <v>1.3875077372835667</v>
      </c>
      <c r="U1772">
        <v>0.2164104190271855</v>
      </c>
      <c r="V1772">
        <v>0.24723391708036274</v>
      </c>
      <c r="W1772">
        <v>9.8290620904664255E-2</v>
      </c>
      <c r="X1772">
        <v>1.6979065757109627E-2</v>
      </c>
      <c r="Y1772">
        <v>4.3496101713478095E-3</v>
      </c>
    </row>
    <row r="1773" spans="1:25" x14ac:dyDescent="0.2">
      <c r="A1773" s="1077"/>
      <c r="B1773" s="1444">
        <v>1523</v>
      </c>
      <c r="C1773" s="1081">
        <v>0.99104262579932445</v>
      </c>
      <c r="D1773" s="1081">
        <v>0.95391807237378279</v>
      </c>
      <c r="E1773" s="1081">
        <v>0.96572217765049251</v>
      </c>
      <c r="F1773" s="1081">
        <v>1.0028557170129591</v>
      </c>
      <c r="G1773" s="1081">
        <v>1.0164308369107344</v>
      </c>
      <c r="H1773" s="1081">
        <v>0.98854778179497715</v>
      </c>
      <c r="I1773" s="1081">
        <v>0.99319476118571615</v>
      </c>
      <c r="K1773">
        <v>2.4200008806282027</v>
      </c>
      <c r="L1773">
        <v>0</v>
      </c>
      <c r="M1773">
        <v>1.7763829356621582E-3</v>
      </c>
      <c r="N1773">
        <v>0.1457200360639046</v>
      </c>
      <c r="O1773">
        <v>2.1373063569807234E-2</v>
      </c>
      <c r="P1773">
        <v>2.7945697116487048E-2</v>
      </c>
      <c r="Q1773">
        <v>5.4016929790403666E-3</v>
      </c>
      <c r="R1773">
        <v>1.7526634566855019E-3</v>
      </c>
      <c r="S1773">
        <v>0.26414383525915919</v>
      </c>
      <c r="T1773">
        <v>1.3748147599670146</v>
      </c>
      <c r="U1773">
        <v>0.21377136938298114</v>
      </c>
      <c r="V1773">
        <v>0.24902839849432407</v>
      </c>
      <c r="W1773">
        <v>9.7725659011144383E-2</v>
      </c>
      <c r="X1773">
        <v>1.5329916099567195E-2</v>
      </c>
      <c r="Y1773">
        <v>4.770172163744717E-3</v>
      </c>
    </row>
    <row r="1774" spans="1:25" x14ac:dyDescent="0.2">
      <c r="A1774" s="1077"/>
      <c r="B1774" s="1444">
        <v>1524</v>
      </c>
      <c r="C1774" s="1081">
        <v>1.0173413352423892</v>
      </c>
      <c r="D1774" s="1081">
        <v>0.98742047213034112</v>
      </c>
      <c r="E1774" s="1081">
        <v>1.0056145622661206</v>
      </c>
      <c r="F1774" s="1081">
        <v>0.96515364877117527</v>
      </c>
      <c r="G1774" s="1081">
        <v>1.0073651972326654</v>
      </c>
      <c r="H1774" s="1081">
        <v>0.98916943651706224</v>
      </c>
      <c r="I1774" s="1081">
        <v>0.98081754630298679</v>
      </c>
      <c r="K1774">
        <v>2.3448604341349775</v>
      </c>
      <c r="L1774">
        <v>0</v>
      </c>
      <c r="M1774">
        <v>1.5822712034712265E-3</v>
      </c>
      <c r="N1774">
        <v>0.14644183939806973</v>
      </c>
      <c r="O1774">
        <v>2.0689084919678299E-2</v>
      </c>
      <c r="P1774">
        <v>2.7791203977043089E-2</v>
      </c>
      <c r="Q1774">
        <v>5.444508217231572E-3</v>
      </c>
      <c r="R1774">
        <v>1.5611569148612145E-3</v>
      </c>
      <c r="S1774">
        <v>0.25007761739227263</v>
      </c>
      <c r="T1774">
        <v>1.3239592669499358</v>
      </c>
      <c r="U1774">
        <v>0.20837901487691549</v>
      </c>
      <c r="V1774">
        <v>0.24570497842797792</v>
      </c>
      <c r="W1774">
        <v>9.5882550287689133E-2</v>
      </c>
      <c r="X1774">
        <v>1.6262529489759859E-2</v>
      </c>
      <c r="Y1774">
        <v>4.2489544870135546E-3</v>
      </c>
    </row>
    <row r="1775" spans="1:25" x14ac:dyDescent="0.2">
      <c r="A1775" s="1077"/>
      <c r="B1775" s="1444">
        <v>1525</v>
      </c>
      <c r="C1775" s="1081">
        <v>1.008683819012328</v>
      </c>
      <c r="D1775" s="1081">
        <v>1.008578534794778</v>
      </c>
      <c r="E1775" s="1081">
        <v>1.0010057805171411</v>
      </c>
      <c r="F1775" s="1081">
        <v>1.0119060717885999</v>
      </c>
      <c r="G1775" s="1081">
        <v>0.98599974481100938</v>
      </c>
      <c r="H1775" s="1081">
        <v>1.0122621054137826</v>
      </c>
      <c r="I1775" s="1081">
        <v>0.99127881628475423</v>
      </c>
      <c r="K1775">
        <v>2.4187144099527966</v>
      </c>
      <c r="L1775">
        <v>0</v>
      </c>
      <c r="M1775">
        <v>1.6411307168417244E-3</v>
      </c>
      <c r="N1775">
        <v>0.14983583829958841</v>
      </c>
      <c r="O1775">
        <v>2.0766529408212525E-2</v>
      </c>
      <c r="P1775">
        <v>2.8607458277926153E-2</v>
      </c>
      <c r="Q1775">
        <v>5.4396761143706233E-3</v>
      </c>
      <c r="R1775">
        <v>1.6197305867474527E-3</v>
      </c>
      <c r="S1775">
        <v>0.25410525814854645</v>
      </c>
      <c r="T1775">
        <v>1.3879914417036263</v>
      </c>
      <c r="U1775">
        <v>0.21015190212320414</v>
      </c>
      <c r="V1775">
        <v>0.24259958298974904</v>
      </c>
      <c r="W1775">
        <v>9.8373160237662849E-2</v>
      </c>
      <c r="X1775">
        <v>1.6456590066921767E-2</v>
      </c>
      <c r="Y1775">
        <v>4.408372713082147E-3</v>
      </c>
    </row>
    <row r="1776" spans="1:25" x14ac:dyDescent="0.2">
      <c r="A1776" s="1077"/>
      <c r="B1776" s="1444">
        <v>1526</v>
      </c>
      <c r="C1776" s="1081">
        <v>1.0325517456402309</v>
      </c>
      <c r="D1776" s="1081">
        <v>0.98841754778495416</v>
      </c>
      <c r="E1776" s="1081">
        <v>1.0141558710316385</v>
      </c>
      <c r="F1776" s="1081">
        <v>0.99393492651479787</v>
      </c>
      <c r="G1776" s="1081">
        <v>0.96667051637106172</v>
      </c>
      <c r="H1776" s="1081">
        <v>1.0098982917659525</v>
      </c>
      <c r="I1776" s="1081">
        <v>0.9597599388643252</v>
      </c>
      <c r="K1776">
        <v>2.3695736160359799</v>
      </c>
      <c r="L1776">
        <v>0</v>
      </c>
      <c r="M1776">
        <v>1.5632918371812768E-3</v>
      </c>
      <c r="N1776">
        <v>0.14850591543204553</v>
      </c>
      <c r="O1776">
        <v>2.0385303069522881E-2</v>
      </c>
      <c r="P1776">
        <v>2.8261629146869745E-2</v>
      </c>
      <c r="Q1776">
        <v>5.4105683952411481E-3</v>
      </c>
      <c r="R1776">
        <v>1.5428590015687997E-3</v>
      </c>
      <c r="S1776">
        <v>0.24269047618883208</v>
      </c>
      <c r="T1776">
        <v>1.3636242499611333</v>
      </c>
      <c r="U1776">
        <v>0.20533772465592715</v>
      </c>
      <c r="V1776">
        <v>0.2378238545897374</v>
      </c>
      <c r="W1776">
        <v>9.6745457295181261E-2</v>
      </c>
      <c r="X1776">
        <v>1.6609716538163382E-2</v>
      </c>
      <c r="Y1776">
        <v>4.1991535989370967E-3</v>
      </c>
    </row>
    <row r="1777" spans="1:25" x14ac:dyDescent="0.2">
      <c r="A1777" s="1077"/>
      <c r="B1777" s="1444">
        <v>1527</v>
      </c>
      <c r="C1777" s="1081">
        <v>1.013982432436517</v>
      </c>
      <c r="D1777" s="1081">
        <v>1.0092852007704205</v>
      </c>
      <c r="E1777" s="1081">
        <v>0.99678836419932515</v>
      </c>
      <c r="F1777" s="1081">
        <v>1.0257994067348966</v>
      </c>
      <c r="G1777" s="1081">
        <v>1.0047369807333848</v>
      </c>
      <c r="H1777" s="1081">
        <v>0.97302359259978577</v>
      </c>
      <c r="I1777" s="1081">
        <v>1.0202670343873002</v>
      </c>
      <c r="K1777">
        <v>2.4300827389948805</v>
      </c>
      <c r="L1777">
        <v>0</v>
      </c>
      <c r="M1777">
        <v>1.5828141281156809E-3</v>
      </c>
      <c r="N1777">
        <v>0.14260569990899252</v>
      </c>
      <c r="O1777">
        <v>2.0652075638812491E-2</v>
      </c>
      <c r="P1777">
        <v>2.8835173613238604E-2</v>
      </c>
      <c r="Q1777">
        <v>5.3867970757215857E-3</v>
      </c>
      <c r="R1777">
        <v>1.5613421148944655E-3</v>
      </c>
      <c r="S1777">
        <v>0.25669258206454298</v>
      </c>
      <c r="T1777">
        <v>1.4069548305277884</v>
      </c>
      <c r="U1777">
        <v>0.20903952850552823</v>
      </c>
      <c r="V1777">
        <v>0.24549131466224872</v>
      </c>
      <c r="W1777">
        <v>9.3861471382835723E-2</v>
      </c>
      <c r="X1777">
        <v>1.6335279087937016E-2</v>
      </c>
      <c r="Y1777">
        <v>4.2494585404528884E-3</v>
      </c>
    </row>
    <row r="1778" spans="1:25" x14ac:dyDescent="0.2">
      <c r="A1778" s="1077"/>
      <c r="B1778" s="1444">
        <v>1528</v>
      </c>
      <c r="C1778" s="1081">
        <v>0.95337601541552597</v>
      </c>
      <c r="D1778" s="1081">
        <v>1.0157703924120545</v>
      </c>
      <c r="E1778" s="1081">
        <v>1.000785194033357</v>
      </c>
      <c r="F1778" s="1081">
        <v>0.99093495902453776</v>
      </c>
      <c r="G1778" s="1081">
        <v>0.95413029557998075</v>
      </c>
      <c r="H1778" s="1081">
        <v>1.0246100610176627</v>
      </c>
      <c r="I1778" s="1081">
        <v>0.9719507919653031</v>
      </c>
      <c r="K1778">
        <v>2.4290930905126906</v>
      </c>
      <c r="L1778">
        <v>0</v>
      </c>
      <c r="M1778">
        <v>1.7555754782039019E-3</v>
      </c>
      <c r="N1778">
        <v>0.16020341397583246</v>
      </c>
      <c r="O1778">
        <v>2.1936778047332222E-2</v>
      </c>
      <c r="P1778">
        <v>2.8482681886661521E-2</v>
      </c>
      <c r="Q1778">
        <v>5.7449428634785806E-3</v>
      </c>
      <c r="R1778">
        <v>1.7329588890753855E-3</v>
      </c>
      <c r="S1778">
        <v>0.26373857516325516</v>
      </c>
      <c r="T1778">
        <v>1.3592214692141085</v>
      </c>
      <c r="U1778">
        <v>0.22234256542740635</v>
      </c>
      <c r="V1778">
        <v>0.24074660676013557</v>
      </c>
      <c r="W1778">
        <v>0.1051936648653897</v>
      </c>
      <c r="X1778">
        <v>1.678846607189674E-2</v>
      </c>
      <c r="Y1778">
        <v>4.7165428263189488E-3</v>
      </c>
    </row>
    <row r="1779" spans="1:25" x14ac:dyDescent="0.2">
      <c r="A1779" s="1077"/>
      <c r="B1779" s="1444">
        <v>1529</v>
      </c>
      <c r="C1779" s="1081">
        <v>1.0180424468779212</v>
      </c>
      <c r="D1779" s="1081">
        <v>0.99296943144647765</v>
      </c>
      <c r="E1779" s="1081">
        <v>1.006537378815187</v>
      </c>
      <c r="F1779" s="1081">
        <v>1.0197359405573385</v>
      </c>
      <c r="G1779" s="1081">
        <v>0.98571284456271002</v>
      </c>
      <c r="H1779" s="1081">
        <v>1.0099118521592461</v>
      </c>
      <c r="I1779" s="1081">
        <v>1.0207018148604976</v>
      </c>
      <c r="K1779">
        <v>2.4333560418968871</v>
      </c>
      <c r="L1779">
        <v>0</v>
      </c>
      <c r="M1779">
        <v>1.6092628068727465E-3</v>
      </c>
      <c r="N1779">
        <v>0.14939708813192595</v>
      </c>
      <c r="O1779">
        <v>2.0649966213727094E-2</v>
      </c>
      <c r="P1779">
        <v>2.8935352401086818E-2</v>
      </c>
      <c r="Q1779">
        <v>5.4392399670877452E-3</v>
      </c>
      <c r="R1779">
        <v>1.5882293951359843E-3</v>
      </c>
      <c r="S1779">
        <v>0.26111522106848806</v>
      </c>
      <c r="T1779">
        <v>1.3988534546332911</v>
      </c>
      <c r="U1779">
        <v>0.20823860858068738</v>
      </c>
      <c r="V1779">
        <v>0.2419624827377842</v>
      </c>
      <c r="W1779">
        <v>9.7764115502014262E-2</v>
      </c>
      <c r="X1779">
        <v>1.6698909218648732E-2</v>
      </c>
      <c r="Y1779">
        <v>4.3226368538807529E-3</v>
      </c>
    </row>
    <row r="1780" spans="1:25" x14ac:dyDescent="0.2">
      <c r="A1780" s="1077"/>
      <c r="B1780" s="1444">
        <v>1530</v>
      </c>
      <c r="C1780" s="1081">
        <v>0.97937835697868647</v>
      </c>
      <c r="D1780" s="1081">
        <v>0.99617068382507512</v>
      </c>
      <c r="E1780" s="1081">
        <v>0.97470349077909069</v>
      </c>
      <c r="F1780" s="1081">
        <v>1.0051539180308513</v>
      </c>
      <c r="G1780" s="1081">
        <v>1.002771824570619</v>
      </c>
      <c r="H1780" s="1081">
        <v>0.98987478456856515</v>
      </c>
      <c r="I1780" s="1081">
        <v>1.0332970427868742</v>
      </c>
      <c r="K1780">
        <v>2.4357093565591921</v>
      </c>
      <c r="L1780">
        <v>0</v>
      </c>
      <c r="M1780">
        <v>1.750117673643356E-3</v>
      </c>
      <c r="N1780">
        <v>0.14752580816265304</v>
      </c>
      <c r="O1780">
        <v>2.1428436946877884E-2</v>
      </c>
      <c r="P1780">
        <v>2.8304807587462091E-2</v>
      </c>
      <c r="Q1780">
        <v>5.4656244890969692E-3</v>
      </c>
      <c r="R1780">
        <v>1.7267802340132736E-3</v>
      </c>
      <c r="S1780">
        <v>0.27225641127170258</v>
      </c>
      <c r="T1780">
        <v>1.3781594016876157</v>
      </c>
      <c r="U1780">
        <v>0.21634855326339586</v>
      </c>
      <c r="V1780">
        <v>0.24740985710822808</v>
      </c>
      <c r="W1780">
        <v>9.8397426505160743E-2</v>
      </c>
      <c r="X1780">
        <v>1.5736640412599791E-2</v>
      </c>
      <c r="Y1780">
        <v>4.6997265640329727E-3</v>
      </c>
    </row>
    <row r="1781" spans="1:25" x14ac:dyDescent="0.2">
      <c r="A1781" s="1077"/>
      <c r="B1781" s="1444">
        <v>1531</v>
      </c>
      <c r="C1781" s="1081">
        <v>0.99991656314532273</v>
      </c>
      <c r="D1781" s="1081">
        <v>1.0048713425067495</v>
      </c>
      <c r="E1781" s="1081">
        <v>1.0241993259885727</v>
      </c>
      <c r="F1781" s="1081">
        <v>1.0072447963291773</v>
      </c>
      <c r="G1781" s="1081">
        <v>1.0228092382430423</v>
      </c>
      <c r="H1781" s="1081">
        <v>0.97214250834906357</v>
      </c>
      <c r="I1781" s="1081">
        <v>0.99270054837716881</v>
      </c>
      <c r="K1781">
        <v>2.4191590017212161</v>
      </c>
      <c r="L1781">
        <v>0</v>
      </c>
      <c r="M1781">
        <v>1.5163123723094538E-3</v>
      </c>
      <c r="N1781">
        <v>0.14839811675222123</v>
      </c>
      <c r="O1781">
        <v>2.0980995812762793E-2</v>
      </c>
      <c r="P1781">
        <v>2.9137419121135946E-2</v>
      </c>
      <c r="Q1781">
        <v>5.6245795301548196E-3</v>
      </c>
      <c r="R1781">
        <v>1.4957238601460748E-3</v>
      </c>
      <c r="S1781">
        <v>0.25397472693528855</v>
      </c>
      <c r="T1781">
        <v>1.3821042842849405</v>
      </c>
      <c r="U1781">
        <v>0.21207395229388198</v>
      </c>
      <c r="V1781">
        <v>0.24934324250677417</v>
      </c>
      <c r="W1781">
        <v>9.6108470199303159E-2</v>
      </c>
      <c r="X1781">
        <v>1.7362935514833654E-2</v>
      </c>
      <c r="Y1781">
        <v>4.0708672820796337E-3</v>
      </c>
    </row>
    <row r="1782" spans="1:25" x14ac:dyDescent="0.2">
      <c r="A1782" s="1077"/>
      <c r="B1782" s="1444">
        <v>1532</v>
      </c>
      <c r="C1782" s="1081">
        <v>0.96819324058965772</v>
      </c>
      <c r="D1782" s="1081">
        <v>1.0221951697784113</v>
      </c>
      <c r="E1782" s="1081">
        <v>1.0021974978186792</v>
      </c>
      <c r="F1782" s="1081">
        <v>1.0189448563572499</v>
      </c>
      <c r="G1782" s="1081">
        <v>1.0108376512398671</v>
      </c>
      <c r="H1782" s="1081">
        <v>1.009997955357536</v>
      </c>
      <c r="I1782" s="1081">
        <v>0.9909764897292388</v>
      </c>
      <c r="K1782">
        <v>2.4639827527010181</v>
      </c>
      <c r="L1782">
        <v>0</v>
      </c>
      <c r="M1782">
        <v>1.6967136661443119E-3</v>
      </c>
      <c r="N1782">
        <v>0.15546466216112168</v>
      </c>
      <c r="O1782">
        <v>2.1572078781838071E-2</v>
      </c>
      <c r="P1782">
        <v>2.9096165519849435E-2</v>
      </c>
      <c r="Q1782">
        <v>5.6574522115439563E-3</v>
      </c>
      <c r="R1782">
        <v>1.6745391433866271E-3</v>
      </c>
      <c r="S1782">
        <v>0.26270451527801264</v>
      </c>
      <c r="T1782">
        <v>1.3976725349970067</v>
      </c>
      <c r="U1782">
        <v>0.2189448231077348</v>
      </c>
      <c r="V1782">
        <v>0.24942370793143484</v>
      </c>
      <c r="W1782">
        <v>0.10199652843766728</v>
      </c>
      <c r="X1782">
        <v>1.6914915260944421E-2</v>
      </c>
      <c r="Y1782">
        <v>4.5575435366181369E-3</v>
      </c>
    </row>
    <row r="1783" spans="1:25" x14ac:dyDescent="0.2">
      <c r="A1783" s="1077"/>
      <c r="B1783" s="1444">
        <v>1533</v>
      </c>
      <c r="C1783" s="1081">
        <v>1.0015096176712053</v>
      </c>
      <c r="D1783" s="1081">
        <v>1.0255009185077646</v>
      </c>
      <c r="E1783" s="1081">
        <v>0.9793792238857002</v>
      </c>
      <c r="F1783" s="1081">
        <v>0.96777151798065042</v>
      </c>
      <c r="G1783" s="1081">
        <v>0.98967711230199462</v>
      </c>
      <c r="H1783" s="1081">
        <v>1.0231822966949302</v>
      </c>
      <c r="I1783" s="1081">
        <v>1.001415397779444</v>
      </c>
      <c r="K1783">
        <v>2.3610583522601196</v>
      </c>
      <c r="L1783">
        <v>0</v>
      </c>
      <c r="M1783">
        <v>1.740868348991286E-3</v>
      </c>
      <c r="N1783">
        <v>0.14890287641279182</v>
      </c>
      <c r="O1783">
        <v>2.082463484922294E-2</v>
      </c>
      <c r="P1783">
        <v>2.7402258286303036E-2</v>
      </c>
      <c r="Q1783">
        <v>5.336961111900209E-3</v>
      </c>
      <c r="R1783">
        <v>1.7184099325553554E-3</v>
      </c>
      <c r="S1783">
        <v>0.25715911047235229</v>
      </c>
      <c r="T1783">
        <v>1.3270020622647076</v>
      </c>
      <c r="U1783">
        <v>0.21158360383374289</v>
      </c>
      <c r="V1783">
        <v>0.243747901819869</v>
      </c>
      <c r="W1783">
        <v>9.9035247966923437E-2</v>
      </c>
      <c r="X1783">
        <v>1.5409208296007223E-2</v>
      </c>
      <c r="Y1783">
        <v>4.6769453627336522E-3</v>
      </c>
    </row>
    <row r="1784" spans="1:25" x14ac:dyDescent="0.2">
      <c r="A1784" s="1077"/>
      <c r="B1784" s="1444">
        <v>1534</v>
      </c>
      <c r="C1784" s="1081">
        <v>1.021393018009924</v>
      </c>
      <c r="D1784" s="1081">
        <v>1.0035394974528999</v>
      </c>
      <c r="E1784" s="1081">
        <v>1.0021318241926735</v>
      </c>
      <c r="F1784" s="1081">
        <v>0.98396938834688974</v>
      </c>
      <c r="G1784" s="1081">
        <v>1.006610213043919</v>
      </c>
      <c r="H1784" s="1081">
        <v>1.0106720956082091</v>
      </c>
      <c r="I1784" s="1081">
        <v>1.0301259621441186</v>
      </c>
      <c r="K1784">
        <v>2.3838018805664194</v>
      </c>
      <c r="L1784">
        <v>0</v>
      </c>
      <c r="M1784">
        <v>1.6161681372556071E-3</v>
      </c>
      <c r="N1784">
        <v>0.14805645598641398</v>
      </c>
      <c r="O1784">
        <v>2.0531473309957929E-2</v>
      </c>
      <c r="P1784">
        <v>2.8208240662535366E-2</v>
      </c>
      <c r="Q1784">
        <v>5.3841899895613896E-3</v>
      </c>
      <c r="R1784">
        <v>1.5950603609161829E-3</v>
      </c>
      <c r="S1784">
        <v>0.26130309542393387</v>
      </c>
      <c r="T1784">
        <v>1.3496957721066349</v>
      </c>
      <c r="U1784">
        <v>0.2075407502239244</v>
      </c>
      <c r="V1784">
        <v>0.24534537367753326</v>
      </c>
      <c r="W1784">
        <v>9.7139972278047243E-2</v>
      </c>
      <c r="X1784">
        <v>1.6276436193311605E-2</v>
      </c>
      <c r="Y1784">
        <v>4.3412284909071898E-3</v>
      </c>
    </row>
    <row r="1785" spans="1:25" x14ac:dyDescent="0.2">
      <c r="A1785" s="1077"/>
      <c r="B1785" s="1444">
        <v>1535</v>
      </c>
      <c r="C1785" s="1081">
        <v>1.0163521556483444</v>
      </c>
      <c r="D1785" s="1081">
        <v>1.0009558569644674</v>
      </c>
      <c r="E1785" s="1081">
        <v>0.98847407679706634</v>
      </c>
      <c r="F1785" s="1081">
        <v>1.0236205727479357</v>
      </c>
      <c r="G1785" s="1081">
        <v>0.96041787927542965</v>
      </c>
      <c r="H1785" s="1081">
        <v>0.99847218676140459</v>
      </c>
      <c r="I1785" s="1081">
        <v>0.97585016674972769</v>
      </c>
      <c r="K1785">
        <v>2.4139957423827747</v>
      </c>
      <c r="L1785">
        <v>0</v>
      </c>
      <c r="M1785">
        <v>1.6515887285656707E-3</v>
      </c>
      <c r="N1785">
        <v>0.14515968409230792</v>
      </c>
      <c r="O1785">
        <v>2.0636099470706729E-2</v>
      </c>
      <c r="P1785">
        <v>2.838417884507357E-2</v>
      </c>
      <c r="Q1785">
        <v>5.3376503138009065E-3</v>
      </c>
      <c r="R1785">
        <v>1.6297547863311488E-3</v>
      </c>
      <c r="S1785">
        <v>0.24798033351384863</v>
      </c>
      <c r="T1785">
        <v>1.4037826135900604</v>
      </c>
      <c r="U1785">
        <v>0.20852420235095789</v>
      </c>
      <c r="V1785">
        <v>0.23780731658785273</v>
      </c>
      <c r="W1785">
        <v>9.6018543611896906E-2</v>
      </c>
      <c r="X1785">
        <v>1.5951298668631372E-2</v>
      </c>
      <c r="Y1785">
        <v>4.4356552798724604E-3</v>
      </c>
    </row>
    <row r="1786" spans="1:25" x14ac:dyDescent="0.2">
      <c r="A1786" s="1077"/>
      <c r="B1786" s="1444">
        <v>1536</v>
      </c>
      <c r="C1786" s="1081">
        <v>1.0294525269138917</v>
      </c>
      <c r="D1786" s="1081">
        <v>0.98173337969347685</v>
      </c>
      <c r="E1786" s="1081">
        <v>1.0038722095247374</v>
      </c>
      <c r="F1786" s="1081">
        <v>1.0136523083742834</v>
      </c>
      <c r="G1786" s="1081">
        <v>0.9734427588239476</v>
      </c>
      <c r="H1786" s="1081">
        <v>0.97146858482651788</v>
      </c>
      <c r="I1786" s="1081">
        <v>0.96972994308254667</v>
      </c>
      <c r="K1786">
        <v>2.3890983135398747</v>
      </c>
      <c r="L1786">
        <v>0</v>
      </c>
      <c r="M1786">
        <v>1.543199292909388E-3</v>
      </c>
      <c r="N1786">
        <v>0.14204105520881197</v>
      </c>
      <c r="O1786">
        <v>2.0470553666258651E-2</v>
      </c>
      <c r="P1786">
        <v>2.845413342652274E-2</v>
      </c>
      <c r="Q1786">
        <v>5.3775981313648365E-3</v>
      </c>
      <c r="R1786">
        <v>1.5222311738936237E-3</v>
      </c>
      <c r="S1786">
        <v>0.24361607029087096</v>
      </c>
      <c r="T1786">
        <v>1.3904495582941359</v>
      </c>
      <c r="U1786">
        <v>0.20592171034660919</v>
      </c>
      <c r="V1786">
        <v>0.23919736157027024</v>
      </c>
      <c r="W1786">
        <v>9.3097142056896579E-2</v>
      </c>
      <c r="X1786">
        <v>1.6351087215184398E-2</v>
      </c>
      <c r="Y1786">
        <v>4.1430114519668323E-3</v>
      </c>
    </row>
    <row r="1787" spans="1:25" x14ac:dyDescent="0.2">
      <c r="A1787" s="1077"/>
      <c r="B1787" s="1444">
        <v>1537</v>
      </c>
      <c r="C1787" s="1081">
        <v>0.96625127000817324</v>
      </c>
      <c r="D1787" s="1081">
        <v>0.96335463914024189</v>
      </c>
      <c r="E1787" s="1081">
        <v>1.003663852850631</v>
      </c>
      <c r="F1787" s="1081">
        <v>0.98429951979487007</v>
      </c>
      <c r="G1787" s="1081">
        <v>0.99818530160742758</v>
      </c>
      <c r="H1787" s="1081">
        <v>1.0000623674474169</v>
      </c>
      <c r="I1787" s="1081">
        <v>0.99824207059207892</v>
      </c>
      <c r="K1787">
        <v>2.425937122721233</v>
      </c>
      <c r="L1787">
        <v>0</v>
      </c>
      <c r="M1787">
        <v>1.7003174647433135E-3</v>
      </c>
      <c r="N1787">
        <v>0.1564658600694103</v>
      </c>
      <c r="O1787">
        <v>2.1900225794803954E-2</v>
      </c>
      <c r="P1787">
        <v>2.8587440330837398E-2</v>
      </c>
      <c r="Q1787">
        <v>5.7519695744092259E-3</v>
      </c>
      <c r="R1787">
        <v>1.6778750724750454E-3</v>
      </c>
      <c r="S1787">
        <v>0.272286608008665</v>
      </c>
      <c r="T1787">
        <v>1.3501812422490489</v>
      </c>
      <c r="U1787">
        <v>0.2193900479226624</v>
      </c>
      <c r="V1787">
        <v>0.24738753437146854</v>
      </c>
      <c r="W1787">
        <v>0.10256417056702385</v>
      </c>
      <c r="X1787">
        <v>1.6877843389263552E-2</v>
      </c>
      <c r="Y1787">
        <v>4.5666228359080843E-3</v>
      </c>
    </row>
    <row r="1788" spans="1:25" x14ac:dyDescent="0.2">
      <c r="A1788" s="1077"/>
      <c r="B1788" s="1444">
        <v>1538</v>
      </c>
      <c r="C1788" s="1081">
        <v>1.0057835093017686</v>
      </c>
      <c r="D1788" s="1081">
        <v>0.9570336050891608</v>
      </c>
      <c r="E1788" s="1081">
        <v>1.022512550379703</v>
      </c>
      <c r="F1788" s="1081">
        <v>0.96910050565068517</v>
      </c>
      <c r="G1788" s="1081">
        <v>1.0006028132736877</v>
      </c>
      <c r="H1788" s="1081">
        <v>1.0105226171734645</v>
      </c>
      <c r="I1788" s="1081">
        <v>0.99431243446368012</v>
      </c>
      <c r="K1788">
        <v>2.3800095037883886</v>
      </c>
      <c r="L1788">
        <v>0</v>
      </c>
      <c r="M1788">
        <v>1.5894589981569609E-3</v>
      </c>
      <c r="N1788">
        <v>0.15484835846295461</v>
      </c>
      <c r="O1788">
        <v>2.1082515886493087E-2</v>
      </c>
      <c r="P1788">
        <v>2.8417969606524186E-2</v>
      </c>
      <c r="Q1788">
        <v>5.6423429154997453E-3</v>
      </c>
      <c r="R1788">
        <v>1.5686969827253974E-3</v>
      </c>
      <c r="S1788">
        <v>0.26246893599927001</v>
      </c>
      <c r="T1788">
        <v>1.3297285741593676</v>
      </c>
      <c r="U1788">
        <v>0.21083112745429519</v>
      </c>
      <c r="V1788">
        <v>0.24519536072028711</v>
      </c>
      <c r="W1788">
        <v>0.10038465635249337</v>
      </c>
      <c r="X1788">
        <v>1.7160948180476251E-2</v>
      </c>
      <c r="Y1788">
        <v>4.2694760661571565E-3</v>
      </c>
    </row>
    <row r="1789" spans="1:25" x14ac:dyDescent="0.2">
      <c r="A1789" s="1077"/>
      <c r="B1789" s="1444">
        <v>1539</v>
      </c>
      <c r="C1789" s="1081">
        <v>1.0097460611775939</v>
      </c>
      <c r="D1789" s="1081">
        <v>1.0160124067243415</v>
      </c>
      <c r="E1789" s="1081">
        <v>1.030291871417953</v>
      </c>
      <c r="F1789" s="1081">
        <v>0.99520003565004878</v>
      </c>
      <c r="G1789" s="1081">
        <v>0.98585836768752411</v>
      </c>
      <c r="H1789" s="1081">
        <v>0.99035599619239212</v>
      </c>
      <c r="I1789" s="1081">
        <v>1.0102553053231631</v>
      </c>
      <c r="K1789">
        <v>2.3981821066755642</v>
      </c>
      <c r="L1789">
        <v>0</v>
      </c>
      <c r="M1789">
        <v>1.5067349432965789E-3</v>
      </c>
      <c r="N1789">
        <v>0.15023272497933857</v>
      </c>
      <c r="O1789">
        <v>2.0730422942973378E-2</v>
      </c>
      <c r="P1789">
        <v>2.894294610043226E-2</v>
      </c>
      <c r="Q1789">
        <v>5.591034010189979E-3</v>
      </c>
      <c r="R1789">
        <v>1.4866527222403766E-3</v>
      </c>
      <c r="S1789">
        <v>0.25613231873853648</v>
      </c>
      <c r="T1789">
        <v>1.365708742104814</v>
      </c>
      <c r="U1789">
        <v>0.21003020188865409</v>
      </c>
      <c r="V1789">
        <v>0.24240880828650155</v>
      </c>
      <c r="W1789">
        <v>9.6952403294367967E-2</v>
      </c>
      <c r="X1789">
        <v>1.7426407915811109E-2</v>
      </c>
      <c r="Y1789">
        <v>4.046178635000129E-3</v>
      </c>
    </row>
    <row r="1790" spans="1:25" x14ac:dyDescent="0.2">
      <c r="A1790" s="1077"/>
      <c r="B1790" s="1444">
        <v>1540</v>
      </c>
      <c r="C1790" s="1081">
        <v>0.97267257488615078</v>
      </c>
      <c r="D1790" s="1081">
        <v>1.0259174829192477</v>
      </c>
      <c r="E1790" s="1081">
        <v>0.97737795749466527</v>
      </c>
      <c r="F1790" s="1081">
        <v>0.98568918553678597</v>
      </c>
      <c r="G1790" s="1081">
        <v>1.0036837887624457</v>
      </c>
      <c r="H1790" s="1081">
        <v>0.99883586907481026</v>
      </c>
      <c r="I1790" s="1081">
        <v>0.9858345925787918</v>
      </c>
      <c r="K1790">
        <v>2.3997683556434586</v>
      </c>
      <c r="L1790">
        <v>0</v>
      </c>
      <c r="M1790">
        <v>1.7569257957153861E-3</v>
      </c>
      <c r="N1790">
        <v>0.14932144118221069</v>
      </c>
      <c r="O1790">
        <v>2.143875866648158E-2</v>
      </c>
      <c r="P1790">
        <v>2.7848779410776115E-2</v>
      </c>
      <c r="Q1790">
        <v>5.4831747884566129E-3</v>
      </c>
      <c r="R1790">
        <v>1.7337077582383488E-3</v>
      </c>
      <c r="S1790">
        <v>0.25850878678019157</v>
      </c>
      <c r="T1790">
        <v>1.3515281784769135</v>
      </c>
      <c r="U1790">
        <v>0.21784946206457129</v>
      </c>
      <c r="V1790">
        <v>0.24799494371064365</v>
      </c>
      <c r="W1790">
        <v>9.9433874074330256E-2</v>
      </c>
      <c r="X1790">
        <v>1.5665593525041748E-2</v>
      </c>
      <c r="Y1790">
        <v>4.71858100131588E-3</v>
      </c>
    </row>
    <row r="1791" spans="1:25" x14ac:dyDescent="0.2">
      <c r="A1791" s="1077"/>
      <c r="B1791" s="1444">
        <v>1541</v>
      </c>
      <c r="C1791" s="1081">
        <v>0.97605852216195055</v>
      </c>
      <c r="D1791" s="1081">
        <v>0.98879847023446188</v>
      </c>
      <c r="E1791" s="1081">
        <v>0.99191989812150894</v>
      </c>
      <c r="F1791" s="1081">
        <v>0.98843308092960736</v>
      </c>
      <c r="G1791" s="1081">
        <v>0.95974600503104479</v>
      </c>
      <c r="H1791" s="1081">
        <v>0.97024294058430038</v>
      </c>
      <c r="I1791" s="1081">
        <v>1.030294504976601</v>
      </c>
      <c r="K1791">
        <v>2.4060764558358723</v>
      </c>
      <c r="L1791">
        <v>0</v>
      </c>
      <c r="M1791">
        <v>1.6637302240059405E-3</v>
      </c>
      <c r="N1791">
        <v>0.14770058134190076</v>
      </c>
      <c r="O1791">
        <v>2.1548190520015231E-2</v>
      </c>
      <c r="P1791">
        <v>2.8276861721968322E-2</v>
      </c>
      <c r="Q1791">
        <v>5.5930121051868606E-3</v>
      </c>
      <c r="R1791">
        <v>1.641095842426334E-3</v>
      </c>
      <c r="S1791">
        <v>0.27178956619015132</v>
      </c>
      <c r="T1791">
        <v>1.3556003710413227</v>
      </c>
      <c r="U1791">
        <v>0.21714454415868606</v>
      </c>
      <c r="V1791">
        <v>0.24021465102713113</v>
      </c>
      <c r="W1791">
        <v>9.7497829782724837E-2</v>
      </c>
      <c r="X1791">
        <v>1.6266960432376083E-2</v>
      </c>
      <c r="Y1791">
        <v>4.466521895985418E-3</v>
      </c>
    </row>
    <row r="1792" spans="1:25" x14ac:dyDescent="0.2">
      <c r="A1792" s="1077"/>
      <c r="B1792" s="1444">
        <v>1542</v>
      </c>
      <c r="C1792" s="1081">
        <v>1.0094641678518692</v>
      </c>
      <c r="D1792" s="1081">
        <v>0.97398211936273127</v>
      </c>
      <c r="E1792" s="1081">
        <v>1.0141953561941852</v>
      </c>
      <c r="F1792" s="1081">
        <v>1.0092810528739702</v>
      </c>
      <c r="G1792" s="1081">
        <v>0.96701602190200697</v>
      </c>
      <c r="H1792" s="1081">
        <v>0.98974663315337019</v>
      </c>
      <c r="I1792" s="1081">
        <v>0.99240681068151515</v>
      </c>
      <c r="K1792">
        <v>2.4139289470185377</v>
      </c>
      <c r="L1792">
        <v>0</v>
      </c>
      <c r="M1792">
        <v>1.5720900061865252E-3</v>
      </c>
      <c r="N1792">
        <v>0.14931922739793133</v>
      </c>
      <c r="O1792">
        <v>2.0919163540218149E-2</v>
      </c>
      <c r="P1792">
        <v>2.8833338028505701E-2</v>
      </c>
      <c r="Q1792">
        <v>5.5524817082775128E-3</v>
      </c>
      <c r="R1792">
        <v>1.5511238125625597E-3</v>
      </c>
      <c r="S1792">
        <v>0.25689371186320936</v>
      </c>
      <c r="T1792">
        <v>1.3846791586764591</v>
      </c>
      <c r="U1792">
        <v>0.21003416273244488</v>
      </c>
      <c r="V1792">
        <v>0.2392650441966406</v>
      </c>
      <c r="W1792">
        <v>9.7273038935223419E-2</v>
      </c>
      <c r="X1792">
        <v>1.6958938443280776E-2</v>
      </c>
      <c r="Y1792">
        <v>4.221647689967899E-3</v>
      </c>
    </row>
    <row r="1793" spans="1:25" x14ac:dyDescent="0.2">
      <c r="A1793" s="1077"/>
      <c r="B1793" s="1444">
        <v>1543</v>
      </c>
      <c r="C1793" s="1081">
        <v>1.0270254133218086</v>
      </c>
      <c r="D1793" s="1081">
        <v>1.0138038588891258</v>
      </c>
      <c r="E1793" s="1081">
        <v>1.0420834993681165</v>
      </c>
      <c r="F1793" s="1081">
        <v>0.99393657187222428</v>
      </c>
      <c r="G1793" s="1081">
        <v>1.0009725190352794</v>
      </c>
      <c r="H1793" s="1081">
        <v>0.99903226532113953</v>
      </c>
      <c r="I1793" s="1081">
        <v>1.0291352219410959</v>
      </c>
      <c r="K1793">
        <v>2.3964429298169034</v>
      </c>
      <c r="L1793">
        <v>0</v>
      </c>
      <c r="M1793">
        <v>1.4587573345652728E-3</v>
      </c>
      <c r="N1793">
        <v>0.15072747790974578</v>
      </c>
      <c r="O1793">
        <v>2.0399038640477554E-2</v>
      </c>
      <c r="P1793">
        <v>2.9162682181755158E-2</v>
      </c>
      <c r="Q1793">
        <v>5.5659548152740927E-3</v>
      </c>
      <c r="R1793">
        <v>1.4394834276855691E-3</v>
      </c>
      <c r="S1793">
        <v>0.25764278633759041</v>
      </c>
      <c r="T1793">
        <v>1.364230152276569</v>
      </c>
      <c r="U1793">
        <v>0.20653597360883441</v>
      </c>
      <c r="V1793">
        <v>0.24390653580625657</v>
      </c>
      <c r="W1793">
        <v>9.6611361694440331E-2</v>
      </c>
      <c r="X1793">
        <v>1.7762441088264237E-2</v>
      </c>
      <c r="Y1793">
        <v>3.9177993645757147E-3</v>
      </c>
    </row>
    <row r="1794" spans="1:25" x14ac:dyDescent="0.2">
      <c r="A1794" s="1077"/>
      <c r="B1794" s="1444">
        <v>1544</v>
      </c>
      <c r="C1794" s="1081">
        <v>1.0064564637595499</v>
      </c>
      <c r="D1794" s="1081">
        <v>1.0039729447268426</v>
      </c>
      <c r="E1794" s="1081">
        <v>1.0105019421631134</v>
      </c>
      <c r="F1794" s="1081">
        <v>0.99458847684874963</v>
      </c>
      <c r="G1794" s="1081">
        <v>0.99097602129823281</v>
      </c>
      <c r="H1794" s="1081">
        <v>1.0276438252601754</v>
      </c>
      <c r="I1794" s="1081">
        <v>1.0059366814608321</v>
      </c>
      <c r="K1794">
        <v>2.4097173197556514</v>
      </c>
      <c r="L1794">
        <v>0</v>
      </c>
      <c r="M1794">
        <v>1.638807164718765E-3</v>
      </c>
      <c r="N1794">
        <v>0.15400714950631827</v>
      </c>
      <c r="O1794">
        <v>2.0839716134662591E-2</v>
      </c>
      <c r="P1794">
        <v>2.859238676022793E-2</v>
      </c>
      <c r="Q1794">
        <v>5.511035982871706E-3</v>
      </c>
      <c r="R1794">
        <v>1.6177571959744403E-3</v>
      </c>
      <c r="S1794">
        <v>0.26040902188320891</v>
      </c>
      <c r="T1794">
        <v>1.3644420922904288</v>
      </c>
      <c r="U1794">
        <v>0.21064926297691292</v>
      </c>
      <c r="V1794">
        <v>0.24355278220204876</v>
      </c>
      <c r="W1794">
        <v>0.10054529263447731</v>
      </c>
      <c r="X1794">
        <v>1.6786627559310985E-2</v>
      </c>
      <c r="Y1794">
        <v>4.4030017939260995E-3</v>
      </c>
    </row>
    <row r="1795" spans="1:25" x14ac:dyDescent="0.2">
      <c r="A1795" s="1077"/>
      <c r="B1795" s="1444">
        <v>1545</v>
      </c>
      <c r="C1795" s="1081">
        <v>0.99754915466017235</v>
      </c>
      <c r="D1795" s="1081">
        <v>0.98093711102233305</v>
      </c>
      <c r="E1795" s="1081">
        <v>0.99151005834258954</v>
      </c>
      <c r="F1795" s="1081">
        <v>0.98314641234069122</v>
      </c>
      <c r="G1795" s="1081">
        <v>1.0330141752131923</v>
      </c>
      <c r="H1795" s="1081">
        <v>0.97241610267615231</v>
      </c>
      <c r="I1795" s="1081">
        <v>0.9900202078954089</v>
      </c>
      <c r="K1795">
        <v>2.38480068632049</v>
      </c>
      <c r="L1795">
        <v>0</v>
      </c>
      <c r="M1795">
        <v>1.6357898041818161E-3</v>
      </c>
      <c r="N1795">
        <v>0.14504478023011924</v>
      </c>
      <c r="O1795">
        <v>2.1120752769956345E-2</v>
      </c>
      <c r="P1795">
        <v>2.8053330745252771E-2</v>
      </c>
      <c r="Q1795">
        <v>5.4797987538691634E-3</v>
      </c>
      <c r="R1795">
        <v>1.6135852747721842E-3</v>
      </c>
      <c r="S1795">
        <v>0.25675304402251492</v>
      </c>
      <c r="T1795">
        <v>1.3483411954250069</v>
      </c>
      <c r="U1795">
        <v>0.21246510288390563</v>
      </c>
      <c r="V1795">
        <v>0.25135415830884461</v>
      </c>
      <c r="W1795">
        <v>9.5768201471688047E-2</v>
      </c>
      <c r="X1795">
        <v>1.6050879039052088E-2</v>
      </c>
      <c r="Y1795">
        <v>4.391647199687012E-3</v>
      </c>
    </row>
    <row r="1796" spans="1:25" x14ac:dyDescent="0.2">
      <c r="A1796" s="1077"/>
      <c r="B1796" s="1444">
        <v>1546</v>
      </c>
      <c r="C1796" s="1081">
        <v>0.96386746993820194</v>
      </c>
      <c r="D1796" s="1081">
        <v>1.0416640854748169</v>
      </c>
      <c r="E1796" s="1081">
        <v>0.98690810614978131</v>
      </c>
      <c r="F1796" s="1081">
        <v>1.0030013135994968</v>
      </c>
      <c r="G1796" s="1081">
        <v>1.0340536257246808</v>
      </c>
      <c r="H1796" s="1081">
        <v>1.0130947436901259</v>
      </c>
      <c r="I1796" s="1081">
        <v>1.0160539155177633</v>
      </c>
      <c r="K1796">
        <v>2.4495261825330688</v>
      </c>
      <c r="L1796">
        <v>0</v>
      </c>
      <c r="M1796">
        <v>1.7572845285442672E-3</v>
      </c>
      <c r="N1796">
        <v>0.15374945846316906</v>
      </c>
      <c r="O1796">
        <v>2.1568712374849593E-2</v>
      </c>
      <c r="P1796">
        <v>2.8609752945026694E-2</v>
      </c>
      <c r="Q1796">
        <v>5.5700414778024534E-3</v>
      </c>
      <c r="R1796">
        <v>1.7343886010159635E-3</v>
      </c>
      <c r="S1796">
        <v>0.26818760556443427</v>
      </c>
      <c r="T1796">
        <v>1.3754716904654676</v>
      </c>
      <c r="U1796">
        <v>0.21987325727491297</v>
      </c>
      <c r="V1796">
        <v>0.25373433202444046</v>
      </c>
      <c r="W1796">
        <v>0.10179603363630685</v>
      </c>
      <c r="X1796">
        <v>1.6267760203270986E-2</v>
      </c>
      <c r="Y1796">
        <v>4.7204340309167864E-3</v>
      </c>
    </row>
    <row r="1797" spans="1:25" x14ac:dyDescent="0.2">
      <c r="A1797" s="1077"/>
      <c r="B1797" s="1444">
        <v>1547</v>
      </c>
      <c r="C1797" s="1081">
        <v>1.0101842321793306</v>
      </c>
      <c r="D1797" s="1081">
        <v>0.98505928171355417</v>
      </c>
      <c r="E1797" s="1081">
        <v>0.98052909224972262</v>
      </c>
      <c r="F1797" s="1081">
        <v>1.0039066478487131</v>
      </c>
      <c r="G1797" s="1081">
        <v>0.99607338941228807</v>
      </c>
      <c r="H1797" s="1081">
        <v>1.0248971999817682</v>
      </c>
      <c r="I1797" s="1081">
        <v>0.9935583698068331</v>
      </c>
      <c r="K1797">
        <v>2.4120936970526681</v>
      </c>
      <c r="L1797">
        <v>0</v>
      </c>
      <c r="M1797">
        <v>1.7400405227063543E-3</v>
      </c>
      <c r="N1797">
        <v>0.14935404221523196</v>
      </c>
      <c r="O1797">
        <v>2.0830126004805379E-2</v>
      </c>
      <c r="P1797">
        <v>2.8090200449174766E-2</v>
      </c>
      <c r="Q1797">
        <v>5.3446112765039369E-3</v>
      </c>
      <c r="R1797">
        <v>1.717630346352516E-3</v>
      </c>
      <c r="S1797">
        <v>0.25822356660206502</v>
      </c>
      <c r="T1797">
        <v>1.3765751828582167</v>
      </c>
      <c r="U1797">
        <v>0.20977057974823304</v>
      </c>
      <c r="V1797">
        <v>0.24430184155788134</v>
      </c>
      <c r="W1797">
        <v>9.9266369367803767E-2</v>
      </c>
      <c r="X1797">
        <v>1.5684763563023431E-2</v>
      </c>
      <c r="Y1797">
        <v>4.674823586080048E-3</v>
      </c>
    </row>
    <row r="1798" spans="1:25" x14ac:dyDescent="0.2">
      <c r="A1798" s="1077"/>
      <c r="B1798" s="1444">
        <v>1548</v>
      </c>
      <c r="C1798" s="1081">
        <v>1.022770889668801</v>
      </c>
      <c r="D1798" s="1081">
        <v>1.0243406863424918</v>
      </c>
      <c r="E1798" s="1081">
        <v>1.0252136132455898</v>
      </c>
      <c r="F1798" s="1081">
        <v>0.98517494696633157</v>
      </c>
      <c r="G1798" s="1081">
        <v>1.0160193521303211</v>
      </c>
      <c r="H1798" s="1081">
        <v>0.99358599892581967</v>
      </c>
      <c r="I1798" s="1081">
        <v>0.97324137383715426</v>
      </c>
      <c r="K1798">
        <v>2.3677591929674087</v>
      </c>
      <c r="L1798">
        <v>0</v>
      </c>
      <c r="M1798">
        <v>1.5055630960561543E-3</v>
      </c>
      <c r="N1798">
        <v>0.14784141234635315</v>
      </c>
      <c r="O1798">
        <v>2.0426407962246478E-2</v>
      </c>
      <c r="P1798">
        <v>2.8482032262194815E-2</v>
      </c>
      <c r="Q1798">
        <v>5.4814158835926772E-3</v>
      </c>
      <c r="R1798">
        <v>1.4855617273246216E-3</v>
      </c>
      <c r="S1798">
        <v>0.24283638893164014</v>
      </c>
      <c r="T1798">
        <v>1.3518425647942407</v>
      </c>
      <c r="U1798">
        <v>0.20733845646688681</v>
      </c>
      <c r="V1798">
        <v>0.24678598387289596</v>
      </c>
      <c r="W1798">
        <v>9.5691335024582103E-2</v>
      </c>
      <c r="X1798">
        <v>1.7009987485020844E-2</v>
      </c>
      <c r="Y1798">
        <v>4.0432093064858218E-3</v>
      </c>
    </row>
    <row r="1799" spans="1:25" x14ac:dyDescent="0.2">
      <c r="A1799" s="1077"/>
      <c r="B1799" s="1444">
        <v>1549</v>
      </c>
      <c r="C1799" s="1081">
        <v>0.99454522054466399</v>
      </c>
      <c r="D1799" s="1081">
        <v>0.98312993877579191</v>
      </c>
      <c r="E1799" s="1081">
        <v>0.98132889900428732</v>
      </c>
      <c r="F1799" s="1081">
        <v>1.0158145946977619</v>
      </c>
      <c r="G1799" s="1081">
        <v>0.9953865638742172</v>
      </c>
      <c r="H1799" s="1081">
        <v>1.0041929640369316</v>
      </c>
      <c r="I1799" s="1081">
        <v>0.97208198413118418</v>
      </c>
      <c r="K1799">
        <v>2.429351107198487</v>
      </c>
      <c r="L1799">
        <v>0</v>
      </c>
      <c r="M1799">
        <v>1.7295823452215817E-3</v>
      </c>
      <c r="N1799">
        <v>0.14877601304765506</v>
      </c>
      <c r="O1799">
        <v>2.1167336993491413E-2</v>
      </c>
      <c r="P1799">
        <v>2.8341647678933223E-2</v>
      </c>
      <c r="Q1799">
        <v>5.4355477550537276E-3</v>
      </c>
      <c r="R1799">
        <v>1.7068475897287787E-3</v>
      </c>
      <c r="S1799">
        <v>0.25514621990589009</v>
      </c>
      <c r="T1799">
        <v>1.3929210806687902</v>
      </c>
      <c r="U1799">
        <v>0.21307191791427826</v>
      </c>
      <c r="V1799">
        <v>0.24515251985210629</v>
      </c>
      <c r="W1799">
        <v>9.8834481524832624E-2</v>
      </c>
      <c r="X1799">
        <v>1.5881600135863289E-2</v>
      </c>
      <c r="Y1799">
        <v>4.6454764770849999E-3</v>
      </c>
    </row>
    <row r="1800" spans="1:25" x14ac:dyDescent="0.2">
      <c r="A1800" s="1077"/>
      <c r="B1800" s="1444">
        <v>1550</v>
      </c>
      <c r="C1800" s="1081">
        <v>0.99782757897681729</v>
      </c>
      <c r="D1800" s="1081">
        <v>1.0281498461603633</v>
      </c>
      <c r="E1800" s="1081">
        <v>1.0127058511650697</v>
      </c>
      <c r="F1800" s="1081">
        <v>0.96192862965755976</v>
      </c>
      <c r="G1800" s="1081">
        <v>1.0111519186379287</v>
      </c>
      <c r="H1800" s="1081">
        <v>0.98335542746131399</v>
      </c>
      <c r="I1800" s="1081">
        <v>1.0019515136730699</v>
      </c>
      <c r="K1800">
        <v>2.3544223415661132</v>
      </c>
      <c r="L1800">
        <v>0</v>
      </c>
      <c r="M1800">
        <v>1.5662919466865536E-3</v>
      </c>
      <c r="N1800">
        <v>0.14808819545116142</v>
      </c>
      <c r="O1800">
        <v>2.0911637082308566E-2</v>
      </c>
      <c r="P1800">
        <v>2.8025057249516858E-2</v>
      </c>
      <c r="Q1800">
        <v>5.5422413501619843E-3</v>
      </c>
      <c r="R1800">
        <v>1.5452673141419112E-3</v>
      </c>
      <c r="S1800">
        <v>0.25480578476187854</v>
      </c>
      <c r="T1800">
        <v>1.3196831168672334</v>
      </c>
      <c r="U1800">
        <v>0.21247845193592105</v>
      </c>
      <c r="V1800">
        <v>0.24752550838758242</v>
      </c>
      <c r="W1800">
        <v>9.6555631264554506E-2</v>
      </c>
      <c r="X1800">
        <v>1.6622033616475154E-2</v>
      </c>
      <c r="Y1800">
        <v>4.2057082318610797E-3</v>
      </c>
    </row>
    <row r="1801" spans="1:25" x14ac:dyDescent="0.2">
      <c r="A1801" s="1077"/>
      <c r="B1801" s="1444">
        <v>1551</v>
      </c>
      <c r="C1801" s="1081">
        <v>0.99671596007351249</v>
      </c>
      <c r="D1801" s="1081">
        <v>0.98445775530815327</v>
      </c>
      <c r="E1801" s="1081">
        <v>1.0008332174684547</v>
      </c>
      <c r="F1801" s="1081">
        <v>0.99731852714059988</v>
      </c>
      <c r="G1801" s="1081">
        <v>0.97921917829195881</v>
      </c>
      <c r="H1801" s="1081">
        <v>0.98088799100487223</v>
      </c>
      <c r="I1801" s="1081">
        <v>0.95769481833485515</v>
      </c>
      <c r="K1801">
        <v>2.3919985010161322</v>
      </c>
      <c r="L1801">
        <v>0</v>
      </c>
      <c r="M1801">
        <v>1.6185328242962814E-3</v>
      </c>
      <c r="N1801">
        <v>0.14763321076209143</v>
      </c>
      <c r="O1801">
        <v>2.1127979781646829E-2</v>
      </c>
      <c r="P1801">
        <v>2.8288166609869513E-2</v>
      </c>
      <c r="Q1801">
        <v>5.5333966159689923E-3</v>
      </c>
      <c r="R1801">
        <v>1.5967523008755488E-3</v>
      </c>
      <c r="S1801">
        <v>0.24889547241192017</v>
      </c>
      <c r="T1801">
        <v>1.3679785621096379</v>
      </c>
      <c r="U1801">
        <v>0.21267466535294843</v>
      </c>
      <c r="V1801">
        <v>0.24218503343396999</v>
      </c>
      <c r="W1801">
        <v>9.6936982381567394E-2</v>
      </c>
      <c r="X1801">
        <v>1.6420978686201505E-2</v>
      </c>
      <c r="Y1801">
        <v>4.3458333937287244E-3</v>
      </c>
    </row>
    <row r="1802" spans="1:25" x14ac:dyDescent="0.2">
      <c r="A1802" s="1077"/>
      <c r="B1802" s="1444">
        <v>1552</v>
      </c>
      <c r="C1802" s="1081">
        <v>0.99306929130302368</v>
      </c>
      <c r="D1802" s="1081">
        <v>1.008991734078404</v>
      </c>
      <c r="E1802" s="1081">
        <v>1.0228888422403299</v>
      </c>
      <c r="F1802" s="1081">
        <v>1.0228400153161141</v>
      </c>
      <c r="G1802" s="1081">
        <v>1.0028006977674242</v>
      </c>
      <c r="H1802" s="1081">
        <v>0.99620315385204505</v>
      </c>
      <c r="I1802" s="1081">
        <v>0.96504841675704811</v>
      </c>
      <c r="K1802">
        <v>2.4430968143230505</v>
      </c>
      <c r="L1802">
        <v>0</v>
      </c>
      <c r="M1802">
        <v>1.5674175528699783E-3</v>
      </c>
      <c r="N1802">
        <v>0.15284536121303188</v>
      </c>
      <c r="O1802">
        <v>2.1105774049321506E-2</v>
      </c>
      <c r="P1802">
        <v>2.9330818164231869E-2</v>
      </c>
      <c r="Q1802">
        <v>5.6506778492138388E-3</v>
      </c>
      <c r="R1802">
        <v>1.5466491541945601E-3</v>
      </c>
      <c r="S1802">
        <v>0.25006804025883722</v>
      </c>
      <c r="T1802">
        <v>1.4034743459063497</v>
      </c>
      <c r="U1802">
        <v>0.21353168786425319</v>
      </c>
      <c r="V1802">
        <v>0.24636366195820575</v>
      </c>
      <c r="W1802">
        <v>9.9064393716837687E-2</v>
      </c>
      <c r="X1802">
        <v>1.747335259648217E-2</v>
      </c>
      <c r="Y1802">
        <v>4.2094691449609386E-3</v>
      </c>
    </row>
    <row r="1803" spans="1:25" x14ac:dyDescent="0.2">
      <c r="A1803" s="1077"/>
      <c r="B1803" s="1444">
        <v>1553</v>
      </c>
      <c r="C1803" s="1081">
        <v>0.98561141602479552</v>
      </c>
      <c r="D1803" s="1081">
        <v>0.98471276122150631</v>
      </c>
      <c r="E1803" s="1081">
        <v>0.9868100998936653</v>
      </c>
      <c r="F1803" s="1081">
        <v>1.0128091032327773</v>
      </c>
      <c r="G1803" s="1081">
        <v>0.99347447747315232</v>
      </c>
      <c r="H1803" s="1081">
        <v>1.0165303349619494</v>
      </c>
      <c r="I1803" s="1081">
        <v>0.98924377754056458</v>
      </c>
      <c r="K1803">
        <v>2.4423375026876957</v>
      </c>
      <c r="L1803">
        <v>0</v>
      </c>
      <c r="M1803">
        <v>1.7461601007634439E-3</v>
      </c>
      <c r="N1803">
        <v>0.1527376935024588</v>
      </c>
      <c r="O1803">
        <v>2.1355338550716637E-2</v>
      </c>
      <c r="P1803">
        <v>2.8539343684430563E-2</v>
      </c>
      <c r="Q1803">
        <v>5.5143912206822108E-3</v>
      </c>
      <c r="R1803">
        <v>1.7234860071341576E-3</v>
      </c>
      <c r="S1803">
        <v>0.26289434419099261</v>
      </c>
      <c r="T1803">
        <v>1.3889195187884742</v>
      </c>
      <c r="U1803">
        <v>0.21502221102964278</v>
      </c>
      <c r="V1803">
        <v>0.24537458896152484</v>
      </c>
      <c r="W1803">
        <v>0.10113210605331975</v>
      </c>
      <c r="X1803">
        <v>1.6179880034671149E-2</v>
      </c>
      <c r="Y1803">
        <v>4.6907607644096185E-3</v>
      </c>
    </row>
    <row r="1804" spans="1:25" x14ac:dyDescent="0.2">
      <c r="A1804" s="1077"/>
      <c r="B1804" s="1444">
        <v>1554</v>
      </c>
      <c r="C1804" s="1081">
        <v>1.0070635500248881</v>
      </c>
      <c r="D1804" s="1081">
        <v>0.97703668813120303</v>
      </c>
      <c r="E1804" s="1081">
        <v>0.99401159177226439</v>
      </c>
      <c r="F1804" s="1081">
        <v>1.0053315736168627</v>
      </c>
      <c r="G1804" s="1081">
        <v>1.0216201264136149</v>
      </c>
      <c r="H1804" s="1081">
        <v>0.98616169793924024</v>
      </c>
      <c r="I1804" s="1081">
        <v>0.9829917924706042</v>
      </c>
      <c r="K1804">
        <v>2.4102891240959825</v>
      </c>
      <c r="L1804">
        <v>0</v>
      </c>
      <c r="M1804">
        <v>1.636178157208997E-3</v>
      </c>
      <c r="N1804">
        <v>0.14620845636482305</v>
      </c>
      <c r="O1804">
        <v>2.0941211912165813E-2</v>
      </c>
      <c r="P1804">
        <v>2.8423653543515018E-2</v>
      </c>
      <c r="Q1804">
        <v>5.4469507106938856E-3</v>
      </c>
      <c r="R1804">
        <v>1.6142779270902202E-3</v>
      </c>
      <c r="S1804">
        <v>0.25419844424142979</v>
      </c>
      <c r="T1804">
        <v>1.378821461099865</v>
      </c>
      <c r="U1804">
        <v>0.21046628567643469</v>
      </c>
      <c r="V1804">
        <v>0.24880776766241483</v>
      </c>
      <c r="W1804">
        <v>9.6392294313370749E-2</v>
      </c>
      <c r="X1804">
        <v>1.621096643042148E-2</v>
      </c>
      <c r="Y1804">
        <v>4.3935323709639327E-3</v>
      </c>
    </row>
    <row r="1805" spans="1:25" x14ac:dyDescent="0.2">
      <c r="A1805" s="1077"/>
      <c r="B1805" s="1444">
        <v>1555</v>
      </c>
      <c r="C1805" s="1081">
        <v>0.99036255017981401</v>
      </c>
      <c r="D1805" s="1081">
        <v>1.0313002395159387</v>
      </c>
      <c r="E1805" s="1081">
        <v>1.0078652096117642</v>
      </c>
      <c r="F1805" s="1081">
        <v>1.0085641877598013</v>
      </c>
      <c r="G1805" s="1081">
        <v>1.034541176000503</v>
      </c>
      <c r="H1805" s="1081">
        <v>1.0011128461227679</v>
      </c>
      <c r="I1805" s="1081">
        <v>0.9691522125027815</v>
      </c>
      <c r="K1805">
        <v>2.4255392677882783</v>
      </c>
      <c r="L1805">
        <v>0</v>
      </c>
      <c r="M1805">
        <v>1.6217423686475311E-3</v>
      </c>
      <c r="N1805">
        <v>0.15114291349999684</v>
      </c>
      <c r="O1805">
        <v>2.1051858537778058E-2</v>
      </c>
      <c r="P1805">
        <v>2.8810477178273817E-2</v>
      </c>
      <c r="Q1805">
        <v>5.5524757409152496E-3</v>
      </c>
      <c r="R1805">
        <v>1.6003595453452908E-3</v>
      </c>
      <c r="S1805">
        <v>0.24937445769274899</v>
      </c>
      <c r="T1805">
        <v>1.3835572729488417</v>
      </c>
      <c r="U1805">
        <v>0.21406331094193859</v>
      </c>
      <c r="V1805">
        <v>0.25200763263128018</v>
      </c>
      <c r="W1805">
        <v>9.8828984547463541E-2</v>
      </c>
      <c r="X1805">
        <v>1.6815615768296384E-2</v>
      </c>
      <c r="Y1805">
        <v>4.3556511240475425E-3</v>
      </c>
    </row>
    <row r="1806" spans="1:25" x14ac:dyDescent="0.2">
      <c r="A1806" s="1077"/>
      <c r="B1806" s="1444">
        <v>1556</v>
      </c>
      <c r="C1806" s="1081">
        <v>1.0122004740923494</v>
      </c>
      <c r="D1806" s="1081">
        <v>1.0198152249629184</v>
      </c>
      <c r="E1806" s="1081">
        <v>1.0245029477957852</v>
      </c>
      <c r="F1806" s="1081">
        <v>1.0105503560459357</v>
      </c>
      <c r="G1806" s="1081">
        <v>0.97791858612737992</v>
      </c>
      <c r="H1806" s="1081">
        <v>1.0234775889229106</v>
      </c>
      <c r="I1806" s="1081">
        <v>0.9825518062940144</v>
      </c>
      <c r="K1806">
        <v>2.418202882779823</v>
      </c>
      <c r="L1806">
        <v>0</v>
      </c>
      <c r="M1806">
        <v>1.5709029061666019E-3</v>
      </c>
      <c r="N1806">
        <v>0.15398785292497158</v>
      </c>
      <c r="O1806">
        <v>2.0659370237068916E-2</v>
      </c>
      <c r="P1806">
        <v>2.9009080176922313E-2</v>
      </c>
      <c r="Q1806">
        <v>5.5400262087479581E-3</v>
      </c>
      <c r="R1806">
        <v>1.550643009582836E-3</v>
      </c>
      <c r="S1806">
        <v>0.25072106914390957</v>
      </c>
      <c r="T1806">
        <v>1.3866467195504306</v>
      </c>
      <c r="U1806">
        <v>0.20950128420821718</v>
      </c>
      <c r="V1806">
        <v>0.24092377872627777</v>
      </c>
      <c r="W1806">
        <v>9.9710950452048142E-2</v>
      </c>
      <c r="X1806">
        <v>1.7302671945055276E-2</v>
      </c>
      <c r="Y1806">
        <v>4.22033910275375E-3</v>
      </c>
    </row>
    <row r="1807" spans="1:25" x14ac:dyDescent="0.2">
      <c r="A1807" s="1077"/>
      <c r="B1807" s="1444">
        <v>1557</v>
      </c>
      <c r="C1807" s="1081">
        <v>0.99992845394753149</v>
      </c>
      <c r="D1807" s="1081">
        <v>1.0375246883361815</v>
      </c>
      <c r="E1807" s="1081">
        <v>1.0067248980018122</v>
      </c>
      <c r="F1807" s="1081">
        <v>1.0039422557694759</v>
      </c>
      <c r="G1807" s="1081">
        <v>1.0162750608446776</v>
      </c>
      <c r="H1807" s="1081">
        <v>0.98941368176913935</v>
      </c>
      <c r="I1807" s="1081">
        <v>1.0199887386819757</v>
      </c>
      <c r="K1807">
        <v>2.4157360456668706</v>
      </c>
      <c r="L1807">
        <v>0</v>
      </c>
      <c r="M1807">
        <v>1.5891156724335159E-3</v>
      </c>
      <c r="N1807">
        <v>0.14756977677481223</v>
      </c>
      <c r="O1807">
        <v>2.0822128339999604E-2</v>
      </c>
      <c r="P1807">
        <v>2.8740168692011792E-2</v>
      </c>
      <c r="Q1807">
        <v>5.48561790021626E-3</v>
      </c>
      <c r="R1807">
        <v>1.5679152840225468E-3</v>
      </c>
      <c r="S1807">
        <v>0.25815277203540793</v>
      </c>
      <c r="T1807">
        <v>1.377192069484501</v>
      </c>
      <c r="U1807">
        <v>0.21201155284841838</v>
      </c>
      <c r="V1807">
        <v>0.24829035668704483</v>
      </c>
      <c r="W1807">
        <v>9.6557633429791123E-2</v>
      </c>
      <c r="X1807">
        <v>1.6667821323099418E-2</v>
      </c>
      <c r="Y1807">
        <v>4.2673485399749031E-3</v>
      </c>
    </row>
    <row r="1808" spans="1:25" x14ac:dyDescent="0.2">
      <c r="A1808" s="1077"/>
      <c r="B1808" s="1444">
        <v>1558</v>
      </c>
      <c r="C1808" s="1081">
        <v>1.0055815591251469</v>
      </c>
      <c r="D1808" s="1081">
        <v>1.00196518283084</v>
      </c>
      <c r="E1808" s="1081">
        <v>1.0282560291390423</v>
      </c>
      <c r="F1808" s="1081">
        <v>0.99095649873329172</v>
      </c>
      <c r="G1808" s="1081">
        <v>0.99366682163850606</v>
      </c>
      <c r="H1808" s="1081">
        <v>1.0303950195828495</v>
      </c>
      <c r="I1808" s="1081">
        <v>1.0378307304086976</v>
      </c>
      <c r="K1808">
        <v>2.4204008819332423</v>
      </c>
      <c r="L1808">
        <v>0</v>
      </c>
      <c r="M1808">
        <v>1.5856835927696962E-3</v>
      </c>
      <c r="N1808">
        <v>0.15721957915397908</v>
      </c>
      <c r="O1808">
        <v>2.0878782706859549E-2</v>
      </c>
      <c r="P1808">
        <v>2.9039802032407816E-2</v>
      </c>
      <c r="Q1808">
        <v>5.6197194881631709E-3</v>
      </c>
      <c r="R1808">
        <v>1.5653703621078298E-3</v>
      </c>
      <c r="S1808">
        <v>0.26956058245505676</v>
      </c>
      <c r="T1808">
        <v>1.3598414724538461</v>
      </c>
      <c r="U1808">
        <v>0.21089306723786858</v>
      </c>
      <c r="V1808">
        <v>0.2440041989199177</v>
      </c>
      <c r="W1808">
        <v>0.10158139830669313</v>
      </c>
      <c r="X1808">
        <v>1.7522170307657167E-2</v>
      </c>
      <c r="Y1808">
        <v>4.2604221014563275E-3</v>
      </c>
    </row>
    <row r="1809" spans="1:25" x14ac:dyDescent="0.2">
      <c r="A1809" s="1077"/>
      <c r="B1809" s="1444">
        <v>1559</v>
      </c>
      <c r="C1809" s="1081">
        <v>0.97469297118741427</v>
      </c>
      <c r="D1809" s="1081">
        <v>1.0296903661953924</v>
      </c>
      <c r="E1809" s="1081">
        <v>0.97333290551769591</v>
      </c>
      <c r="F1809" s="1081">
        <v>1.020695226249337</v>
      </c>
      <c r="G1809" s="1081">
        <v>1.0089267882627175</v>
      </c>
      <c r="H1809" s="1081">
        <v>1.0053960868375034</v>
      </c>
      <c r="I1809" s="1081">
        <v>0.97555994943264313</v>
      </c>
      <c r="K1809">
        <v>2.4455450297040087</v>
      </c>
      <c r="L1809">
        <v>0</v>
      </c>
      <c r="M1809">
        <v>1.77817481522948E-3</v>
      </c>
      <c r="N1809">
        <v>0.14930145187112598</v>
      </c>
      <c r="O1809">
        <v>2.1374322824639708E-2</v>
      </c>
      <c r="P1809">
        <v>2.8365604272336503E-2</v>
      </c>
      <c r="Q1809">
        <v>5.4442071872361116E-3</v>
      </c>
      <c r="R1809">
        <v>1.7548292989446801E-3</v>
      </c>
      <c r="S1809">
        <v>0.25534060282059157</v>
      </c>
      <c r="T1809">
        <v>1.3994378854091811</v>
      </c>
      <c r="U1809">
        <v>0.21738376250058455</v>
      </c>
      <c r="V1809">
        <v>0.24877288727869568</v>
      </c>
      <c r="W1809">
        <v>9.9664592681972822E-2</v>
      </c>
      <c r="X1809">
        <v>1.5706991501521737E-2</v>
      </c>
      <c r="Y1809">
        <v>4.7760668724044922E-3</v>
      </c>
    </row>
    <row r="1810" spans="1:25" x14ac:dyDescent="0.2">
      <c r="A1810" s="1077"/>
      <c r="B1810" s="1444">
        <v>1560</v>
      </c>
      <c r="C1810" s="1081">
        <v>0.98640757353090558</v>
      </c>
      <c r="D1810" s="1081">
        <v>0.96919515145970969</v>
      </c>
      <c r="E1810" s="1081">
        <v>1.0238389606545584</v>
      </c>
      <c r="F1810" s="1081">
        <v>0.98709551331742718</v>
      </c>
      <c r="G1810" s="1081">
        <v>0.98799542341473778</v>
      </c>
      <c r="H1810" s="1081">
        <v>0.96087977615192932</v>
      </c>
      <c r="I1810" s="1081">
        <v>1.0012880641826563</v>
      </c>
      <c r="K1810">
        <v>2.4015160133267703</v>
      </c>
      <c r="L1810">
        <v>0</v>
      </c>
      <c r="M1810">
        <v>1.5325505998847327E-3</v>
      </c>
      <c r="N1810">
        <v>0.14980022167249538</v>
      </c>
      <c r="O1810">
        <v>2.1437904292065255E-2</v>
      </c>
      <c r="P1810">
        <v>2.8847465540728152E-2</v>
      </c>
      <c r="Q1810">
        <v>5.7450134270215208E-3</v>
      </c>
      <c r="R1810">
        <v>1.5114976969543656E-3</v>
      </c>
      <c r="S1810">
        <v>0.26348210845460018</v>
      </c>
      <c r="T1810">
        <v>1.3544484491128475</v>
      </c>
      <c r="U1810">
        <v>0.21497708137356622</v>
      </c>
      <c r="V1810">
        <v>0.24425817798864191</v>
      </c>
      <c r="W1810">
        <v>9.7036920519124339E-2</v>
      </c>
      <c r="X1810">
        <v>1.7389925382581418E-2</v>
      </c>
      <c r="Y1810">
        <v>4.1137984660278943E-3</v>
      </c>
    </row>
    <row r="1811" spans="1:25" x14ac:dyDescent="0.2">
      <c r="A1811" s="1077"/>
      <c r="B1811" s="1444">
        <v>1561</v>
      </c>
      <c r="C1811" s="1081">
        <v>1.0258907420575705</v>
      </c>
      <c r="D1811" s="1081">
        <v>0.99779424690297769</v>
      </c>
      <c r="E1811" s="1081">
        <v>1.0422378971916886</v>
      </c>
      <c r="F1811" s="1081">
        <v>1.0030651819040961</v>
      </c>
      <c r="G1811" s="1081">
        <v>1.0111785886011342</v>
      </c>
      <c r="H1811" s="1081">
        <v>0.99867563000269555</v>
      </c>
      <c r="I1811" s="1081">
        <v>0.97042776785037987</v>
      </c>
      <c r="K1811">
        <v>2.3997982602225938</v>
      </c>
      <c r="L1811">
        <v>0</v>
      </c>
      <c r="M1811">
        <v>1.46449853290889E-3</v>
      </c>
      <c r="N1811">
        <v>0.15139035365306763</v>
      </c>
      <c r="O1811">
        <v>2.049334064027946E-2</v>
      </c>
      <c r="P1811">
        <v>2.9194837576665213E-2</v>
      </c>
      <c r="Q1811">
        <v>5.5925334514288095E-3</v>
      </c>
      <c r="R1811">
        <v>1.4451418601883993E-3</v>
      </c>
      <c r="S1811">
        <v>0.24513066344090989</v>
      </c>
      <c r="T1811">
        <v>1.3767630256925185</v>
      </c>
      <c r="U1811">
        <v>0.20676492733093696</v>
      </c>
      <c r="V1811">
        <v>0.24571411120274436</v>
      </c>
      <c r="W1811">
        <v>9.7027629343937771E-2</v>
      </c>
      <c r="X1811">
        <v>1.781299481027598E-2</v>
      </c>
      <c r="Y1811">
        <v>3.9331997525466449E-3</v>
      </c>
    </row>
    <row r="1812" spans="1:25" x14ac:dyDescent="0.2">
      <c r="A1812" s="1077"/>
      <c r="B1812" s="1444">
        <v>1562</v>
      </c>
      <c r="C1812" s="1081">
        <v>0.99250066936035808</v>
      </c>
      <c r="D1812" s="1081">
        <v>0.98846614120178478</v>
      </c>
      <c r="E1812" s="1081">
        <v>1.0043321648319923</v>
      </c>
      <c r="F1812" s="1081">
        <v>0.99713397007833005</v>
      </c>
      <c r="G1812" s="1081">
        <v>0.98902016030855411</v>
      </c>
      <c r="H1812" s="1081">
        <v>0.99916534723754069</v>
      </c>
      <c r="I1812" s="1081">
        <v>0.9996362934452433</v>
      </c>
      <c r="K1812">
        <v>2.4145245725115321</v>
      </c>
      <c r="L1812">
        <v>0</v>
      </c>
      <c r="M1812">
        <v>1.6422470962274458E-3</v>
      </c>
      <c r="N1812">
        <v>0.15142566738414698</v>
      </c>
      <c r="O1812">
        <v>2.1201100883993532E-2</v>
      </c>
      <c r="P1812">
        <v>2.8577269063228904E-2</v>
      </c>
      <c r="Q1812">
        <v>5.5720820538323369E-3</v>
      </c>
      <c r="R1812">
        <v>1.620551711423042E-3</v>
      </c>
      <c r="S1812">
        <v>0.26196390188812591</v>
      </c>
      <c r="T1812">
        <v>1.3678009116396319</v>
      </c>
      <c r="U1812">
        <v>0.21358998018558165</v>
      </c>
      <c r="V1812">
        <v>0.24411229717430982</v>
      </c>
      <c r="W1812">
        <v>9.922100350622004E-2</v>
      </c>
      <c r="X1812">
        <v>1.6671446573496167E-2</v>
      </c>
      <c r="Y1812">
        <v>4.410607543765422E-3</v>
      </c>
    </row>
    <row r="1813" spans="1:25" x14ac:dyDescent="0.2">
      <c r="A1813" s="1077"/>
      <c r="B1813" s="1444">
        <v>1563</v>
      </c>
      <c r="C1813" s="1081">
        <v>0.98928790770154507</v>
      </c>
      <c r="D1813" s="1081">
        <v>0.97897529743530476</v>
      </c>
      <c r="E1813" s="1081">
        <v>0.96776287144861783</v>
      </c>
      <c r="F1813" s="1081">
        <v>0.98630658289065865</v>
      </c>
      <c r="G1813" s="1081">
        <v>0.97602749944038159</v>
      </c>
      <c r="H1813" s="1081">
        <v>0.97236291168632039</v>
      </c>
      <c r="I1813" s="1081">
        <v>0.98126993887927128</v>
      </c>
      <c r="K1813">
        <v>2.3780709217403579</v>
      </c>
      <c r="L1813">
        <v>0</v>
      </c>
      <c r="M1813">
        <v>1.7331290983646354E-3</v>
      </c>
      <c r="N1813">
        <v>0.14302102814274278</v>
      </c>
      <c r="O1813">
        <v>2.1290554481342823E-2</v>
      </c>
      <c r="P1813">
        <v>2.7503061268217034E-2</v>
      </c>
      <c r="Q1813">
        <v>5.3920953958563663E-3</v>
      </c>
      <c r="R1813">
        <v>1.709601979487435E-3</v>
      </c>
      <c r="S1813">
        <v>0.25667208219128745</v>
      </c>
      <c r="T1813">
        <v>1.3521707835159686</v>
      </c>
      <c r="U1813">
        <v>0.21415755235831171</v>
      </c>
      <c r="V1813">
        <v>0.24222626470882191</v>
      </c>
      <c r="W1813">
        <v>9.579623200381876E-2</v>
      </c>
      <c r="X1813">
        <v>1.5211821774841457E-2</v>
      </c>
      <c r="Y1813">
        <v>4.6529730180237235E-3</v>
      </c>
    </row>
    <row r="1814" spans="1:25" x14ac:dyDescent="0.2">
      <c r="A1814" s="1077"/>
      <c r="B1814" s="1444">
        <v>1564</v>
      </c>
      <c r="C1814" s="1081">
        <v>0.99579924050226931</v>
      </c>
      <c r="D1814" s="1081">
        <v>1.02652340918268</v>
      </c>
      <c r="E1814" s="1081">
        <v>0.99096243176659338</v>
      </c>
      <c r="F1814" s="1081">
        <v>1.0141944767633781</v>
      </c>
      <c r="G1814" s="1081">
        <v>1.0016713167318032</v>
      </c>
      <c r="H1814" s="1081">
        <v>0.97789229302401071</v>
      </c>
      <c r="I1814" s="1081">
        <v>1.0161101893583586</v>
      </c>
      <c r="K1814">
        <v>2.4239410489971127</v>
      </c>
      <c r="L1814">
        <v>0</v>
      </c>
      <c r="M1814">
        <v>1.6333582870552193E-3</v>
      </c>
      <c r="N1814">
        <v>0.14460074539981507</v>
      </c>
      <c r="O1814">
        <v>2.0947119083628851E-2</v>
      </c>
      <c r="P1814">
        <v>2.8576308054185085E-2</v>
      </c>
      <c r="Q1814">
        <v>5.4317439745416255E-3</v>
      </c>
      <c r="R1814">
        <v>1.6113109239171675E-3</v>
      </c>
      <c r="S1814">
        <v>0.25848788273581413</v>
      </c>
      <c r="T1814">
        <v>1.3909102318826263</v>
      </c>
      <c r="U1814">
        <v>0.21283658978604786</v>
      </c>
      <c r="V1814">
        <v>0.24611230642559345</v>
      </c>
      <c r="W1814">
        <v>9.5506316379584011E-2</v>
      </c>
      <c r="X1814">
        <v>1.6168395472013364E-2</v>
      </c>
      <c r="Y1814">
        <v>4.3854571663992153E-3</v>
      </c>
    </row>
    <row r="1815" spans="1:25" x14ac:dyDescent="0.2">
      <c r="A1815" s="1077"/>
      <c r="B1815" s="1444">
        <v>1565</v>
      </c>
      <c r="C1815" s="1081">
        <v>0.99296139502287584</v>
      </c>
      <c r="D1815" s="1081">
        <v>1.0323985490243559</v>
      </c>
      <c r="E1815" s="1081">
        <v>1.0124954171514964</v>
      </c>
      <c r="F1815" s="1081">
        <v>1.0224540440932643</v>
      </c>
      <c r="G1815" s="1081">
        <v>1.0239944895820601</v>
      </c>
      <c r="H1815" s="1081">
        <v>0.98317761700967832</v>
      </c>
      <c r="I1815" s="1081">
        <v>0.96964547489552522</v>
      </c>
      <c r="K1815">
        <v>2.4359582799410049</v>
      </c>
      <c r="L1815">
        <v>0</v>
      </c>
      <c r="M1815">
        <v>1.5729439365510911E-3</v>
      </c>
      <c r="N1815">
        <v>0.14862232344745599</v>
      </c>
      <c r="O1815">
        <v>2.0994921934244886E-2</v>
      </c>
      <c r="P1815">
        <v>2.9109280532279382E-2</v>
      </c>
      <c r="Q1815">
        <v>5.5631457577054932E-3</v>
      </c>
      <c r="R1815">
        <v>1.5518261945777307E-3</v>
      </c>
      <c r="S1815">
        <v>0.24727330854594662</v>
      </c>
      <c r="T1815">
        <v>1.4027141002052692</v>
      </c>
      <c r="U1815">
        <v>0.21351901456853661</v>
      </c>
      <c r="V1815">
        <v>0.25002513764570394</v>
      </c>
      <c r="W1815">
        <v>9.691589113038164E-2</v>
      </c>
      <c r="X1815">
        <v>1.7018714573183002E-2</v>
      </c>
      <c r="Y1815">
        <v>4.223559342273025E-3</v>
      </c>
    </row>
    <row r="1816" spans="1:25" x14ac:dyDescent="0.2">
      <c r="A1816" s="1077"/>
      <c r="B1816" s="1444">
        <v>1566</v>
      </c>
      <c r="C1816" s="1081">
        <v>0.969525895444872</v>
      </c>
      <c r="D1816" s="1081">
        <v>0.98940995041232394</v>
      </c>
      <c r="E1816" s="1081">
        <v>1.0183906179281392</v>
      </c>
      <c r="F1816" s="1081">
        <v>0.98316019692603107</v>
      </c>
      <c r="G1816" s="1081">
        <v>1.0210609057500943</v>
      </c>
      <c r="H1816" s="1081">
        <v>0.99166679457180418</v>
      </c>
      <c r="I1816" s="1081">
        <v>1.0480410672771876</v>
      </c>
      <c r="K1816">
        <v>2.4345289767835907</v>
      </c>
      <c r="L1816">
        <v>0</v>
      </c>
      <c r="M1816">
        <v>1.6201688438561962E-3</v>
      </c>
      <c r="N1816">
        <v>0.15585042166249705</v>
      </c>
      <c r="O1816">
        <v>2.1708608226511061E-2</v>
      </c>
      <c r="P1816">
        <v>2.9036309924954592E-2</v>
      </c>
      <c r="Q1816">
        <v>5.7861516782755093E-3</v>
      </c>
      <c r="R1816">
        <v>1.5986032846855847E-3</v>
      </c>
      <c r="S1816">
        <v>0.2804560003533394</v>
      </c>
      <c r="T1816">
        <v>1.3489322489240336</v>
      </c>
      <c r="U1816">
        <v>0.2187010563953829</v>
      </c>
      <c r="V1816">
        <v>0.25102234233360077</v>
      </c>
      <c r="W1816">
        <v>0.1012781276243816</v>
      </c>
      <c r="X1816">
        <v>1.7428404058302614E-2</v>
      </c>
      <c r="Y1816">
        <v>4.3508711614829929E-3</v>
      </c>
    </row>
    <row r="1817" spans="1:25" x14ac:dyDescent="0.2">
      <c r="A1817" s="1077"/>
      <c r="B1817" s="1444">
        <v>1567</v>
      </c>
      <c r="C1817" s="1081">
        <v>0.96635841446996995</v>
      </c>
      <c r="D1817" s="1081">
        <v>0.98748269007097411</v>
      </c>
      <c r="E1817" s="1081">
        <v>1.0244441306242797</v>
      </c>
      <c r="F1817" s="1081">
        <v>0.95621958104229332</v>
      </c>
      <c r="G1817" s="1081">
        <v>0.99144158050653752</v>
      </c>
      <c r="H1817" s="1081">
        <v>1.0049143245163175</v>
      </c>
      <c r="I1817" s="1081">
        <v>1.0041925565170444</v>
      </c>
      <c r="K1817">
        <v>2.3894105951332567</v>
      </c>
      <c r="L1817">
        <v>0</v>
      </c>
      <c r="M1817">
        <v>1.6272705719785118E-3</v>
      </c>
      <c r="N1817">
        <v>0.15944651274887683</v>
      </c>
      <c r="O1817">
        <v>2.1793290717212751E-2</v>
      </c>
      <c r="P1817">
        <v>2.846589868273482E-2</v>
      </c>
      <c r="Q1817">
        <v>5.8437579747317708E-3</v>
      </c>
      <c r="R1817">
        <v>1.605896023364507E-3</v>
      </c>
      <c r="S1817">
        <v>0.27109450050049494</v>
      </c>
      <c r="T1817">
        <v>1.3120944465035491</v>
      </c>
      <c r="U1817">
        <v>0.21943938628288137</v>
      </c>
      <c r="V1817">
        <v>0.24615705832775475</v>
      </c>
      <c r="W1817">
        <v>0.10324910834079426</v>
      </c>
      <c r="X1817">
        <v>1.7477290010723019E-2</v>
      </c>
      <c r="Y1817">
        <v>4.3707195921163632E-3</v>
      </c>
    </row>
    <row r="1818" spans="1:25" x14ac:dyDescent="0.2">
      <c r="A1818" s="1077"/>
      <c r="B1818" s="1444">
        <v>1568</v>
      </c>
      <c r="C1818" s="1081">
        <v>0.99938554909803501</v>
      </c>
      <c r="D1818" s="1081">
        <v>0.98381941704258036</v>
      </c>
      <c r="E1818" s="1081">
        <v>0.95943535385309686</v>
      </c>
      <c r="F1818" s="1081">
        <v>1.0281972204797589</v>
      </c>
      <c r="G1818" s="1081">
        <v>0.97703829125643582</v>
      </c>
      <c r="H1818" s="1081">
        <v>1.008000694314338</v>
      </c>
      <c r="I1818" s="1081">
        <v>1.0070526956154222</v>
      </c>
      <c r="K1818">
        <v>2.4441522576512451</v>
      </c>
      <c r="L1818">
        <v>0</v>
      </c>
      <c r="M1818">
        <v>1.8073403288085209E-3</v>
      </c>
      <c r="N1818">
        <v>0.1455004609768141</v>
      </c>
      <c r="O1818">
        <v>2.1047047397118473E-2</v>
      </c>
      <c r="P1818">
        <v>2.8134954860822473E-2</v>
      </c>
      <c r="Q1818">
        <v>5.2850864701757348E-3</v>
      </c>
      <c r="R1818">
        <v>1.783673213503233E-3</v>
      </c>
      <c r="S1818">
        <v>0.26309810410536988</v>
      </c>
      <c r="T1818">
        <v>1.4094167170721055</v>
      </c>
      <c r="U1818">
        <v>0.21196542386511344</v>
      </c>
      <c r="V1818">
        <v>0.24179214700998278</v>
      </c>
      <c r="W1818">
        <v>9.7954707199095686E-2</v>
      </c>
      <c r="X1818">
        <v>1.5126705310511282E-2</v>
      </c>
      <c r="Y1818">
        <v>4.8545704994389935E-3</v>
      </c>
    </row>
    <row r="1819" spans="1:25" x14ac:dyDescent="0.2">
      <c r="A1819" s="1077"/>
      <c r="B1819" s="1444">
        <v>1569</v>
      </c>
      <c r="C1819" s="1081">
        <v>0.95962233147176224</v>
      </c>
      <c r="D1819" s="1081">
        <v>1.025701711143977</v>
      </c>
      <c r="E1819" s="1081">
        <v>1.0092275842679352</v>
      </c>
      <c r="F1819" s="1081">
        <v>0.99119122763283496</v>
      </c>
      <c r="G1819" s="1081">
        <v>0.98429980328512712</v>
      </c>
      <c r="H1819" s="1081">
        <v>0.97236777497461024</v>
      </c>
      <c r="I1819" s="1081">
        <v>1.0291030030408017</v>
      </c>
      <c r="K1819">
        <v>2.4262701885630373</v>
      </c>
      <c r="L1819">
        <v>0</v>
      </c>
      <c r="M1819">
        <v>1.622984644096573E-3</v>
      </c>
      <c r="N1819">
        <v>0.15182217553926153</v>
      </c>
      <c r="O1819">
        <v>2.175319869153438E-2</v>
      </c>
      <c r="P1819">
        <v>2.8819661120411105E-2</v>
      </c>
      <c r="Q1819">
        <v>5.7452811530511148E-3</v>
      </c>
      <c r="R1819">
        <v>1.6009528394745854E-3</v>
      </c>
      <c r="S1819">
        <v>0.27142690159758015</v>
      </c>
      <c r="T1819">
        <v>1.3597541486339284</v>
      </c>
      <c r="U1819">
        <v>0.22092540226996762</v>
      </c>
      <c r="V1819">
        <v>0.24544347334137345</v>
      </c>
      <c r="W1819">
        <v>9.9193327507023477E-2</v>
      </c>
      <c r="X1819">
        <v>1.7051384638438482E-2</v>
      </c>
      <c r="Y1819">
        <v>4.357265875088126E-3</v>
      </c>
    </row>
    <row r="1820" spans="1:25" x14ac:dyDescent="0.2">
      <c r="A1820" s="1077"/>
      <c r="B1820" s="1444">
        <v>1570</v>
      </c>
      <c r="C1820" s="1081">
        <v>0.98837547059350717</v>
      </c>
      <c r="D1820" s="1081">
        <v>1.0244909175163337</v>
      </c>
      <c r="E1820" s="1081">
        <v>1.0218352308845799</v>
      </c>
      <c r="F1820" s="1081">
        <v>0.98541351550668199</v>
      </c>
      <c r="G1820" s="1081">
        <v>0.99030945589043484</v>
      </c>
      <c r="H1820" s="1081">
        <v>0.98960439674402667</v>
      </c>
      <c r="I1820" s="1081">
        <v>0.95773848253556848</v>
      </c>
      <c r="K1820">
        <v>2.3851341321648976</v>
      </c>
      <c r="L1820">
        <v>0</v>
      </c>
      <c r="M1820">
        <v>1.562614665702183E-3</v>
      </c>
      <c r="N1820">
        <v>0.15187993097925409</v>
      </c>
      <c r="O1820">
        <v>2.1134299480416556E-2</v>
      </c>
      <c r="P1820">
        <v>2.854066507797412E-2</v>
      </c>
      <c r="Q1820">
        <v>5.6523990415451204E-3</v>
      </c>
      <c r="R1820">
        <v>1.5417718447284089E-3</v>
      </c>
      <c r="S1820">
        <v>0.24691305616208115</v>
      </c>
      <c r="T1820">
        <v>1.3520975903871129</v>
      </c>
      <c r="U1820">
        <v>0.21454209912693092</v>
      </c>
      <c r="V1820">
        <v>0.24453399148107838</v>
      </c>
      <c r="W1820">
        <v>9.8499250304698638E-2</v>
      </c>
      <c r="X1820">
        <v>1.7165498228382217E-2</v>
      </c>
      <c r="Y1820">
        <v>4.1961947163987089E-3</v>
      </c>
    </row>
    <row r="1821" spans="1:25" x14ac:dyDescent="0.2">
      <c r="A1821" s="1077"/>
      <c r="B1821" s="1444">
        <v>1571</v>
      </c>
      <c r="C1821" s="1081">
        <v>0.97974107440164293</v>
      </c>
      <c r="D1821" s="1081">
        <v>1.0245512353142823</v>
      </c>
      <c r="E1821" s="1081">
        <v>1.0445501682263354</v>
      </c>
      <c r="F1821" s="1081">
        <v>1.0122080895875836</v>
      </c>
      <c r="G1821" s="1081">
        <v>1.0045591600840946</v>
      </c>
      <c r="H1821" s="1081">
        <v>0.98856454909526481</v>
      </c>
      <c r="I1821" s="1081">
        <v>1.0081623873445595</v>
      </c>
      <c r="K1821">
        <v>2.4513921437998998</v>
      </c>
      <c r="L1821">
        <v>0</v>
      </c>
      <c r="M1821">
        <v>1.501876599013452E-3</v>
      </c>
      <c r="N1821">
        <v>0.15631775058953554</v>
      </c>
      <c r="O1821">
        <v>2.1335659992281025E-2</v>
      </c>
      <c r="P1821">
        <v>2.9824745656180221E-2</v>
      </c>
      <c r="Q1821">
        <v>5.8356267731167503E-3</v>
      </c>
      <c r="R1821">
        <v>1.4818228563899896E-3</v>
      </c>
      <c r="S1821">
        <v>0.26229415666533201</v>
      </c>
      <c r="T1821">
        <v>1.3893632188287814</v>
      </c>
      <c r="U1821">
        <v>0.21651248984769908</v>
      </c>
      <c r="V1821">
        <v>0.24744388719022903</v>
      </c>
      <c r="W1821">
        <v>0.10005266986522326</v>
      </c>
      <c r="X1821">
        <v>1.8398958801823708E-2</v>
      </c>
      <c r="Y1821">
        <v>4.0330333323202244E-3</v>
      </c>
    </row>
    <row r="1822" spans="1:25" x14ac:dyDescent="0.2">
      <c r="A1822" s="1077"/>
      <c r="B1822" s="1444">
        <v>1572</v>
      </c>
      <c r="C1822" s="1081">
        <v>0.97347939979325526</v>
      </c>
      <c r="D1822" s="1081">
        <v>1.0020758381099504</v>
      </c>
      <c r="E1822" s="1081">
        <v>1.0422657149342263</v>
      </c>
      <c r="F1822" s="1081">
        <v>1.0386760088248654</v>
      </c>
      <c r="G1822" s="1081">
        <v>0.96195912386091398</v>
      </c>
      <c r="H1822" s="1081">
        <v>1.0069832906575675</v>
      </c>
      <c r="I1822" s="1081">
        <v>0.99018295792885203</v>
      </c>
      <c r="K1822">
        <v>2.4920801854148964</v>
      </c>
      <c r="L1822">
        <v>0</v>
      </c>
      <c r="M1822">
        <v>1.5546290085284259E-3</v>
      </c>
      <c r="N1822">
        <v>0.16073868270143765</v>
      </c>
      <c r="O1822">
        <v>2.1576369801190959E-2</v>
      </c>
      <c r="P1822">
        <v>3.0230029864456658E-2</v>
      </c>
      <c r="Q1822">
        <v>5.8882477266526921E-3</v>
      </c>
      <c r="R1822">
        <v>1.5342505785545637E-3</v>
      </c>
      <c r="S1822">
        <v>0.263742042701608</v>
      </c>
      <c r="T1822">
        <v>1.4256415059879708</v>
      </c>
      <c r="U1822">
        <v>0.2178970818074778</v>
      </c>
      <c r="V1822">
        <v>0.24059524961702777</v>
      </c>
      <c r="W1822">
        <v>0.10301742165312401</v>
      </c>
      <c r="X1822">
        <v>1.859820767466331E-2</v>
      </c>
      <c r="Y1822">
        <v>4.1757243092582289E-3</v>
      </c>
    </row>
    <row r="1823" spans="1:25" x14ac:dyDescent="0.2">
      <c r="A1823" s="1077"/>
      <c r="B1823" s="1444">
        <v>1573</v>
      </c>
      <c r="C1823" s="1081">
        <v>0.95194014073192224</v>
      </c>
      <c r="D1823" s="1081">
        <v>1.0182933575285857</v>
      </c>
      <c r="E1823" s="1081">
        <v>0.99436971472183933</v>
      </c>
      <c r="F1823" s="1081">
        <v>0.99153297310103672</v>
      </c>
      <c r="G1823" s="1081">
        <v>0.98697724097865069</v>
      </c>
      <c r="H1823" s="1081">
        <v>0.95948244073706257</v>
      </c>
      <c r="I1823" s="1081">
        <v>1.0355687302174703</v>
      </c>
      <c r="K1823">
        <v>2.4287428026618909</v>
      </c>
      <c r="L1823">
        <v>0</v>
      </c>
      <c r="M1823">
        <v>1.6676033271028868E-3</v>
      </c>
      <c r="N1823">
        <v>0.14912171402070784</v>
      </c>
      <c r="O1823">
        <v>2.1953426524854047E-2</v>
      </c>
      <c r="P1823">
        <v>2.8591200254575126E-2</v>
      </c>
      <c r="Q1823">
        <v>5.7122971254091439E-3</v>
      </c>
      <c r="R1823">
        <v>1.6446618202441107E-3</v>
      </c>
      <c r="S1823">
        <v>0.27502005835303978</v>
      </c>
      <c r="T1823">
        <v>1.3599042250632807</v>
      </c>
      <c r="U1823">
        <v>0.22265491155402878</v>
      </c>
      <c r="V1823">
        <v>0.24647682810672</v>
      </c>
      <c r="W1823">
        <v>9.8291926702890609E-2</v>
      </c>
      <c r="X1823">
        <v>1.6562929151159415E-2</v>
      </c>
      <c r="Y1823">
        <v>4.4762273120811354E-3</v>
      </c>
    </row>
    <row r="1824" spans="1:25" x14ac:dyDescent="0.2">
      <c r="A1824" s="1077"/>
      <c r="B1824" s="1444">
        <v>1574</v>
      </c>
      <c r="C1824" s="1081">
        <v>0.98495203569297485</v>
      </c>
      <c r="D1824" s="1081">
        <v>0.98773424524507181</v>
      </c>
      <c r="E1824" s="1081">
        <v>0.98201633935983923</v>
      </c>
      <c r="F1824" s="1081">
        <v>0.99222617999559493</v>
      </c>
      <c r="G1824" s="1081">
        <v>0.98582022641643663</v>
      </c>
      <c r="H1824" s="1081">
        <v>0.99167868225047506</v>
      </c>
      <c r="I1824" s="1081">
        <v>0.97039136853336194</v>
      </c>
      <c r="K1824">
        <v>2.3973199447564837</v>
      </c>
      <c r="L1824">
        <v>0</v>
      </c>
      <c r="M1824">
        <v>1.7204441246017905E-3</v>
      </c>
      <c r="N1824">
        <v>0.14827312631229167</v>
      </c>
      <c r="O1824">
        <v>2.1352005584724804E-2</v>
      </c>
      <c r="P1824">
        <v>2.7940555376466326E-2</v>
      </c>
      <c r="Q1824">
        <v>5.4867974860536564E-3</v>
      </c>
      <c r="R1824">
        <v>1.6975441071450724E-3</v>
      </c>
      <c r="S1824">
        <v>0.25553484396637388</v>
      </c>
      <c r="T1824">
        <v>1.3605905048775588</v>
      </c>
      <c r="U1824">
        <v>0.21514956347106742</v>
      </c>
      <c r="V1824">
        <v>0.24412640136503433</v>
      </c>
      <c r="W1824">
        <v>9.8459580998822238E-2</v>
      </c>
      <c r="X1824">
        <v>1.5809309871161168E-2</v>
      </c>
      <c r="Y1824">
        <v>4.6201554643843634E-3</v>
      </c>
    </row>
    <row r="1825" spans="1:25" x14ac:dyDescent="0.2">
      <c r="A1825" s="1077"/>
      <c r="B1825" s="1444">
        <v>1575</v>
      </c>
      <c r="C1825" s="1081">
        <v>1.0289755970598182</v>
      </c>
      <c r="D1825" s="1081">
        <v>1.0146878717907142</v>
      </c>
      <c r="E1825" s="1081">
        <v>1.0494179757793585</v>
      </c>
      <c r="F1825" s="1081">
        <v>0.95354354593134849</v>
      </c>
      <c r="G1825" s="1081">
        <v>1.0038571739131508</v>
      </c>
      <c r="H1825" s="1081">
        <v>1.0294659618956954</v>
      </c>
      <c r="I1825" s="1081">
        <v>1.0193098018427822</v>
      </c>
      <c r="K1825">
        <v>2.3485878178951318</v>
      </c>
      <c r="L1825">
        <v>0</v>
      </c>
      <c r="M1825">
        <v>1.4772550439803339E-3</v>
      </c>
      <c r="N1825">
        <v>0.15610903847121943</v>
      </c>
      <c r="O1825">
        <v>2.0361220632612087E-2</v>
      </c>
      <c r="P1825">
        <v>2.8527671880630129E-2</v>
      </c>
      <c r="Q1825">
        <v>5.5957209712142507E-3</v>
      </c>
      <c r="R1825">
        <v>1.4583137472290327E-3</v>
      </c>
      <c r="S1825">
        <v>0.25720829493887709</v>
      </c>
      <c r="T1825">
        <v>1.3089411855295654</v>
      </c>
      <c r="U1825">
        <v>0.20616906232311724</v>
      </c>
      <c r="V1825">
        <v>0.24425798444112248</v>
      </c>
      <c r="W1825">
        <v>9.9640864844861579E-2</v>
      </c>
      <c r="X1825">
        <v>1.7826665871699961E-2</v>
      </c>
      <c r="Y1825">
        <v>3.9690492869598531E-3</v>
      </c>
    </row>
    <row r="1826" spans="1:25" x14ac:dyDescent="0.2">
      <c r="A1826" s="1077"/>
      <c r="B1826" s="1444">
        <v>1576</v>
      </c>
      <c r="C1826" s="1081">
        <v>1.0418148577498416</v>
      </c>
      <c r="D1826" s="1081">
        <v>1.045088172993099</v>
      </c>
      <c r="E1826" s="1081">
        <v>1.0259035855373688</v>
      </c>
      <c r="F1826" s="1081">
        <v>0.98573224250673841</v>
      </c>
      <c r="G1826" s="1081">
        <v>0.96467468194928385</v>
      </c>
      <c r="H1826" s="1081">
        <v>1.0033946651811521</v>
      </c>
      <c r="I1826" s="1081">
        <v>0.99521638499900344</v>
      </c>
      <c r="K1826">
        <v>2.3501893906179658</v>
      </c>
      <c r="L1826">
        <v>0</v>
      </c>
      <c r="M1826">
        <v>1.4839293729116132E-3</v>
      </c>
      <c r="N1826">
        <v>0.14603977114948824</v>
      </c>
      <c r="O1826">
        <v>1.9965189962128024E-2</v>
      </c>
      <c r="P1826">
        <v>2.8307701861228128E-2</v>
      </c>
      <c r="Q1826">
        <v>5.361313290817237E-3</v>
      </c>
      <c r="R1826">
        <v>1.4644081211682848E-3</v>
      </c>
      <c r="S1826">
        <v>0.24215817542082207</v>
      </c>
      <c r="T1826">
        <v>1.352622061018522</v>
      </c>
      <c r="U1826">
        <v>0.20355066318345552</v>
      </c>
      <c r="V1826">
        <v>0.23690602404322442</v>
      </c>
      <c r="W1826">
        <v>9.4487227720201405E-2</v>
      </c>
      <c r="X1826">
        <v>1.6825148056008574E-2</v>
      </c>
      <c r="Y1826">
        <v>3.9856361638126673E-3</v>
      </c>
    </row>
    <row r="1827" spans="1:25" x14ac:dyDescent="0.2">
      <c r="A1827" s="1077"/>
      <c r="B1827" s="1444">
        <v>1577</v>
      </c>
      <c r="C1827" s="1081">
        <v>0.99269796044681136</v>
      </c>
      <c r="D1827" s="1081">
        <v>1.0261224283459449</v>
      </c>
      <c r="E1827" s="1081">
        <v>1.0111280403683063</v>
      </c>
      <c r="F1827" s="1081">
        <v>0.97434823345274013</v>
      </c>
      <c r="G1827" s="1081">
        <v>1.0020761854559728</v>
      </c>
      <c r="H1827" s="1081">
        <v>0.99757783484346729</v>
      </c>
      <c r="I1827" s="1081">
        <v>0.97741096486210299</v>
      </c>
      <c r="K1827">
        <v>2.3729108078167962</v>
      </c>
      <c r="L1827">
        <v>0</v>
      </c>
      <c r="M1827">
        <v>1.603097538403638E-3</v>
      </c>
      <c r="N1827">
        <v>0.15087715207953697</v>
      </c>
      <c r="O1827">
        <v>2.1027773768820538E-2</v>
      </c>
      <c r="P1827">
        <v>2.817600796407959E-2</v>
      </c>
      <c r="Q1827">
        <v>5.5642474333449238E-3</v>
      </c>
      <c r="R1827">
        <v>1.5818856479960053E-3</v>
      </c>
      <c r="S1827">
        <v>0.25126785256910705</v>
      </c>
      <c r="T1827">
        <v>1.33668841346074</v>
      </c>
      <c r="U1827">
        <v>0.21357095963069503</v>
      </c>
      <c r="V1827">
        <v>0.24630495132660951</v>
      </c>
      <c r="W1827">
        <v>9.8465502398168842E-2</v>
      </c>
      <c r="X1827">
        <v>1.6683787810717981E-2</v>
      </c>
      <c r="Y1827">
        <v>4.3053712653814127E-3</v>
      </c>
    </row>
    <row r="1828" spans="1:25" x14ac:dyDescent="0.2">
      <c r="A1828" s="1077"/>
      <c r="B1828" s="1444">
        <v>1578</v>
      </c>
      <c r="C1828" s="1081">
        <v>0.98260676338908226</v>
      </c>
      <c r="D1828" s="1081">
        <v>0.99411404988443219</v>
      </c>
      <c r="E1828" s="1081">
        <v>0.98232775342393819</v>
      </c>
      <c r="F1828" s="1081">
        <v>0.97851790158991259</v>
      </c>
      <c r="G1828" s="1081">
        <v>0.96360024483889595</v>
      </c>
      <c r="H1828" s="1081">
        <v>1.0204379068151166</v>
      </c>
      <c r="I1828" s="1081">
        <v>1.0152939798897009</v>
      </c>
      <c r="K1828">
        <v>2.3971450990681866</v>
      </c>
      <c r="L1828">
        <v>0</v>
      </c>
      <c r="M1828">
        <v>1.7709105035000692E-3</v>
      </c>
      <c r="N1828">
        <v>0.15282440446723228</v>
      </c>
      <c r="O1828">
        <v>2.1372884197170337E-2</v>
      </c>
      <c r="P1828">
        <v>2.7842241763254026E-2</v>
      </c>
      <c r="Q1828">
        <v>5.4938991943046765E-3</v>
      </c>
      <c r="R1828">
        <v>1.7480030797853018E-3</v>
      </c>
      <c r="S1828">
        <v>0.2696634770154136</v>
      </c>
      <c r="T1828">
        <v>1.341799589696361</v>
      </c>
      <c r="U1828">
        <v>0.21566415972241443</v>
      </c>
      <c r="V1828">
        <v>0.24048002034128299</v>
      </c>
      <c r="W1828">
        <v>0.10146277283244849</v>
      </c>
      <c r="X1828">
        <v>1.5807069107901448E-2</v>
      </c>
      <c r="Y1828">
        <v>4.7574881541152048E-3</v>
      </c>
    </row>
    <row r="1829" spans="1:25" x14ac:dyDescent="0.2">
      <c r="A1829" s="1077"/>
      <c r="B1829" s="1444">
        <v>1579</v>
      </c>
      <c r="C1829" s="1081">
        <v>0.98865793046742001</v>
      </c>
      <c r="D1829" s="1081">
        <v>1.015972388999882</v>
      </c>
      <c r="E1829" s="1081">
        <v>0.97952708284041889</v>
      </c>
      <c r="F1829" s="1081">
        <v>1.043731334873959</v>
      </c>
      <c r="G1829" s="1081">
        <v>1.0131567702422708</v>
      </c>
      <c r="H1829" s="1081">
        <v>1.0019450408492019</v>
      </c>
      <c r="I1829" s="1081">
        <v>1.0288764140113236</v>
      </c>
      <c r="K1829">
        <v>2.4837721403275426</v>
      </c>
      <c r="L1829">
        <v>0</v>
      </c>
      <c r="M1829">
        <v>1.7299160371939887E-3</v>
      </c>
      <c r="N1829">
        <v>0.14799129057497007</v>
      </c>
      <c r="O1829">
        <v>2.1138803558881279E-2</v>
      </c>
      <c r="P1829">
        <v>2.9039170434626137E-2</v>
      </c>
      <c r="Q1829">
        <v>5.4182910927828704E-3</v>
      </c>
      <c r="R1829">
        <v>1.7071258788221978E-3</v>
      </c>
      <c r="S1829">
        <v>0.26701669907324344</v>
      </c>
      <c r="T1829">
        <v>1.431160996799349</v>
      </c>
      <c r="U1829">
        <v>0.21433451489864716</v>
      </c>
      <c r="V1829">
        <v>0.24856890933444031</v>
      </c>
      <c r="W1829">
        <v>9.8420161341315093E-2</v>
      </c>
      <c r="X1829">
        <v>1.6059859489400748E-2</v>
      </c>
      <c r="Y1829">
        <v>4.6462338882593121E-3</v>
      </c>
    </row>
    <row r="1830" spans="1:25" x14ac:dyDescent="0.2">
      <c r="A1830" s="1077"/>
      <c r="B1830" s="1444">
        <v>1580</v>
      </c>
      <c r="C1830" s="1081">
        <v>1.0113382682588641</v>
      </c>
      <c r="D1830" s="1081">
        <v>0.98496950101733494</v>
      </c>
      <c r="E1830" s="1081">
        <v>0.99342309458764311</v>
      </c>
      <c r="F1830" s="1081">
        <v>1.0018463284561079</v>
      </c>
      <c r="G1830" s="1081">
        <v>0.99749239734653627</v>
      </c>
      <c r="H1830" s="1081">
        <v>1.0002545472991951</v>
      </c>
      <c r="I1830" s="1081">
        <v>1.0344027243867471</v>
      </c>
      <c r="K1830">
        <v>2.4143249387878245</v>
      </c>
      <c r="L1830">
        <v>0</v>
      </c>
      <c r="M1830">
        <v>1.6516211842890322E-3</v>
      </c>
      <c r="N1830">
        <v>0.14735430503333169</v>
      </c>
      <c r="O1830">
        <v>2.0815246153360778E-2</v>
      </c>
      <c r="P1830">
        <v>2.8441574520849198E-2</v>
      </c>
      <c r="Q1830">
        <v>5.4109732184098626E-3</v>
      </c>
      <c r="R1830">
        <v>1.6298257198091848E-3</v>
      </c>
      <c r="S1830">
        <v>0.26650299857771587</v>
      </c>
      <c r="T1830">
        <v>1.3740286800149055</v>
      </c>
      <c r="U1830">
        <v>0.20957470100856745</v>
      </c>
      <c r="V1830">
        <v>0.24442702672438529</v>
      </c>
      <c r="W1830">
        <v>9.7181883770234553E-2</v>
      </c>
      <c r="X1830">
        <v>1.6173496893124278E-2</v>
      </c>
      <c r="Y1830">
        <v>4.4358483374164603E-3</v>
      </c>
    </row>
    <row r="1831" spans="1:25" x14ac:dyDescent="0.2">
      <c r="A1831" s="1077"/>
      <c r="B1831" s="1444">
        <v>1581</v>
      </c>
      <c r="C1831" s="1081">
        <v>0.99479876325893046</v>
      </c>
      <c r="D1831" s="1081">
        <v>0.99809308734201074</v>
      </c>
      <c r="E1831" s="1081">
        <v>0.98676282791580439</v>
      </c>
      <c r="F1831" s="1081">
        <v>1.0275954570758075</v>
      </c>
      <c r="G1831" s="1081">
        <v>0.98386438469119608</v>
      </c>
      <c r="H1831" s="1081">
        <v>0.99561945167430066</v>
      </c>
      <c r="I1831" s="1081">
        <v>1.0042198276822287</v>
      </c>
      <c r="K1831">
        <v>2.4476967805068166</v>
      </c>
      <c r="L1831">
        <v>0</v>
      </c>
      <c r="M1831">
        <v>1.6895869639983845E-3</v>
      </c>
      <c r="N1831">
        <v>0.14772725027506894</v>
      </c>
      <c r="O1831">
        <v>2.1095351933950696E-2</v>
      </c>
      <c r="P1831">
        <v>2.8727535999870334E-2</v>
      </c>
      <c r="Q1831">
        <v>5.4469965520522112E-3</v>
      </c>
      <c r="R1831">
        <v>1.6671866866523413E-3</v>
      </c>
      <c r="S1831">
        <v>0.26083383033179985</v>
      </c>
      <c r="T1831">
        <v>1.4091957921671538</v>
      </c>
      <c r="U1831">
        <v>0.21303623654392215</v>
      </c>
      <c r="V1831">
        <v>0.24314850223195603</v>
      </c>
      <c r="W1831">
        <v>9.7817321738124088E-2</v>
      </c>
      <c r="X1831">
        <v>1.6152830437139779E-2</v>
      </c>
      <c r="Y1831">
        <v>4.5375325731241249E-3</v>
      </c>
    </row>
    <row r="1832" spans="1:25" x14ac:dyDescent="0.2">
      <c r="A1832" s="1077"/>
      <c r="B1832" s="1444">
        <v>1582</v>
      </c>
      <c r="C1832" s="1081">
        <v>0.97926300247885401</v>
      </c>
      <c r="D1832" s="1081">
        <v>1.0147689032863723</v>
      </c>
      <c r="E1832" s="1081">
        <v>1.0171857979310361</v>
      </c>
      <c r="F1832" s="1081">
        <v>0.99026255304943667</v>
      </c>
      <c r="G1832" s="1081">
        <v>0.99850571999823667</v>
      </c>
      <c r="H1832" s="1081">
        <v>1.0358093494478342</v>
      </c>
      <c r="I1832" s="1081">
        <v>1.002729877722047</v>
      </c>
      <c r="K1832">
        <v>2.4298680797681254</v>
      </c>
      <c r="L1832">
        <v>0</v>
      </c>
      <c r="M1832">
        <v>1.6703394631883805E-3</v>
      </c>
      <c r="N1832">
        <v>0.1601855276457935</v>
      </c>
      <c r="O1832">
        <v>2.1372605578130057E-2</v>
      </c>
      <c r="P1832">
        <v>2.8854979429887222E-2</v>
      </c>
      <c r="Q1832">
        <v>5.6897670739421893E-3</v>
      </c>
      <c r="R1832">
        <v>1.6490536065182162E-3</v>
      </c>
      <c r="S1832">
        <v>0.26613804885825959</v>
      </c>
      <c r="T1832">
        <v>1.3586510499113795</v>
      </c>
      <c r="U1832">
        <v>0.21652222888436015</v>
      </c>
      <c r="V1832">
        <v>0.24653665387076973</v>
      </c>
      <c r="W1832">
        <v>0.1041687897040489</v>
      </c>
      <c r="X1832">
        <v>1.7281534361658624E-2</v>
      </c>
      <c r="Y1832">
        <v>4.4881803065672937E-3</v>
      </c>
    </row>
    <row r="1833" spans="1:25" x14ac:dyDescent="0.2">
      <c r="A1833" s="1077"/>
      <c r="B1833" s="1444">
        <v>1583</v>
      </c>
      <c r="C1833" s="1081">
        <v>1.0274132296228649</v>
      </c>
      <c r="D1833" s="1081">
        <v>0.99412051414010638</v>
      </c>
      <c r="E1833" s="1081">
        <v>0.9882485101847277</v>
      </c>
      <c r="F1833" s="1081">
        <v>0.99068911429397255</v>
      </c>
      <c r="G1833" s="1081">
        <v>1.0196177730509945</v>
      </c>
      <c r="H1833" s="1081">
        <v>1.0155475625240968</v>
      </c>
      <c r="I1833" s="1081">
        <v>0.98782433600175223</v>
      </c>
      <c r="K1833">
        <v>2.3795852735931144</v>
      </c>
      <c r="L1833">
        <v>0</v>
      </c>
      <c r="M1833">
        <v>1.6650328084439993E-3</v>
      </c>
      <c r="N1833">
        <v>0.14627445820131985</v>
      </c>
      <c r="O1833">
        <v>2.0444583793820248E-2</v>
      </c>
      <c r="P1833">
        <v>2.7900893812421421E-2</v>
      </c>
      <c r="Q1833">
        <v>5.2869070180317926E-3</v>
      </c>
      <c r="R1833">
        <v>1.6433912393414081E-3</v>
      </c>
      <c r="S1833">
        <v>0.25057115204702107</v>
      </c>
      <c r="T1833">
        <v>1.3586159320604014</v>
      </c>
      <c r="U1833">
        <v>0.20627849325007683</v>
      </c>
      <c r="V1833">
        <v>0.24726027683930973</v>
      </c>
      <c r="W1833">
        <v>9.6769023750972877E-2</v>
      </c>
      <c r="X1833">
        <v>1.5732425179129938E-2</v>
      </c>
      <c r="Y1833">
        <v>4.4727692097108612E-3</v>
      </c>
    </row>
    <row r="1834" spans="1:25" x14ac:dyDescent="0.2">
      <c r="A1834" s="1077"/>
      <c r="B1834" s="1444">
        <v>1584</v>
      </c>
      <c r="C1834" s="1081">
        <v>0.98892574143555156</v>
      </c>
      <c r="D1834" s="1081">
        <v>0.97356178643238278</v>
      </c>
      <c r="E1834" s="1081">
        <v>0.9644061578786578</v>
      </c>
      <c r="F1834" s="1081">
        <v>1.0064509486242543</v>
      </c>
      <c r="G1834" s="1081">
        <v>1.0228767729467005</v>
      </c>
      <c r="H1834" s="1081">
        <v>0.99020421223387356</v>
      </c>
      <c r="I1834" s="1081">
        <v>1.0125544870581278</v>
      </c>
      <c r="K1834">
        <v>2.4293157392023375</v>
      </c>
      <c r="L1834">
        <v>0</v>
      </c>
      <c r="M1834">
        <v>1.7800155184399572E-3</v>
      </c>
      <c r="N1834">
        <v>0.14544041654761636</v>
      </c>
      <c r="O1834">
        <v>2.1322096341508855E-2</v>
      </c>
      <c r="P1834">
        <v>2.8046019208911567E-2</v>
      </c>
      <c r="Q1834">
        <v>5.381548397600665E-3</v>
      </c>
      <c r="R1834">
        <v>1.7562872942226415E-3</v>
      </c>
      <c r="S1834">
        <v>0.26723064986579764</v>
      </c>
      <c r="T1834">
        <v>1.379715025575581</v>
      </c>
      <c r="U1834">
        <v>0.21422444338408975</v>
      </c>
      <c r="V1834">
        <v>0.25026996197432189</v>
      </c>
      <c r="W1834">
        <v>9.7616599025709058E-2</v>
      </c>
      <c r="X1834">
        <v>1.5312672050491685E-2</v>
      </c>
      <c r="Y1834">
        <v>4.780035054923088E-3</v>
      </c>
    </row>
    <row r="1835" spans="1:25" x14ac:dyDescent="0.2">
      <c r="A1835" s="1077"/>
      <c r="B1835" s="1444">
        <v>1585</v>
      </c>
      <c r="C1835" s="1081">
        <v>0.96440508909487943</v>
      </c>
      <c r="D1835" s="1081">
        <v>1.0112506066493259</v>
      </c>
      <c r="E1835" s="1081">
        <v>1.0317796005747759</v>
      </c>
      <c r="F1835" s="1081">
        <v>0.97252933920508911</v>
      </c>
      <c r="G1835" s="1081">
        <v>0.99694118255129816</v>
      </c>
      <c r="H1835" s="1081">
        <v>0.97783135577188507</v>
      </c>
      <c r="I1835" s="1081">
        <v>0.99907469044345232</v>
      </c>
      <c r="K1835">
        <v>2.4008956702583797</v>
      </c>
      <c r="L1835">
        <v>0</v>
      </c>
      <c r="M1835">
        <v>1.5544059239130214E-3</v>
      </c>
      <c r="N1835">
        <v>0.15565554031979276</v>
      </c>
      <c r="O1835">
        <v>2.1728522366395945E-2</v>
      </c>
      <c r="P1835">
        <v>2.8865259821697506E-2</v>
      </c>
      <c r="Q1835">
        <v>5.8688445961896469E-3</v>
      </c>
      <c r="R1835">
        <v>1.5334229663838161E-3</v>
      </c>
      <c r="S1835">
        <v>0.26474039155318313</v>
      </c>
      <c r="T1835">
        <v>1.3346293242735436</v>
      </c>
      <c r="U1835">
        <v>0.21990995345241973</v>
      </c>
      <c r="V1835">
        <v>0.24720127888100904</v>
      </c>
      <c r="W1835">
        <v>0.10036536530012077</v>
      </c>
      <c r="X1835">
        <v>1.7778700829802638E-2</v>
      </c>
      <c r="Y1835">
        <v>4.1734718217517324E-3</v>
      </c>
    </row>
    <row r="1836" spans="1:25" x14ac:dyDescent="0.2">
      <c r="A1836" s="1077"/>
      <c r="B1836" s="1444">
        <v>1586</v>
      </c>
      <c r="C1836" s="1081">
        <v>0.99390466222415863</v>
      </c>
      <c r="D1836" s="1081">
        <v>0.99401211551412272</v>
      </c>
      <c r="E1836" s="1081">
        <v>0.99667281377575312</v>
      </c>
      <c r="F1836" s="1081">
        <v>0.96957182978402345</v>
      </c>
      <c r="G1836" s="1081">
        <v>0.96046009553429956</v>
      </c>
      <c r="H1836" s="1081">
        <v>1.006703026981395</v>
      </c>
      <c r="I1836" s="1081">
        <v>1.0054218266753232</v>
      </c>
      <c r="K1836">
        <v>2.3708937027810251</v>
      </c>
      <c r="L1836">
        <v>0</v>
      </c>
      <c r="M1836">
        <v>1.6766968821878365E-3</v>
      </c>
      <c r="N1836">
        <v>0.15108092661505129</v>
      </c>
      <c r="O1836">
        <v>2.1139986887121192E-2</v>
      </c>
      <c r="P1836">
        <v>2.7839664933343632E-2</v>
      </c>
      <c r="Q1836">
        <v>5.513420136321185E-3</v>
      </c>
      <c r="R1836">
        <v>1.6547122400468466E-3</v>
      </c>
      <c r="S1836">
        <v>0.26295574503159003</v>
      </c>
      <c r="T1836">
        <v>1.329832398535425</v>
      </c>
      <c r="U1836">
        <v>0.21326191824060378</v>
      </c>
      <c r="V1836">
        <v>0.239172778841755</v>
      </c>
      <c r="W1836">
        <v>9.9446617594264666E-2</v>
      </c>
      <c r="X1836">
        <v>1.6168649366026654E-2</v>
      </c>
      <c r="Y1836">
        <v>4.5035812416641839E-3</v>
      </c>
    </row>
    <row r="1837" spans="1:25" x14ac:dyDescent="0.2">
      <c r="A1837" s="1077"/>
      <c r="B1837" s="1444">
        <v>1587</v>
      </c>
      <c r="C1837" s="1081">
        <v>0.98604951138785601</v>
      </c>
      <c r="D1837" s="1081">
        <v>0.97510302601230348</v>
      </c>
      <c r="E1837" s="1081">
        <v>0.98737353236705649</v>
      </c>
      <c r="F1837" s="1081">
        <v>0.98914862106877666</v>
      </c>
      <c r="G1837" s="1081">
        <v>1.0026054036007739</v>
      </c>
      <c r="H1837" s="1081">
        <v>1.0199120020628298</v>
      </c>
      <c r="I1837" s="1081">
        <v>0.99247791327204771</v>
      </c>
      <c r="K1837">
        <v>2.4146662659418423</v>
      </c>
      <c r="L1837">
        <v>0</v>
      </c>
      <c r="M1837">
        <v>1.7529271509336957E-3</v>
      </c>
      <c r="N1837">
        <v>0.15359778709609614</v>
      </c>
      <c r="O1837">
        <v>2.1392334617744594E-2</v>
      </c>
      <c r="P1837">
        <v>2.8164058428030967E-2</v>
      </c>
      <c r="Q1837">
        <v>5.5270962302874389E-3</v>
      </c>
      <c r="R1837">
        <v>1.7302406569802552E-3</v>
      </c>
      <c r="S1837">
        <v>0.2652331764448706</v>
      </c>
      <c r="T1837">
        <v>1.3564846508708024</v>
      </c>
      <c r="U1837">
        <v>0.21492862724084347</v>
      </c>
      <c r="V1837">
        <v>0.24690430189799562</v>
      </c>
      <c r="W1837">
        <v>0.10166719860312462</v>
      </c>
      <c r="X1837">
        <v>1.6080576311376851E-2</v>
      </c>
      <c r="Y1837">
        <v>4.709144694620972E-3</v>
      </c>
    </row>
    <row r="1838" spans="1:25" x14ac:dyDescent="0.2">
      <c r="A1838" s="1077"/>
      <c r="B1838" s="1444">
        <v>1588</v>
      </c>
      <c r="C1838" s="1081">
        <v>0.9903740557358881</v>
      </c>
      <c r="D1838" s="1081">
        <v>1.0340532946619523</v>
      </c>
      <c r="E1838" s="1081">
        <v>1.0215742430714125</v>
      </c>
      <c r="F1838" s="1081">
        <v>1.0002376469725844</v>
      </c>
      <c r="G1838" s="1081">
        <v>0.988210755718405</v>
      </c>
      <c r="H1838" s="1081">
        <v>0.99753949888080995</v>
      </c>
      <c r="I1838" s="1081">
        <v>1.0034860667273722</v>
      </c>
      <c r="K1838">
        <v>2.4167128593286122</v>
      </c>
      <c r="L1838">
        <v>0</v>
      </c>
      <c r="M1838">
        <v>1.5696084243398663E-3</v>
      </c>
      <c r="N1838">
        <v>0.15245603478686456</v>
      </c>
      <c r="O1838">
        <v>2.1048410678738881E-2</v>
      </c>
      <c r="P1838">
        <v>2.8953599109999697E-2</v>
      </c>
      <c r="Q1838">
        <v>5.6279689073451492E-3</v>
      </c>
      <c r="R1838">
        <v>1.5488388575468043E-3</v>
      </c>
      <c r="S1838">
        <v>0.25767047187981529</v>
      </c>
      <c r="T1838">
        <v>1.3724322871461583</v>
      </c>
      <c r="U1838">
        <v>0.21410824717260615</v>
      </c>
      <c r="V1838">
        <v>0.24404927176524846</v>
      </c>
      <c r="W1838">
        <v>9.8887951025783433E-2</v>
      </c>
      <c r="X1838">
        <v>1.7283957627192582E-2</v>
      </c>
      <c r="Y1838">
        <v>4.2154287956502326E-3</v>
      </c>
    </row>
    <row r="1839" spans="1:25" x14ac:dyDescent="0.2">
      <c r="A1839" s="1077"/>
      <c r="B1839" s="1444">
        <v>1589</v>
      </c>
      <c r="C1839" s="1081">
        <v>1.0147068208147867</v>
      </c>
      <c r="D1839" s="1081">
        <v>0.97183444179654366</v>
      </c>
      <c r="E1839" s="1081">
        <v>1.0108044563009748</v>
      </c>
      <c r="F1839" s="1081">
        <v>1.0247619378221693</v>
      </c>
      <c r="G1839" s="1081">
        <v>0.99399709386416824</v>
      </c>
      <c r="H1839" s="1081">
        <v>1.0160568143830662</v>
      </c>
      <c r="I1839" s="1081">
        <v>1.0018335955256314</v>
      </c>
      <c r="K1839">
        <v>2.4470302753893458</v>
      </c>
      <c r="L1839">
        <v>0</v>
      </c>
      <c r="M1839">
        <v>1.6176822201356593E-3</v>
      </c>
      <c r="N1839">
        <v>0.15213824800102482</v>
      </c>
      <c r="O1839">
        <v>2.0818954313891077E-2</v>
      </c>
      <c r="P1839">
        <v>2.914582229693119E-2</v>
      </c>
      <c r="Q1839">
        <v>5.5072101014502477E-3</v>
      </c>
      <c r="R1839">
        <v>1.5966666373617351E-3</v>
      </c>
      <c r="S1839">
        <v>0.26047859256565098</v>
      </c>
      <c r="T1839">
        <v>1.4058427558857167</v>
      </c>
      <c r="U1839">
        <v>0.20893754109762472</v>
      </c>
      <c r="V1839">
        <v>0.24356333391115578</v>
      </c>
      <c r="W1839">
        <v>9.9307451892452339E-2</v>
      </c>
      <c r="X1839">
        <v>1.6965780660336983E-2</v>
      </c>
      <c r="Y1839">
        <v>4.3456002458830932E-3</v>
      </c>
    </row>
    <row r="1840" spans="1:25" x14ac:dyDescent="0.2">
      <c r="A1840" s="1077"/>
      <c r="B1840" s="1444">
        <v>1590</v>
      </c>
      <c r="C1840" s="1081">
        <v>0.97821774916430781</v>
      </c>
      <c r="D1840" s="1081">
        <v>1.0378451745598893</v>
      </c>
      <c r="E1840" s="1081">
        <v>1.027663147637554</v>
      </c>
      <c r="F1840" s="1081">
        <v>0.99954079564580123</v>
      </c>
      <c r="G1840" s="1081">
        <v>1.0221361595166893</v>
      </c>
      <c r="H1840" s="1081">
        <v>0.9947571791410954</v>
      </c>
      <c r="I1840" s="1081">
        <v>1.0376645191899685</v>
      </c>
      <c r="K1840">
        <v>2.4409637762498888</v>
      </c>
      <c r="L1840">
        <v>0</v>
      </c>
      <c r="M1840">
        <v>1.5634587176937781E-3</v>
      </c>
      <c r="N1840">
        <v>0.1546672068149951</v>
      </c>
      <c r="O1840">
        <v>2.1296938623451125E-2</v>
      </c>
      <c r="P1840">
        <v>2.9358316801669865E-2</v>
      </c>
      <c r="Q1840">
        <v>5.7289071468115647E-3</v>
      </c>
      <c r="R1840">
        <v>1.5427126612718091E-3</v>
      </c>
      <c r="S1840">
        <v>0.26907079781092091</v>
      </c>
      <c r="T1840">
        <v>1.3716083992018533</v>
      </c>
      <c r="U1840">
        <v>0.21679032543700691</v>
      </c>
      <c r="V1840">
        <v>0.25060069217345055</v>
      </c>
      <c r="W1840">
        <v>9.9966733936519642E-2</v>
      </c>
      <c r="X1840">
        <v>1.769744905074349E-2</v>
      </c>
      <c r="Y1840">
        <v>4.1987553088897525E-3</v>
      </c>
    </row>
    <row r="1841" spans="1:25" x14ac:dyDescent="0.2">
      <c r="A1841" s="1077"/>
      <c r="B1841" s="1444">
        <v>1591</v>
      </c>
      <c r="C1841" s="1081">
        <v>1.0045161436671426</v>
      </c>
      <c r="D1841" s="1081">
        <v>1.042467055773276</v>
      </c>
      <c r="E1841" s="1081">
        <v>1.0307044991153858</v>
      </c>
      <c r="F1841" s="1081">
        <v>0.96639439468481947</v>
      </c>
      <c r="G1841" s="1081">
        <v>1.0206595464044816</v>
      </c>
      <c r="H1841" s="1081">
        <v>0.96808779282213164</v>
      </c>
      <c r="I1841" s="1081">
        <v>1.0349919332751665</v>
      </c>
      <c r="K1841">
        <v>2.3620023156430547</v>
      </c>
      <c r="L1841">
        <v>0</v>
      </c>
      <c r="M1841">
        <v>1.4709101289316145E-3</v>
      </c>
      <c r="N1841">
        <v>0.14679763354251341</v>
      </c>
      <c r="O1841">
        <v>2.0721117118912231E-2</v>
      </c>
      <c r="P1841">
        <v>2.8535407079167907E-2</v>
      </c>
      <c r="Q1841">
        <v>5.5908039631974472E-3</v>
      </c>
      <c r="R1841">
        <v>1.4508544387015225E-3</v>
      </c>
      <c r="S1841">
        <v>0.25848275900870715</v>
      </c>
      <c r="T1841">
        <v>1.326187560138546</v>
      </c>
      <c r="U1841">
        <v>0.2111251146742627</v>
      </c>
      <c r="V1841">
        <v>0.24866724793285797</v>
      </c>
      <c r="W1841">
        <v>9.4712894056719343E-2</v>
      </c>
      <c r="X1841">
        <v>1.7253086310292973E-2</v>
      </c>
      <c r="Y1841">
        <v>3.9487475081083643E-3</v>
      </c>
    </row>
    <row r="1842" spans="1:25" x14ac:dyDescent="0.2">
      <c r="A1842" s="1077"/>
      <c r="B1842" s="1444">
        <v>1592</v>
      </c>
      <c r="C1842" s="1081">
        <v>0.98404935522244752</v>
      </c>
      <c r="D1842" s="1081">
        <v>0.96018748110301</v>
      </c>
      <c r="E1842" s="1081">
        <v>0.98974385509910212</v>
      </c>
      <c r="F1842" s="1081">
        <v>1.0323286264275977</v>
      </c>
      <c r="G1842" s="1081">
        <v>1.0311179162436304</v>
      </c>
      <c r="H1842" s="1081">
        <v>1.0010149174495901</v>
      </c>
      <c r="I1842" s="1081">
        <v>0.98746761188237431</v>
      </c>
      <c r="K1842">
        <v>2.4774277317800721</v>
      </c>
      <c r="L1842">
        <v>0</v>
      </c>
      <c r="M1842">
        <v>1.7213327399386239E-3</v>
      </c>
      <c r="N1842">
        <v>0.15187668827569686</v>
      </c>
      <c r="O1842">
        <v>2.1510242915776401E-2</v>
      </c>
      <c r="P1842">
        <v>2.9085791032495239E-2</v>
      </c>
      <c r="Q1842">
        <v>5.5709016433141264E-3</v>
      </c>
      <c r="R1842">
        <v>1.698634588039933E-3</v>
      </c>
      <c r="S1842">
        <v>0.26488243936228945</v>
      </c>
      <c r="T1842">
        <v>1.4157530358619435</v>
      </c>
      <c r="U1842">
        <v>0.2153737049151313</v>
      </c>
      <c r="V1842">
        <v>0.25189482346575831</v>
      </c>
      <c r="W1842">
        <v>0.10038518621579097</v>
      </c>
      <c r="X1842">
        <v>1.649449284986796E-2</v>
      </c>
      <c r="Y1842">
        <v>4.6231233939032414E-3</v>
      </c>
    </row>
    <row r="1843" spans="1:25" x14ac:dyDescent="0.2">
      <c r="A1843" s="1077"/>
      <c r="B1843" s="1444">
        <v>1593</v>
      </c>
      <c r="C1843" s="1081">
        <v>0.99122654297714707</v>
      </c>
      <c r="D1843" s="1081">
        <v>0.96613938343167505</v>
      </c>
      <c r="E1843" s="1081">
        <v>1.0356028999856504</v>
      </c>
      <c r="F1843" s="1081">
        <v>1.0304578659662569</v>
      </c>
      <c r="G1843" s="1081">
        <v>1.0463582319500735</v>
      </c>
      <c r="H1843" s="1081">
        <v>0.9984684123693961</v>
      </c>
      <c r="I1843" s="1081">
        <v>0.99525788237316792</v>
      </c>
      <c r="K1843">
        <v>2.4836808464285278</v>
      </c>
      <c r="L1843">
        <v>0</v>
      </c>
      <c r="M1843">
        <v>1.5474609034912565E-3</v>
      </c>
      <c r="N1843">
        <v>0.1568002660664477</v>
      </c>
      <c r="O1843">
        <v>2.1356479693743942E-2</v>
      </c>
      <c r="P1843">
        <v>3.0064992863825028E-2</v>
      </c>
      <c r="Q1843">
        <v>5.7901581848746253E-3</v>
      </c>
      <c r="R1843">
        <v>1.5270034499410608E-3</v>
      </c>
      <c r="S1843">
        <v>0.264377099414219</v>
      </c>
      <c r="T1843">
        <v>1.4142120341058761</v>
      </c>
      <c r="U1843">
        <v>0.2139726934698655</v>
      </c>
      <c r="V1843">
        <v>0.25386731951830688</v>
      </c>
      <c r="W1843">
        <v>0.10087998847021303</v>
      </c>
      <c r="X1843">
        <v>1.8224272080517395E-2</v>
      </c>
      <c r="Y1843">
        <v>4.1560000141875799E-3</v>
      </c>
    </row>
    <row r="1844" spans="1:25" x14ac:dyDescent="0.2">
      <c r="A1844" s="1077"/>
      <c r="B1844" s="1444">
        <v>1594</v>
      </c>
      <c r="C1844" s="1081">
        <v>0.98986420774995987</v>
      </c>
      <c r="D1844" s="1081">
        <v>0.98319740244074882</v>
      </c>
      <c r="E1844" s="1081">
        <v>0.96029220970699536</v>
      </c>
      <c r="F1844" s="1081">
        <v>0.98772785541886998</v>
      </c>
      <c r="G1844" s="1081">
        <v>1.0311298752329705</v>
      </c>
      <c r="H1844" s="1081">
        <v>1.0354092253241656</v>
      </c>
      <c r="I1844" s="1081">
        <v>1.0014082326591534</v>
      </c>
      <c r="K1844">
        <v>2.4132097703633799</v>
      </c>
      <c r="L1844">
        <v>0</v>
      </c>
      <c r="M1844">
        <v>1.871294042467573E-3</v>
      </c>
      <c r="N1844">
        <v>0.15109377842479793</v>
      </c>
      <c r="O1844">
        <v>2.1253025137058609E-2</v>
      </c>
      <c r="P1844">
        <v>2.7622965591045569E-2</v>
      </c>
      <c r="Q1844">
        <v>5.3415116127397402E-3</v>
      </c>
      <c r="R1844">
        <v>1.8474381195298921E-3</v>
      </c>
      <c r="S1844">
        <v>0.26659554915496747</v>
      </c>
      <c r="T1844">
        <v>1.3539608795060094</v>
      </c>
      <c r="U1844">
        <v>0.21400722383661294</v>
      </c>
      <c r="V1844">
        <v>0.25163690291736263</v>
      </c>
      <c r="W1844">
        <v>0.10166681109052153</v>
      </c>
      <c r="X1844">
        <v>1.5026861461653631E-2</v>
      </c>
      <c r="Y1844">
        <v>5.0281175535479379E-3</v>
      </c>
    </row>
    <row r="1845" spans="1:25" x14ac:dyDescent="0.2">
      <c r="A1845" s="1077"/>
      <c r="B1845" s="1444">
        <v>1595</v>
      </c>
      <c r="C1845" s="1081">
        <v>0.97427444367870131</v>
      </c>
      <c r="D1845" s="1081">
        <v>1.0221446554575211</v>
      </c>
      <c r="E1845" s="1081">
        <v>0.98908674204109814</v>
      </c>
      <c r="F1845" s="1081">
        <v>0.98597251236149952</v>
      </c>
      <c r="G1845" s="1081">
        <v>0.9782984811832981</v>
      </c>
      <c r="H1845" s="1081">
        <v>0.96740181733455499</v>
      </c>
      <c r="I1845" s="1081">
        <v>1.0125647673753786</v>
      </c>
      <c r="K1845">
        <v>2.3943459481745806</v>
      </c>
      <c r="L1845">
        <v>0</v>
      </c>
      <c r="M1845">
        <v>1.6595232670008093E-3</v>
      </c>
      <c r="N1845">
        <v>0.14606463622509605</v>
      </c>
      <c r="O1845">
        <v>2.142878172984208E-2</v>
      </c>
      <c r="P1845">
        <v>2.8099737764039331E-2</v>
      </c>
      <c r="Q1845">
        <v>5.5461180670809927E-3</v>
      </c>
      <c r="R1845">
        <v>1.6368798134706152E-3</v>
      </c>
      <c r="S1845">
        <v>0.26290159835893939</v>
      </c>
      <c r="T1845">
        <v>1.3521654900049154</v>
      </c>
      <c r="U1845">
        <v>0.21753225124410569</v>
      </c>
      <c r="V1845">
        <v>0.24351052011528537</v>
      </c>
      <c r="W1845">
        <v>9.6581652349734787E-2</v>
      </c>
      <c r="X1845">
        <v>1.6082758514090047E-2</v>
      </c>
      <c r="Y1845">
        <v>4.455047254981523E-3</v>
      </c>
    </row>
    <row r="1846" spans="1:25" x14ac:dyDescent="0.2">
      <c r="A1846" s="1077"/>
      <c r="B1846" s="1444">
        <v>1596</v>
      </c>
      <c r="C1846" s="1081">
        <v>1.0262831926977212</v>
      </c>
      <c r="D1846" s="1081">
        <v>0.97202015247126439</v>
      </c>
      <c r="E1846" s="1081">
        <v>1.0036423912336685</v>
      </c>
      <c r="F1846" s="1081">
        <v>0.98972379525629917</v>
      </c>
      <c r="G1846" s="1081">
        <v>0.97207152207883796</v>
      </c>
      <c r="H1846" s="1081">
        <v>1.0284183117954606</v>
      </c>
      <c r="I1846" s="1081">
        <v>1.03028602024939</v>
      </c>
      <c r="K1846">
        <v>2.3946307305198058</v>
      </c>
      <c r="L1846">
        <v>0</v>
      </c>
      <c r="M1846">
        <v>1.6430823897508468E-3</v>
      </c>
      <c r="N1846">
        <v>0.15124495621575604</v>
      </c>
      <c r="O1846">
        <v>2.057858751365178E-2</v>
      </c>
      <c r="P1846">
        <v>2.8312166526864472E-2</v>
      </c>
      <c r="Q1846">
        <v>5.4047324462040813E-3</v>
      </c>
      <c r="R1846">
        <v>1.6219934008428435E-3</v>
      </c>
      <c r="S1846">
        <v>0.26583154310192159</v>
      </c>
      <c r="T1846">
        <v>1.3576213580951255</v>
      </c>
      <c r="U1846">
        <v>0.20655686514028426</v>
      </c>
      <c r="V1846">
        <v>0.23915119639839963</v>
      </c>
      <c r="W1846">
        <v>9.9143102402407451E-2</v>
      </c>
      <c r="X1846">
        <v>1.6392780320983839E-2</v>
      </c>
      <c r="Y1846">
        <v>4.4145313471133339E-3</v>
      </c>
    </row>
    <row r="1847" spans="1:25" x14ac:dyDescent="0.2">
      <c r="A1847" s="1077"/>
      <c r="B1847" s="1444">
        <v>1597</v>
      </c>
      <c r="C1847" s="1081">
        <v>0.98695990825943192</v>
      </c>
      <c r="D1847" s="1081">
        <v>1.0130042182584738</v>
      </c>
      <c r="E1847" s="1081">
        <v>1.015313893282134</v>
      </c>
      <c r="F1847" s="1081">
        <v>1.006479889650594</v>
      </c>
      <c r="G1847" s="1081">
        <v>1.020726427156823</v>
      </c>
      <c r="H1847" s="1081">
        <v>0.98057681199783342</v>
      </c>
      <c r="I1847" s="1081">
        <v>0.99309134233657526</v>
      </c>
      <c r="K1847">
        <v>2.4276568154934575</v>
      </c>
      <c r="L1847">
        <v>0</v>
      </c>
      <c r="M1847">
        <v>1.5756625001873855E-3</v>
      </c>
      <c r="N1847">
        <v>0.15014562015534325</v>
      </c>
      <c r="O1847">
        <v>2.1212792445874009E-2</v>
      </c>
      <c r="P1847">
        <v>2.90181299808157E-2</v>
      </c>
      <c r="Q1847">
        <v>5.6367009093904593E-3</v>
      </c>
      <c r="R1847">
        <v>1.5544521519737385E-3</v>
      </c>
      <c r="S1847">
        <v>0.25701811703355959</v>
      </c>
      <c r="T1847">
        <v>1.3808605337619608</v>
      </c>
      <c r="U1847">
        <v>0.21482715926299475</v>
      </c>
      <c r="V1847">
        <v>0.24983921830023711</v>
      </c>
      <c r="W1847">
        <v>9.7747135430598139E-2</v>
      </c>
      <c r="X1847">
        <v>1.7141912228234801E-2</v>
      </c>
      <c r="Y1847">
        <v>4.2307063326583365E-3</v>
      </c>
    </row>
    <row r="1848" spans="1:25" x14ac:dyDescent="0.2">
      <c r="A1848" s="1077"/>
      <c r="B1848" s="1444">
        <v>1598</v>
      </c>
      <c r="C1848" s="1081">
        <v>0.96663679453279239</v>
      </c>
      <c r="D1848" s="1081">
        <v>0.96526216955530941</v>
      </c>
      <c r="E1848" s="1081">
        <v>0.97935320534958048</v>
      </c>
      <c r="F1848" s="1081">
        <v>0.96214811783113874</v>
      </c>
      <c r="G1848" s="1081">
        <v>1.0202524081810345</v>
      </c>
      <c r="H1848" s="1081">
        <v>1.0131414678107336</v>
      </c>
      <c r="I1848" s="1081">
        <v>1.0125037289189511</v>
      </c>
      <c r="K1848">
        <v>2.4001090338326776</v>
      </c>
      <c r="L1848">
        <v>0</v>
      </c>
      <c r="M1848">
        <v>1.8100148473569081E-3</v>
      </c>
      <c r="N1848">
        <v>0.15478499203724913</v>
      </c>
      <c r="O1848">
        <v>2.1865167541929503E-2</v>
      </c>
      <c r="P1848">
        <v>2.7764318023655303E-2</v>
      </c>
      <c r="Q1848">
        <v>5.6034817748792636E-3</v>
      </c>
      <c r="R1848">
        <v>1.7864329760811748E-3</v>
      </c>
      <c r="S1848">
        <v>0.27675265820018807</v>
      </c>
      <c r="T1848">
        <v>1.319290753126519</v>
      </c>
      <c r="U1848">
        <v>0.21921669725097059</v>
      </c>
      <c r="V1848">
        <v>0.25121922490962939</v>
      </c>
      <c r="W1848">
        <v>0.10294905908227692</v>
      </c>
      <c r="X1848">
        <v>1.5824182093233795E-2</v>
      </c>
      <c r="Y1848">
        <v>4.8620816634206629E-3</v>
      </c>
    </row>
    <row r="1849" spans="1:25" x14ac:dyDescent="0.2">
      <c r="A1849" s="1077"/>
      <c r="B1849" s="1444">
        <v>1599</v>
      </c>
      <c r="C1849" s="1081">
        <v>1.0106105373091323</v>
      </c>
      <c r="D1849" s="1081">
        <v>0.99793902955160751</v>
      </c>
      <c r="E1849" s="1081">
        <v>1.03042584998811</v>
      </c>
      <c r="F1849" s="1081">
        <v>1.0308038842897667</v>
      </c>
      <c r="G1849" s="1081">
        <v>0.98661961364001327</v>
      </c>
      <c r="H1849" s="1081">
        <v>0.96875874003581164</v>
      </c>
      <c r="I1849" s="1081">
        <v>1.009552496367137</v>
      </c>
      <c r="K1849">
        <v>2.4432374790654601</v>
      </c>
      <c r="L1849">
        <v>0</v>
      </c>
      <c r="M1849">
        <v>1.4780296666247006E-3</v>
      </c>
      <c r="N1849">
        <v>0.1473857274239502</v>
      </c>
      <c r="O1849">
        <v>2.0794728557513929E-2</v>
      </c>
      <c r="P1849">
        <v>2.962723151758051E-2</v>
      </c>
      <c r="Q1849">
        <v>5.6091201655214251E-3</v>
      </c>
      <c r="R1849">
        <v>1.4578908598086445E-3</v>
      </c>
      <c r="S1849">
        <v>0.2562075967859509</v>
      </c>
      <c r="T1849">
        <v>1.4145707555567026</v>
      </c>
      <c r="U1849">
        <v>0.20985099731408907</v>
      </c>
      <c r="V1849">
        <v>0.24248535754964806</v>
      </c>
      <c r="W1849">
        <v>9.5107703982884942E-2</v>
      </c>
      <c r="X1849">
        <v>1.7650500691628105E-2</v>
      </c>
      <c r="Y1849">
        <v>3.9678983268063572E-3</v>
      </c>
    </row>
    <row r="1850" spans="1:25" x14ac:dyDescent="0.2">
      <c r="A1850" s="1077"/>
      <c r="B1850" s="1444">
        <v>1600</v>
      </c>
      <c r="C1850" s="1081">
        <v>1.0118769447866007</v>
      </c>
      <c r="D1850" s="1081">
        <v>1.0331018859589807</v>
      </c>
      <c r="E1850" s="1081">
        <v>0.99976748480532152</v>
      </c>
      <c r="F1850" s="1081">
        <v>1.008661381520501</v>
      </c>
      <c r="G1850" s="1081">
        <v>0.96841677609839549</v>
      </c>
      <c r="H1850" s="1081">
        <v>1.0176954173746142</v>
      </c>
      <c r="I1850" s="1081">
        <v>0.99753904507057101</v>
      </c>
      <c r="K1850">
        <v>2.4070851036777734</v>
      </c>
      <c r="L1850">
        <v>0</v>
      </c>
      <c r="M1850">
        <v>1.640271011670226E-3</v>
      </c>
      <c r="N1850">
        <v>0.14920866763500801</v>
      </c>
      <c r="O1850">
        <v>2.0591069802868539E-2</v>
      </c>
      <c r="P1850">
        <v>2.8442965003064459E-2</v>
      </c>
      <c r="Q1850">
        <v>5.3870074573195608E-3</v>
      </c>
      <c r="R1850">
        <v>1.6189962840169557E-3</v>
      </c>
      <c r="S1850">
        <v>0.25231996664634404</v>
      </c>
      <c r="T1850">
        <v>1.3835138124180804</v>
      </c>
      <c r="U1850">
        <v>0.20948455368784466</v>
      </c>
      <c r="V1850">
        <v>0.23940606654958801</v>
      </c>
      <c r="W1850">
        <v>9.8033499540929603E-2</v>
      </c>
      <c r="X1850">
        <v>1.6312395481265819E-2</v>
      </c>
      <c r="Y1850">
        <v>4.4063741831125635E-3</v>
      </c>
    </row>
    <row r="1851" spans="1:25" x14ac:dyDescent="0.2">
      <c r="A1851" s="1077"/>
      <c r="B1851" s="1444">
        <v>1601</v>
      </c>
      <c r="C1851" s="1081">
        <v>0.98909551002723262</v>
      </c>
      <c r="D1851" s="1081">
        <v>0.99192764984035176</v>
      </c>
      <c r="E1851" s="1081">
        <v>1.0227702211050504</v>
      </c>
      <c r="F1851" s="1081">
        <v>1.0095127399007671</v>
      </c>
      <c r="G1851" s="1081">
        <v>0.97405156298493045</v>
      </c>
      <c r="H1851" s="1081">
        <v>0.9776529197818361</v>
      </c>
      <c r="I1851" s="1081">
        <v>0.96553660090462634</v>
      </c>
      <c r="K1851">
        <v>2.4197051159748924</v>
      </c>
      <c r="L1851">
        <v>0</v>
      </c>
      <c r="M1851">
        <v>1.5505998087167109E-3</v>
      </c>
      <c r="N1851">
        <v>0.15111279363378793</v>
      </c>
      <c r="O1851">
        <v>2.1270154641111365E-2</v>
      </c>
      <c r="P1851">
        <v>2.9046010054365228E-2</v>
      </c>
      <c r="Q1851">
        <v>5.694017220287886E-3</v>
      </c>
      <c r="R1851">
        <v>1.5296644096948373E-3</v>
      </c>
      <c r="S1851">
        <v>0.25181078232175835</v>
      </c>
      <c r="T1851">
        <v>1.3851849263905667</v>
      </c>
      <c r="U1851">
        <v>0.21438915949482562</v>
      </c>
      <c r="V1851">
        <v>0.24171017971348899</v>
      </c>
      <c r="W1851">
        <v>9.7948238657076303E-2</v>
      </c>
      <c r="X1851">
        <v>1.7396546977193977E-2</v>
      </c>
      <c r="Y1851">
        <v>4.1632422694522133E-3</v>
      </c>
    </row>
    <row r="1852" spans="1:25" x14ac:dyDescent="0.2">
      <c r="A1852" s="1077"/>
      <c r="B1852" s="1444">
        <v>1602</v>
      </c>
      <c r="C1852" s="1081">
        <v>0.97825128651936522</v>
      </c>
      <c r="D1852" s="1081">
        <v>1.0106784236732158</v>
      </c>
      <c r="E1852" s="1081">
        <v>0.98860931486036652</v>
      </c>
      <c r="F1852" s="1081">
        <v>1.0121057044319886</v>
      </c>
      <c r="G1852" s="1081">
        <v>0.97573419528896088</v>
      </c>
      <c r="H1852" s="1081">
        <v>0.98782940263873042</v>
      </c>
      <c r="I1852" s="1081">
        <v>0.95855096222073699</v>
      </c>
      <c r="K1852">
        <v>2.4218038377570688</v>
      </c>
      <c r="L1852">
        <v>0</v>
      </c>
      <c r="M1852">
        <v>1.693544000621773E-3</v>
      </c>
      <c r="N1852">
        <v>0.14888655927733638</v>
      </c>
      <c r="O1852">
        <v>2.1394378606153584E-2</v>
      </c>
      <c r="P1852">
        <v>2.8391493191905849E-2</v>
      </c>
      <c r="Q1852">
        <v>5.5345408378697936E-3</v>
      </c>
      <c r="R1852">
        <v>1.6709141986086737E-3</v>
      </c>
      <c r="S1852">
        <v>0.25096707148482872</v>
      </c>
      <c r="T1852">
        <v>1.3879941963216766</v>
      </c>
      <c r="U1852">
        <v>0.21664626146473104</v>
      </c>
      <c r="V1852">
        <v>0.24281384510815143</v>
      </c>
      <c r="W1852">
        <v>9.847576613816772E-2</v>
      </c>
      <c r="X1852">
        <v>1.6174677496365485E-2</v>
      </c>
      <c r="Y1852">
        <v>4.5476776318952739E-3</v>
      </c>
    </row>
    <row r="1853" spans="1:25" x14ac:dyDescent="0.2">
      <c r="A1853" s="1077"/>
      <c r="B1853" s="1444">
        <v>1603</v>
      </c>
      <c r="C1853" s="1081">
        <v>0.97703868127516191</v>
      </c>
      <c r="D1853" s="1081">
        <v>0.98599346684363132</v>
      </c>
      <c r="E1853" s="1081">
        <v>1.0133118671623478</v>
      </c>
      <c r="F1853" s="1081">
        <v>0.99078378961835101</v>
      </c>
      <c r="G1853" s="1081">
        <v>1.022511569545246</v>
      </c>
      <c r="H1853" s="1081">
        <v>0.98494314713902265</v>
      </c>
      <c r="I1853" s="1081">
        <v>1.0334165511739264</v>
      </c>
      <c r="K1853">
        <v>2.4317261209387335</v>
      </c>
      <c r="L1853">
        <v>0</v>
      </c>
      <c r="M1853">
        <v>1.6149913425058211E-3</v>
      </c>
      <c r="N1853">
        <v>0.15297548630624475</v>
      </c>
      <c r="O1853">
        <v>2.1554613424759499E-2</v>
      </c>
      <c r="P1853">
        <v>2.8958570485628374E-2</v>
      </c>
      <c r="Q1853">
        <v>5.7161063096544387E-3</v>
      </c>
      <c r="R1853">
        <v>1.593347954058797E-3</v>
      </c>
      <c r="S1853">
        <v>0.27424275695225492</v>
      </c>
      <c r="T1853">
        <v>1.3592829274758018</v>
      </c>
      <c r="U1853">
        <v>0.21700157731743303</v>
      </c>
      <c r="V1853">
        <v>0.25079327221765946</v>
      </c>
      <c r="W1853">
        <v>9.9706662639446747E-2</v>
      </c>
      <c r="X1853">
        <v>1.7179223314361496E-2</v>
      </c>
      <c r="Y1853">
        <v>4.3365678839361547E-3</v>
      </c>
    </row>
    <row r="1854" spans="1:25" x14ac:dyDescent="0.2">
      <c r="A1854" s="1077"/>
      <c r="B1854" s="1444">
        <v>1604</v>
      </c>
      <c r="C1854" s="1081">
        <v>1.0071915766089004</v>
      </c>
      <c r="D1854" s="1081">
        <v>1.0165116351771704</v>
      </c>
      <c r="E1854" s="1081">
        <v>1.0117250547387671</v>
      </c>
      <c r="F1854" s="1081">
        <v>0.996099541021785</v>
      </c>
      <c r="G1854" s="1081">
        <v>1.0031773928748953</v>
      </c>
      <c r="H1854" s="1081">
        <v>0.96234516162329353</v>
      </c>
      <c r="I1854" s="1081">
        <v>1.004813604129936</v>
      </c>
      <c r="K1854">
        <v>2.3886091940202152</v>
      </c>
      <c r="L1854">
        <v>0</v>
      </c>
      <c r="M1854">
        <v>1.5254901110797374E-3</v>
      </c>
      <c r="N1854">
        <v>0.14376141905244139</v>
      </c>
      <c r="O1854">
        <v>2.0768525000963191E-2</v>
      </c>
      <c r="P1854">
        <v>2.8568495495659773E-2</v>
      </c>
      <c r="Q1854">
        <v>5.4989247204669921E-3</v>
      </c>
      <c r="R1854">
        <v>1.5045661093171878E-3</v>
      </c>
      <c r="S1854">
        <v>0.25281639384342786</v>
      </c>
      <c r="T1854">
        <v>1.3665414786828964</v>
      </c>
      <c r="U1854">
        <v>0.2104996758264937</v>
      </c>
      <c r="V1854">
        <v>0.24558619877732862</v>
      </c>
      <c r="W1854">
        <v>9.3788643547885825E-2</v>
      </c>
      <c r="X1854">
        <v>1.6705430104938045E-2</v>
      </c>
      <c r="Y1854">
        <v>4.0949329694767462E-3</v>
      </c>
    </row>
    <row r="1855" spans="1:25" x14ac:dyDescent="0.2">
      <c r="A1855" s="1077"/>
      <c r="B1855" s="1444">
        <v>1605</v>
      </c>
      <c r="C1855" s="1081">
        <v>1.0341418919267209</v>
      </c>
      <c r="D1855" s="1081">
        <v>1.0173357106169674</v>
      </c>
      <c r="E1855" s="1081">
        <v>1.0042040208490119</v>
      </c>
      <c r="F1855" s="1081">
        <v>0.99874362979048026</v>
      </c>
      <c r="G1855" s="1081">
        <v>1.0269269397135683</v>
      </c>
      <c r="H1855" s="1081">
        <v>1.0135633179695089</v>
      </c>
      <c r="I1855" s="1081">
        <v>0.97342802493749137</v>
      </c>
      <c r="K1855">
        <v>2.3823414526429563</v>
      </c>
      <c r="L1855">
        <v>0</v>
      </c>
      <c r="M1855">
        <v>1.5891601588921597E-3</v>
      </c>
      <c r="N1855">
        <v>0.14650186791207165</v>
      </c>
      <c r="O1855">
        <v>2.0218865372275126E-2</v>
      </c>
      <c r="P1855">
        <v>2.827401522200286E-2</v>
      </c>
      <c r="Q1855">
        <v>5.3132476956075014E-3</v>
      </c>
      <c r="R1855">
        <v>1.5684643215512024E-3</v>
      </c>
      <c r="S1855">
        <v>0.24246922237855811</v>
      </c>
      <c r="T1855">
        <v>1.3700061634993339</v>
      </c>
      <c r="U1855">
        <v>0.20498904612640034</v>
      </c>
      <c r="V1855">
        <v>0.24805383597391872</v>
      </c>
      <c r="W1855">
        <v>9.6001992346100698E-2</v>
      </c>
      <c r="X1855">
        <v>1.6265049114888991E-2</v>
      </c>
      <c r="Y1855">
        <v>4.2688428391377308E-3</v>
      </c>
    </row>
    <row r="1856" spans="1:25" x14ac:dyDescent="0.2">
      <c r="A1856" s="1077"/>
      <c r="B1856" s="1444">
        <v>1606</v>
      </c>
      <c r="C1856" s="1081">
        <v>0.99055862991644716</v>
      </c>
      <c r="D1856" s="1081">
        <v>1.0370946603894056</v>
      </c>
      <c r="E1856" s="1081">
        <v>0.97553870579285629</v>
      </c>
      <c r="F1856" s="1081">
        <v>1.0145233326686374</v>
      </c>
      <c r="G1856" s="1081">
        <v>0.97534264571579243</v>
      </c>
      <c r="H1856" s="1081">
        <v>1.0254052997394254</v>
      </c>
      <c r="I1856" s="1081">
        <v>0.96148786471347714</v>
      </c>
      <c r="K1856">
        <v>2.4200069153829311</v>
      </c>
      <c r="L1856">
        <v>0</v>
      </c>
      <c r="M1856">
        <v>1.7736045002503071E-3</v>
      </c>
      <c r="N1856">
        <v>0.14995424168527943</v>
      </c>
      <c r="O1856">
        <v>2.1000306007087664E-2</v>
      </c>
      <c r="P1856">
        <v>2.8070454862122351E-2</v>
      </c>
      <c r="Q1856">
        <v>5.3609851023233386E-3</v>
      </c>
      <c r="R1856">
        <v>1.7507733683675821E-3</v>
      </c>
      <c r="S1856">
        <v>0.24840289265220544</v>
      </c>
      <c r="T1856">
        <v>1.3910239716562618</v>
      </c>
      <c r="U1856">
        <v>0.21390953317161476</v>
      </c>
      <c r="V1856">
        <v>0.24200066669876674</v>
      </c>
      <c r="W1856">
        <v>9.9966530402502349E-2</v>
      </c>
      <c r="X1856">
        <v>1.5575136310238874E-2</v>
      </c>
      <c r="Y1856">
        <v>4.7650279664107871E-3</v>
      </c>
    </row>
    <row r="1857" spans="1:25" x14ac:dyDescent="0.2">
      <c r="A1857" s="1077"/>
      <c r="B1857" s="1444">
        <v>1607</v>
      </c>
      <c r="C1857" s="1081">
        <v>1.0137795508859222</v>
      </c>
      <c r="D1857" s="1081">
        <v>0.95515826345328658</v>
      </c>
      <c r="E1857" s="1081">
        <v>1.0316023275810791</v>
      </c>
      <c r="F1857" s="1081">
        <v>1.020479946981026</v>
      </c>
      <c r="G1857" s="1081">
        <v>1.0117083579399249</v>
      </c>
      <c r="H1857" s="1081">
        <v>1.0227080911283202</v>
      </c>
      <c r="I1857" s="1081">
        <v>0.99820689019717457</v>
      </c>
      <c r="K1857">
        <v>2.4552468886012293</v>
      </c>
      <c r="L1857">
        <v>0</v>
      </c>
      <c r="M1857">
        <v>1.5666824202997516E-3</v>
      </c>
      <c r="N1857">
        <v>0.15689523137324124</v>
      </c>
      <c r="O1857">
        <v>2.0931293955378592E-2</v>
      </c>
      <c r="P1857">
        <v>2.9594795384506999E-2</v>
      </c>
      <c r="Q1857">
        <v>5.6525243980591038E-3</v>
      </c>
      <c r="R1857">
        <v>1.5464617523860975E-3</v>
      </c>
      <c r="S1857">
        <v>0.26278551204890904</v>
      </c>
      <c r="T1857">
        <v>1.4004293532550587</v>
      </c>
      <c r="U1857">
        <v>0.20919900112177178</v>
      </c>
      <c r="V1857">
        <v>0.24656892870667382</v>
      </c>
      <c r="W1857">
        <v>0.10117510437247897</v>
      </c>
      <c r="X1857">
        <v>1.7826405554049393E-2</v>
      </c>
      <c r="Y1857">
        <v>4.2089590990152933E-3</v>
      </c>
    </row>
    <row r="1858" spans="1:25" x14ac:dyDescent="0.2">
      <c r="A1858" s="1077"/>
      <c r="B1858" s="1444">
        <v>1608</v>
      </c>
      <c r="C1858" s="1081">
        <v>1.0006531397449407</v>
      </c>
      <c r="D1858" s="1081">
        <v>0.99031354015347683</v>
      </c>
      <c r="E1858" s="1081">
        <v>1.0390758492852581</v>
      </c>
      <c r="F1858" s="1081">
        <v>0.9848773946066619</v>
      </c>
      <c r="G1858" s="1081">
        <v>0.98219868870703142</v>
      </c>
      <c r="H1858" s="1081">
        <v>0.95804015620052396</v>
      </c>
      <c r="I1858" s="1081">
        <v>0.99399545094444464</v>
      </c>
      <c r="K1858">
        <v>2.3823106127192366</v>
      </c>
      <c r="L1858">
        <v>0</v>
      </c>
      <c r="M1858">
        <v>1.4522816274254197E-3</v>
      </c>
      <c r="N1858">
        <v>0.14861982367121412</v>
      </c>
      <c r="O1858">
        <v>2.1042904889314543E-2</v>
      </c>
      <c r="P1858">
        <v>2.8939903481731515E-2</v>
      </c>
      <c r="Q1858">
        <v>5.7246863334798224E-3</v>
      </c>
      <c r="R1858">
        <v>1.4322722604783748E-3</v>
      </c>
      <c r="S1858">
        <v>0.25491896624838695</v>
      </c>
      <c r="T1858">
        <v>1.3517313899099006</v>
      </c>
      <c r="U1858">
        <v>0.2119689054619667</v>
      </c>
      <c r="V1858">
        <v>0.24231652071155454</v>
      </c>
      <c r="W1858">
        <v>9.542550618162729E-2</v>
      </c>
      <c r="X1858">
        <v>1.7743842252408111E-2</v>
      </c>
      <c r="Y1858">
        <v>3.898172944598361E-3</v>
      </c>
    </row>
    <row r="1859" spans="1:25" x14ac:dyDescent="0.2">
      <c r="A1859" s="1077"/>
      <c r="B1859" s="1444">
        <v>1609</v>
      </c>
      <c r="C1859" s="1081">
        <v>1.0188661655911917</v>
      </c>
      <c r="D1859" s="1081">
        <v>1.0100084437625028</v>
      </c>
      <c r="E1859" s="1081">
        <v>0.9972729154037917</v>
      </c>
      <c r="F1859" s="1081">
        <v>1.0016800494239173</v>
      </c>
      <c r="G1859" s="1081">
        <v>1.0106855950247629</v>
      </c>
      <c r="H1859" s="1081">
        <v>0.98807451317747974</v>
      </c>
      <c r="I1859" s="1081">
        <v>0.99120958396197267</v>
      </c>
      <c r="K1859">
        <v>2.3911633599294824</v>
      </c>
      <c r="L1859">
        <v>0</v>
      </c>
      <c r="M1859">
        <v>1.5977351209475891E-3</v>
      </c>
      <c r="N1859">
        <v>0.14419115904403432</v>
      </c>
      <c r="O1859">
        <v>2.0550160027978298E-2</v>
      </c>
      <c r="P1859">
        <v>2.8291323532699343E-2</v>
      </c>
      <c r="Q1859">
        <v>5.3628295374608644E-3</v>
      </c>
      <c r="R1859">
        <v>1.5763908510861894E-3</v>
      </c>
      <c r="S1859">
        <v>0.24934382948918746</v>
      </c>
      <c r="T1859">
        <v>1.3738839551987214</v>
      </c>
      <c r="U1859">
        <v>0.20803916381139709</v>
      </c>
      <c r="V1859">
        <v>0.24621054934160586</v>
      </c>
      <c r="W1859">
        <v>9.4877610822069608E-2</v>
      </c>
      <c r="X1859">
        <v>1.6143707154637293E-2</v>
      </c>
      <c r="Y1859">
        <v>4.2904162395522088E-3</v>
      </c>
    </row>
    <row r="1860" spans="1:25" x14ac:dyDescent="0.2">
      <c r="A1860" s="1077"/>
      <c r="B1860" s="1444">
        <v>1610</v>
      </c>
      <c r="C1860" s="1081">
        <v>1.0087005326168277</v>
      </c>
      <c r="D1860" s="1081">
        <v>0.98970921472935114</v>
      </c>
      <c r="E1860" s="1081">
        <v>0.9775677019003266</v>
      </c>
      <c r="F1860" s="1081">
        <v>1.0173002084694109</v>
      </c>
      <c r="G1860" s="1081">
        <v>0.98812951919890757</v>
      </c>
      <c r="H1860" s="1081">
        <v>0.98436680123644937</v>
      </c>
      <c r="I1860" s="1081">
        <v>1.002362029528173</v>
      </c>
      <c r="K1860">
        <v>2.417608859018987</v>
      </c>
      <c r="L1860">
        <v>0</v>
      </c>
      <c r="M1860">
        <v>1.6822223599956688E-3</v>
      </c>
      <c r="N1860">
        <v>0.14302634210965096</v>
      </c>
      <c r="O1860">
        <v>2.0837216995117938E-2</v>
      </c>
      <c r="P1860">
        <v>2.8241033484183185E-2</v>
      </c>
      <c r="Q1860">
        <v>5.3303538877109849E-3</v>
      </c>
      <c r="R1860">
        <v>1.659664771935693E-3</v>
      </c>
      <c r="S1860">
        <v>0.25682527152553858</v>
      </c>
      <c r="T1860">
        <v>1.3948758024513848</v>
      </c>
      <c r="U1860">
        <v>0.21006913012063178</v>
      </c>
      <c r="V1860">
        <v>0.24304603055046453</v>
      </c>
      <c r="W1860">
        <v>9.5231003651416415E-2</v>
      </c>
      <c r="X1860">
        <v>1.5632171430083754E-2</v>
      </c>
      <c r="Y1860">
        <v>4.5170604008639261E-3</v>
      </c>
    </row>
    <row r="1861" spans="1:25" x14ac:dyDescent="0.2">
      <c r="A1861" s="1077"/>
      <c r="B1861" s="1444">
        <v>1611</v>
      </c>
      <c r="C1861" s="1081">
        <v>1.0209433221755213</v>
      </c>
      <c r="D1861" s="1081">
        <v>1.0412967243695035</v>
      </c>
      <c r="E1861" s="1081">
        <v>0.99794864515968085</v>
      </c>
      <c r="F1861" s="1081">
        <v>0.97927963872759516</v>
      </c>
      <c r="G1861" s="1081">
        <v>0.97572979280037431</v>
      </c>
      <c r="H1861" s="1081">
        <v>1.0117628614318832</v>
      </c>
      <c r="I1861" s="1081">
        <v>0.96877144647690583</v>
      </c>
      <c r="K1861">
        <v>2.3488336188779395</v>
      </c>
      <c r="L1861">
        <v>0</v>
      </c>
      <c r="M1861">
        <v>1.6195185433046766E-3</v>
      </c>
      <c r="N1861">
        <v>0.14650222100046542</v>
      </c>
      <c r="O1861">
        <v>2.0371598328976299E-2</v>
      </c>
      <c r="P1861">
        <v>2.769059414974066E-2</v>
      </c>
      <c r="Q1861">
        <v>5.3198485079003523E-3</v>
      </c>
      <c r="R1861">
        <v>1.5983898125161401E-3</v>
      </c>
      <c r="S1861">
        <v>0.2414318559870462</v>
      </c>
      <c r="T1861">
        <v>1.3431743132426996</v>
      </c>
      <c r="U1861">
        <v>0.20761816004512301</v>
      </c>
      <c r="V1861">
        <v>0.24011370193384363</v>
      </c>
      <c r="W1861">
        <v>9.635950635692847E-2</v>
      </c>
      <c r="X1861">
        <v>1.5922657895397034E-2</v>
      </c>
      <c r="Y1861">
        <v>4.3502901606088471E-3</v>
      </c>
    </row>
    <row r="1862" spans="1:25" x14ac:dyDescent="0.2">
      <c r="A1862" s="1077"/>
      <c r="B1862" s="1444">
        <v>1612</v>
      </c>
      <c r="C1862" s="1081">
        <v>1.0090882161183155</v>
      </c>
      <c r="D1862" s="1081">
        <v>1.0008043013339214</v>
      </c>
      <c r="E1862" s="1081">
        <v>1.039859327427104</v>
      </c>
      <c r="F1862" s="1081">
        <v>0.99019367903762434</v>
      </c>
      <c r="G1862" s="1081">
        <v>1.0098464508964746</v>
      </c>
      <c r="H1862" s="1081">
        <v>0.99771498718151042</v>
      </c>
      <c r="I1862" s="1081">
        <v>0.98652690536267817</v>
      </c>
      <c r="K1862">
        <v>2.3976971384483825</v>
      </c>
      <c r="L1862">
        <v>0</v>
      </c>
      <c r="M1862">
        <v>1.4938645348671442E-3</v>
      </c>
      <c r="N1862">
        <v>0.15332160083762778</v>
      </c>
      <c r="O1862">
        <v>2.0819203604191778E-2</v>
      </c>
      <c r="P1862">
        <v>2.9064142328519449E-2</v>
      </c>
      <c r="Q1862">
        <v>5.6681950713616015E-3</v>
      </c>
      <c r="R1862">
        <v>1.4741007126142461E-3</v>
      </c>
      <c r="S1862">
        <v>0.25286559623002375</v>
      </c>
      <c r="T1862">
        <v>1.3590448274465421</v>
      </c>
      <c r="U1862">
        <v>0.21019970428888796</v>
      </c>
      <c r="V1862">
        <v>0.24650857978489402</v>
      </c>
      <c r="W1862">
        <v>9.8399982987264017E-2</v>
      </c>
      <c r="X1862">
        <v>1.7813053488755781E-2</v>
      </c>
      <c r="Y1862">
        <v>4.0120162025666633E-3</v>
      </c>
    </row>
    <row r="1863" spans="1:25" x14ac:dyDescent="0.2">
      <c r="A1863" s="1077"/>
      <c r="B1863" s="1444">
        <v>1613</v>
      </c>
      <c r="C1863" s="1081">
        <v>0.97187791589078554</v>
      </c>
      <c r="D1863" s="1081">
        <v>0.97046907054464604</v>
      </c>
      <c r="E1863" s="1081">
        <v>0.99078683400714929</v>
      </c>
      <c r="F1863" s="1081">
        <v>0.99817053957621571</v>
      </c>
      <c r="G1863" s="1081">
        <v>0.97138781085242032</v>
      </c>
      <c r="H1863" s="1081">
        <v>0.98038323067373756</v>
      </c>
      <c r="I1863" s="1081">
        <v>0.98958347168228999</v>
      </c>
      <c r="K1863">
        <v>2.4213465207931177</v>
      </c>
      <c r="L1863">
        <v>0</v>
      </c>
      <c r="M1863">
        <v>1.6992979231333755E-3</v>
      </c>
      <c r="N1863">
        <v>0.15036374720667967</v>
      </c>
      <c r="O1863">
        <v>2.1729370481476547E-2</v>
      </c>
      <c r="P1863">
        <v>2.8392107993636947E-2</v>
      </c>
      <c r="Q1863">
        <v>5.6335880888774689E-3</v>
      </c>
      <c r="R1863">
        <v>1.6764187739078979E-3</v>
      </c>
      <c r="S1863">
        <v>0.26554251387682026</v>
      </c>
      <c r="T1863">
        <v>1.3689305265144709</v>
      </c>
      <c r="U1863">
        <v>0.21807462812834233</v>
      </c>
      <c r="V1863">
        <v>0.24248203321870535</v>
      </c>
      <c r="W1863">
        <v>9.932312079064555E-2</v>
      </c>
      <c r="X1863">
        <v>1.6335104371408123E-2</v>
      </c>
      <c r="Y1863">
        <v>4.5626592712770036E-3</v>
      </c>
    </row>
    <row r="1864" spans="1:25" x14ac:dyDescent="0.2">
      <c r="A1864" s="1077"/>
      <c r="B1864" s="1444">
        <v>1614</v>
      </c>
      <c r="C1864" s="1081">
        <v>0.99767026351872234</v>
      </c>
      <c r="D1864" s="1081">
        <v>1.0330593284849585</v>
      </c>
      <c r="E1864" s="1081">
        <v>0.97661160655704182</v>
      </c>
      <c r="F1864" s="1081">
        <v>0.99756662165203558</v>
      </c>
      <c r="G1864" s="1081">
        <v>0.97481476729203198</v>
      </c>
      <c r="H1864" s="1081">
        <v>0.99734537268244006</v>
      </c>
      <c r="I1864" s="1081">
        <v>1.0088876657577948</v>
      </c>
      <c r="K1864">
        <v>2.394332240025979</v>
      </c>
      <c r="L1864">
        <v>0</v>
      </c>
      <c r="M1864">
        <v>1.7104467562868958E-3</v>
      </c>
      <c r="N1864">
        <v>0.1450315179287591</v>
      </c>
      <c r="O1864">
        <v>2.0869207683296156E-2</v>
      </c>
      <c r="P1864">
        <v>2.7868307191333257E-2</v>
      </c>
      <c r="Q1864">
        <v>5.3333436718011771E-3</v>
      </c>
      <c r="R1864">
        <v>1.687809165703694E-3</v>
      </c>
      <c r="S1864">
        <v>0.25690369958189202</v>
      </c>
      <c r="T1864">
        <v>1.3677974746363981</v>
      </c>
      <c r="U1864">
        <v>0.21238839635420498</v>
      </c>
      <c r="V1864">
        <v>0.24145783180077088</v>
      </c>
      <c r="W1864">
        <v>9.6622000503908706E-2</v>
      </c>
      <c r="X1864">
        <v>1.5489438101292614E-2</v>
      </c>
      <c r="Y1864">
        <v>4.5936601629035113E-3</v>
      </c>
    </row>
    <row r="1865" spans="1:25" x14ac:dyDescent="0.2">
      <c r="A1865" s="1077"/>
      <c r="B1865" s="1444">
        <v>1615</v>
      </c>
      <c r="C1865" s="1081">
        <v>1.0169006915986045</v>
      </c>
      <c r="D1865" s="1081">
        <v>1.0028150324682767</v>
      </c>
      <c r="E1865" s="1081">
        <v>0.98346884618057429</v>
      </c>
      <c r="F1865" s="1081">
        <v>0.99450617280413267</v>
      </c>
      <c r="G1865" s="1081">
        <v>0.98702089472343768</v>
      </c>
      <c r="H1865" s="1081">
        <v>0.97323137142544802</v>
      </c>
      <c r="I1865" s="1081">
        <v>0.99587904303016461</v>
      </c>
      <c r="K1865">
        <v>2.3726580057547433</v>
      </c>
      <c r="L1865">
        <v>0</v>
      </c>
      <c r="M1865">
        <v>1.6250604210556853E-3</v>
      </c>
      <c r="N1865">
        <v>0.14063343045972393</v>
      </c>
      <c r="O1865">
        <v>2.0613292221108474E-2</v>
      </c>
      <c r="P1865">
        <v>2.7831603370329281E-2</v>
      </c>
      <c r="Q1865">
        <v>5.3047851486806071E-3</v>
      </c>
      <c r="R1865">
        <v>1.6030200129492427E-3</v>
      </c>
      <c r="S1865">
        <v>0.25055833987375742</v>
      </c>
      <c r="T1865">
        <v>1.3637480776476789</v>
      </c>
      <c r="U1865">
        <v>0.20839493330619391</v>
      </c>
      <c r="V1865">
        <v>0.24233667418551669</v>
      </c>
      <c r="W1865">
        <v>9.3304810426674323E-2</v>
      </c>
      <c r="X1865">
        <v>1.5591207483343562E-2</v>
      </c>
      <c r="Y1865">
        <v>4.3628920398425921E-3</v>
      </c>
    </row>
    <row r="1866" spans="1:25" x14ac:dyDescent="0.2">
      <c r="A1866" s="1077"/>
      <c r="B1866" s="1444">
        <v>1616</v>
      </c>
      <c r="C1866" s="1081">
        <v>1.0077028362278189</v>
      </c>
      <c r="D1866" s="1081">
        <v>0.97766044458797408</v>
      </c>
      <c r="E1866" s="1081">
        <v>1.0105357691101371</v>
      </c>
      <c r="F1866" s="1081">
        <v>0.99566021543367456</v>
      </c>
      <c r="G1866" s="1081">
        <v>1.0115781652855336</v>
      </c>
      <c r="H1866" s="1081">
        <v>1.0386930748198935</v>
      </c>
      <c r="I1866" s="1081">
        <v>1.0325405285794322</v>
      </c>
      <c r="K1866">
        <v>2.4299543805833808</v>
      </c>
      <c r="L1866">
        <v>0</v>
      </c>
      <c r="M1866">
        <v>1.6639563717382091E-3</v>
      </c>
      <c r="N1866">
        <v>0.15640816559202689</v>
      </c>
      <c r="O1866">
        <v>2.0935929587729846E-2</v>
      </c>
      <c r="P1866">
        <v>2.8809585110996672E-2</v>
      </c>
      <c r="Q1866">
        <v>5.5366666702246197E-3</v>
      </c>
      <c r="R1866">
        <v>1.6428107276864612E-3</v>
      </c>
      <c r="S1866">
        <v>0.27149876100998083</v>
      </c>
      <c r="T1866">
        <v>1.3659131039592727</v>
      </c>
      <c r="U1866">
        <v>0.21038883736733519</v>
      </c>
      <c r="V1866">
        <v>0.24699318956677543</v>
      </c>
      <c r="W1866">
        <v>0.10211078689464066</v>
      </c>
      <c r="X1866">
        <v>1.6909311220099803E-2</v>
      </c>
      <c r="Y1866">
        <v>4.4711892483517111E-3</v>
      </c>
    </row>
    <row r="1867" spans="1:25" x14ac:dyDescent="0.2">
      <c r="A1867" s="1077"/>
      <c r="B1867" s="1444">
        <v>1617</v>
      </c>
      <c r="C1867" s="1081">
        <v>1.0388062469083381</v>
      </c>
      <c r="D1867" s="1081">
        <v>1.0456831141928502</v>
      </c>
      <c r="E1867" s="1081">
        <v>1.0205781595586698</v>
      </c>
      <c r="F1867" s="1081">
        <v>0.99745880622552319</v>
      </c>
      <c r="G1867" s="1081">
        <v>1.0331541494339638</v>
      </c>
      <c r="H1867" s="1081">
        <v>1.017344406302396</v>
      </c>
      <c r="I1867" s="1081">
        <v>1.0385018649265108</v>
      </c>
      <c r="K1867">
        <v>2.3947322132764572</v>
      </c>
      <c r="L1867">
        <v>0</v>
      </c>
      <c r="M1867">
        <v>1.5255469326951659E-3</v>
      </c>
      <c r="N1867">
        <v>0.14777034668864766</v>
      </c>
      <c r="O1867">
        <v>2.0017125741313029E-2</v>
      </c>
      <c r="P1867">
        <v>2.8762436798095304E-2</v>
      </c>
      <c r="Q1867">
        <v>5.3469274613281758E-3</v>
      </c>
      <c r="R1867">
        <v>1.505753378255545E-3</v>
      </c>
      <c r="S1867">
        <v>0.25448366357640972</v>
      </c>
      <c r="T1867">
        <v>1.3685978446769509</v>
      </c>
      <c r="U1867">
        <v>0.20412260511525088</v>
      </c>
      <c r="V1867">
        <v>0.24878510440772106</v>
      </c>
      <c r="W1867">
        <v>9.5904487012562878E-2</v>
      </c>
      <c r="X1867">
        <v>1.686330102847159E-2</v>
      </c>
      <c r="Y1867">
        <v>4.0981643241438546E-3</v>
      </c>
    </row>
    <row r="1868" spans="1:25" x14ac:dyDescent="0.2">
      <c r="A1868" s="1077"/>
      <c r="B1868" s="1444">
        <v>1618</v>
      </c>
      <c r="C1868" s="1081">
        <v>1.0057543297732594</v>
      </c>
      <c r="D1868" s="1081">
        <v>0.99579564134266152</v>
      </c>
      <c r="E1868" s="1081">
        <v>0.9878532507417167</v>
      </c>
      <c r="F1868" s="1081">
        <v>0.97966778545154787</v>
      </c>
      <c r="G1868" s="1081">
        <v>1.0169913647221693</v>
      </c>
      <c r="H1868" s="1081">
        <v>1.0353722286341764</v>
      </c>
      <c r="I1868" s="1081">
        <v>0.99863413698959125</v>
      </c>
      <c r="K1868">
        <v>2.3902404556219174</v>
      </c>
      <c r="L1868">
        <v>0</v>
      </c>
      <c r="M1868">
        <v>1.7348695690212507E-3</v>
      </c>
      <c r="N1868">
        <v>0.15226600407640767</v>
      </c>
      <c r="O1868">
        <v>2.0876862709873583E-2</v>
      </c>
      <c r="P1868">
        <v>2.789031271718112E-2</v>
      </c>
      <c r="Q1868">
        <v>5.3965342674725343E-3</v>
      </c>
      <c r="R1868">
        <v>1.712752043568693E-3</v>
      </c>
      <c r="S1868">
        <v>0.26022263408502716</v>
      </c>
      <c r="T1868">
        <v>1.3434930953622719</v>
      </c>
      <c r="U1868">
        <v>0.2107193557680932</v>
      </c>
      <c r="V1868">
        <v>0.24812063264148443</v>
      </c>
      <c r="W1868">
        <v>0.10075666987374857</v>
      </c>
      <c r="X1868">
        <v>1.5858925191772358E-2</v>
      </c>
      <c r="Y1868">
        <v>4.6615464540345607E-3</v>
      </c>
    </row>
    <row r="1869" spans="1:25" x14ac:dyDescent="0.2">
      <c r="A1869" s="1077"/>
      <c r="B1869" s="1444">
        <v>1619</v>
      </c>
      <c r="C1869" s="1081">
        <v>0.97286817325534447</v>
      </c>
      <c r="D1869" s="1081">
        <v>0.98784263361841784</v>
      </c>
      <c r="E1869" s="1081">
        <v>1.0348070753174465</v>
      </c>
      <c r="F1869" s="1081">
        <v>1.0047370286340054</v>
      </c>
      <c r="G1869" s="1081">
        <v>0.98359821814124015</v>
      </c>
      <c r="H1869" s="1081">
        <v>0.99700316043522452</v>
      </c>
      <c r="I1869" s="1081">
        <v>1.0017874793692068</v>
      </c>
      <c r="K1869">
        <v>2.4493186316732367</v>
      </c>
      <c r="L1869">
        <v>0</v>
      </c>
      <c r="M1869">
        <v>1.5692748618412241E-3</v>
      </c>
      <c r="N1869">
        <v>0.15862662004177375</v>
      </c>
      <c r="O1869">
        <v>2.1652849773564836E-2</v>
      </c>
      <c r="P1869">
        <v>2.9527076298494888E-2</v>
      </c>
      <c r="Q1869">
        <v>5.8659057897851507E-3</v>
      </c>
      <c r="R1869">
        <v>1.5484985382286762E-3</v>
      </c>
      <c r="S1869">
        <v>0.2679791965031012</v>
      </c>
      <c r="T1869">
        <v>1.3788950544372263</v>
      </c>
      <c r="U1869">
        <v>0.21800762365913171</v>
      </c>
      <c r="V1869">
        <v>0.24435144448431917</v>
      </c>
      <c r="W1869">
        <v>0.10210196661447549</v>
      </c>
      <c r="X1869">
        <v>1.811716783632332E-2</v>
      </c>
      <c r="Y1869">
        <v>4.2145025586525203E-3</v>
      </c>
    </row>
    <row r="1870" spans="1:25" x14ac:dyDescent="0.2">
      <c r="A1870" s="1077"/>
      <c r="B1870" s="1444">
        <v>1620</v>
      </c>
      <c r="C1870" s="1081">
        <v>0.99206869787713725</v>
      </c>
      <c r="D1870" s="1081">
        <v>1.0340738388577482</v>
      </c>
      <c r="E1870" s="1081">
        <v>0.9623197822266979</v>
      </c>
      <c r="F1870" s="1081">
        <v>1.0097265932817627</v>
      </c>
      <c r="G1870" s="1081">
        <v>0.98329795086273974</v>
      </c>
      <c r="H1870" s="1081">
        <v>0.97090810532793015</v>
      </c>
      <c r="I1870" s="1081">
        <v>0.96547204175467427</v>
      </c>
      <c r="K1870">
        <v>2.3934143094697422</v>
      </c>
      <c r="L1870">
        <v>0</v>
      </c>
      <c r="M1870">
        <v>1.7242741075887108E-3</v>
      </c>
      <c r="N1870">
        <v>0.13996069338834832</v>
      </c>
      <c r="O1870">
        <v>2.0973067399523405E-2</v>
      </c>
      <c r="P1870">
        <v>2.7661536328111205E-2</v>
      </c>
      <c r="Q1870">
        <v>5.2821381773595728E-3</v>
      </c>
      <c r="R1870">
        <v>1.7008321217944953E-3</v>
      </c>
      <c r="S1870">
        <v>0.24483477245346186</v>
      </c>
      <c r="T1870">
        <v>1.3841603010962069</v>
      </c>
      <c r="U1870">
        <v>0.21353861695373683</v>
      </c>
      <c r="V1870">
        <v>0.24331201297972957</v>
      </c>
      <c r="W1870">
        <v>9.4058716540783238E-2</v>
      </c>
      <c r="X1870">
        <v>1.5026791781906199E-2</v>
      </c>
      <c r="Y1870">
        <v>4.6291043563663524E-3</v>
      </c>
    </row>
    <row r="1871" spans="1:25" x14ac:dyDescent="0.2">
      <c r="A1871" s="1077"/>
      <c r="B1871" s="1444">
        <v>1621</v>
      </c>
      <c r="C1871" s="1081">
        <v>0.99732889686960247</v>
      </c>
      <c r="D1871" s="1081">
        <v>0.98895289914094209</v>
      </c>
      <c r="E1871" s="1081">
        <v>0.99914688163245891</v>
      </c>
      <c r="F1871" s="1081">
        <v>1.0205128693281758</v>
      </c>
      <c r="G1871" s="1081">
        <v>1.0030513052167531</v>
      </c>
      <c r="H1871" s="1081">
        <v>0.98579765242547124</v>
      </c>
      <c r="I1871" s="1081">
        <v>0.99986779118923796</v>
      </c>
      <c r="K1871">
        <v>2.4395587184959502</v>
      </c>
      <c r="L1871">
        <v>0</v>
      </c>
      <c r="M1871">
        <v>1.6296965950788661E-3</v>
      </c>
      <c r="N1871">
        <v>0.14790613091763513</v>
      </c>
      <c r="O1871">
        <v>2.109271798199645E-2</v>
      </c>
      <c r="P1871">
        <v>2.8883887064397592E-2</v>
      </c>
      <c r="Q1871">
        <v>5.5148056268882785E-3</v>
      </c>
      <c r="R1871">
        <v>1.6078750651071039E-3</v>
      </c>
      <c r="S1871">
        <v>0.25950605004905536</v>
      </c>
      <c r="T1871">
        <v>1.3997560145420416</v>
      </c>
      <c r="U1871">
        <v>0.21253818037826078</v>
      </c>
      <c r="V1871">
        <v>0.24622236689334612</v>
      </c>
      <c r="W1871">
        <v>9.7213569418686141E-2</v>
      </c>
      <c r="X1871">
        <v>1.6570711262267303E-2</v>
      </c>
      <c r="Y1871">
        <v>4.3761058913487751E-3</v>
      </c>
    </row>
    <row r="1872" spans="1:25" x14ac:dyDescent="0.2">
      <c r="A1872" s="1077"/>
      <c r="B1872" s="1444">
        <v>1622</v>
      </c>
      <c r="C1872" s="1081">
        <v>0.98833475335636201</v>
      </c>
      <c r="D1872" s="1081">
        <v>1.0316805809874945</v>
      </c>
      <c r="E1872" s="1081">
        <v>0.96690987210358537</v>
      </c>
      <c r="F1872" s="1081">
        <v>1.0273766237475803</v>
      </c>
      <c r="G1872" s="1081">
        <v>1.0356588215844298</v>
      </c>
      <c r="H1872" s="1081">
        <v>0.96774579109151937</v>
      </c>
      <c r="I1872" s="1081">
        <v>1.0086990024893558</v>
      </c>
      <c r="K1872">
        <v>2.4419173863400081</v>
      </c>
      <c r="L1872">
        <v>0</v>
      </c>
      <c r="M1872">
        <v>1.7097662260534285E-3</v>
      </c>
      <c r="N1872">
        <v>0.14071982636406996</v>
      </c>
      <c r="O1872">
        <v>2.1066081766950514E-2</v>
      </c>
      <c r="P1872">
        <v>2.8375331416167947E-2</v>
      </c>
      <c r="Q1872">
        <v>5.3305885964940779E-3</v>
      </c>
      <c r="R1872">
        <v>1.686445521809569E-3</v>
      </c>
      <c r="S1872">
        <v>0.25682513372924426</v>
      </c>
      <c r="T1872">
        <v>1.4084566723306602</v>
      </c>
      <c r="U1872">
        <v>0.21436115240554518</v>
      </c>
      <c r="V1872">
        <v>0.25248297868287217</v>
      </c>
      <c r="W1872">
        <v>9.4303925154668469E-2</v>
      </c>
      <c r="X1872">
        <v>1.5429067823829735E-2</v>
      </c>
      <c r="Y1872">
        <v>4.5899487737487933E-3</v>
      </c>
    </row>
    <row r="1873" spans="1:25" x14ac:dyDescent="0.2">
      <c r="A1873" s="1077"/>
      <c r="B1873" s="1444">
        <v>1623</v>
      </c>
      <c r="C1873" s="1081">
        <v>0.97942775106991198</v>
      </c>
      <c r="D1873" s="1081">
        <v>0.9987708947731786</v>
      </c>
      <c r="E1873" s="1081">
        <v>1.0357604903197628</v>
      </c>
      <c r="F1873" s="1081">
        <v>0.98241878962020079</v>
      </c>
      <c r="G1873" s="1081">
        <v>0.98311474550927747</v>
      </c>
      <c r="H1873" s="1081">
        <v>1.0133544355211388</v>
      </c>
      <c r="I1873" s="1081">
        <v>1.0280443483935495</v>
      </c>
      <c r="K1873">
        <v>2.4232645309838166</v>
      </c>
      <c r="L1873">
        <v>0</v>
      </c>
      <c r="M1873">
        <v>1.5773598080633996E-3</v>
      </c>
      <c r="N1873">
        <v>0.15993723192100931</v>
      </c>
      <c r="O1873">
        <v>2.1456487021465284E-2</v>
      </c>
      <c r="P1873">
        <v>2.9163122490546822E-2</v>
      </c>
      <c r="Q1873">
        <v>5.8181757537581211E-3</v>
      </c>
      <c r="R1873">
        <v>1.5568134138611858E-3</v>
      </c>
      <c r="S1873">
        <v>0.27312701252722732</v>
      </c>
      <c r="T1873">
        <v>1.3482860337612845</v>
      </c>
      <c r="U1873">
        <v>0.21655089368749561</v>
      </c>
      <c r="V1873">
        <v>0.24383599587304816</v>
      </c>
      <c r="W1873">
        <v>0.10288883563159305</v>
      </c>
      <c r="X1873">
        <v>1.798415580146524E-2</v>
      </c>
      <c r="Y1873">
        <v>4.2371329091261938E-3</v>
      </c>
    </row>
    <row r="1874" spans="1:25" x14ac:dyDescent="0.2">
      <c r="A1874" s="1077"/>
      <c r="B1874" s="1444">
        <v>1624</v>
      </c>
      <c r="C1874" s="1081">
        <v>1.0244887429235903</v>
      </c>
      <c r="D1874" s="1081">
        <v>1.0225059925969111</v>
      </c>
      <c r="E1874" s="1081">
        <v>1.0012172776780477</v>
      </c>
      <c r="F1874" s="1081">
        <v>0.99227859020491804</v>
      </c>
      <c r="G1874" s="1081">
        <v>1.0057485940517124</v>
      </c>
      <c r="H1874" s="1081">
        <v>1.0015309417456324</v>
      </c>
      <c r="I1874" s="1081">
        <v>0.98937504921309272</v>
      </c>
      <c r="K1874">
        <v>2.37548439967461</v>
      </c>
      <c r="L1874">
        <v>0</v>
      </c>
      <c r="M1874">
        <v>1.5931677861546032E-3</v>
      </c>
      <c r="N1874">
        <v>0.14552916619431008</v>
      </c>
      <c r="O1874">
        <v>2.0384700688314904E-2</v>
      </c>
      <c r="P1874">
        <v>2.8137757214523097E-2</v>
      </c>
      <c r="Q1874">
        <v>5.3407928129523474E-3</v>
      </c>
      <c r="R1874">
        <v>1.5721704904872391E-3</v>
      </c>
      <c r="S1874">
        <v>0.24713040392068936</v>
      </c>
      <c r="T1874">
        <v>1.3610737433606277</v>
      </c>
      <c r="U1874">
        <v>0.20691056660508639</v>
      </c>
      <c r="V1874">
        <v>0.24501696689519362</v>
      </c>
      <c r="W1874">
        <v>9.5533660463487047E-2</v>
      </c>
      <c r="X1874">
        <v>1.6168709005850108E-2</v>
      </c>
      <c r="Y1874">
        <v>4.2789298092433632E-3</v>
      </c>
    </row>
    <row r="1875" spans="1:25" x14ac:dyDescent="0.2">
      <c r="A1875" s="1077"/>
      <c r="B1875" s="1444">
        <v>1625</v>
      </c>
      <c r="C1875" s="1081">
        <v>0.98667846178788243</v>
      </c>
      <c r="D1875" s="1081">
        <v>0.98672275904005147</v>
      </c>
      <c r="E1875" s="1081">
        <v>1.0156436776581033</v>
      </c>
      <c r="F1875" s="1081">
        <v>0.9826188173226621</v>
      </c>
      <c r="G1875" s="1081">
        <v>0.99381996928506766</v>
      </c>
      <c r="H1875" s="1081">
        <v>1.0284661746339829</v>
      </c>
      <c r="I1875" s="1081">
        <v>1.0298095245171586</v>
      </c>
      <c r="K1875">
        <v>2.421888112912344</v>
      </c>
      <c r="L1875">
        <v>0</v>
      </c>
      <c r="M1875">
        <v>1.6615338891958046E-3</v>
      </c>
      <c r="N1875">
        <v>0.15858669042288639</v>
      </c>
      <c r="O1875">
        <v>2.1342131320873894E-2</v>
      </c>
      <c r="P1875">
        <v>2.8751208769293265E-2</v>
      </c>
      <c r="Q1875">
        <v>5.6729332850334255E-3</v>
      </c>
      <c r="R1875">
        <v>1.6402090674579527E-3</v>
      </c>
      <c r="S1875">
        <v>0.27441216234259469</v>
      </c>
      <c r="T1875">
        <v>1.3481308809381465</v>
      </c>
      <c r="U1875">
        <v>0.21488958315153098</v>
      </c>
      <c r="V1875">
        <v>0.2452632234826736</v>
      </c>
      <c r="W1875">
        <v>0.10322241477563281</v>
      </c>
      <c r="X1875">
        <v>1.7174100858568103E-2</v>
      </c>
      <c r="Y1875">
        <v>4.4641083868467747E-3</v>
      </c>
    </row>
    <row r="1876" spans="1:25" x14ac:dyDescent="0.2">
      <c r="A1876" s="1077"/>
      <c r="B1876" s="1444">
        <v>1626</v>
      </c>
      <c r="C1876" s="1081">
        <v>0.98838603329948449</v>
      </c>
      <c r="D1876" s="1081">
        <v>0.99361951330306586</v>
      </c>
      <c r="E1876" s="1081">
        <v>1.0025677813309561</v>
      </c>
      <c r="F1876" s="1081">
        <v>1.008078436197837</v>
      </c>
      <c r="G1876" s="1081">
        <v>0.9724605340977186</v>
      </c>
      <c r="H1876" s="1081">
        <v>0.9779649199291629</v>
      </c>
      <c r="I1876" s="1081">
        <v>0.98953493402773762</v>
      </c>
      <c r="K1876">
        <v>2.4188592908112128</v>
      </c>
      <c r="L1876">
        <v>0</v>
      </c>
      <c r="M1876">
        <v>1.6181624034692157E-3</v>
      </c>
      <c r="N1876">
        <v>0.14836880042371292</v>
      </c>
      <c r="O1876">
        <v>2.1263832774028456E-2</v>
      </c>
      <c r="P1876">
        <v>2.8666010758849919E-2</v>
      </c>
      <c r="Q1876">
        <v>5.5786854749064075E-3</v>
      </c>
      <c r="R1876">
        <v>1.5963217791708907E-3</v>
      </c>
      <c r="S1876">
        <v>0.25789466850517823</v>
      </c>
      <c r="T1876">
        <v>1.3827752942497704</v>
      </c>
      <c r="U1876">
        <v>0.2144730468055277</v>
      </c>
      <c r="V1876">
        <v>0.24155250634134462</v>
      </c>
      <c r="W1876">
        <v>9.7319728789288976E-2</v>
      </c>
      <c r="X1876">
        <v>1.6643895657332146E-2</v>
      </c>
      <c r="Y1876">
        <v>4.3446616555700883E-3</v>
      </c>
    </row>
    <row r="1877" spans="1:25" x14ac:dyDescent="0.2">
      <c r="A1877" s="1077"/>
      <c r="B1877" s="1444">
        <v>1627</v>
      </c>
      <c r="C1877" s="1081">
        <v>0.98745758063585753</v>
      </c>
      <c r="D1877" s="1081">
        <v>1.0032381761611566</v>
      </c>
      <c r="E1877" s="1081">
        <v>0.99537496699811145</v>
      </c>
      <c r="F1877" s="1081">
        <v>0.96976790103042887</v>
      </c>
      <c r="G1877" s="1081">
        <v>1.0045234998393422</v>
      </c>
      <c r="H1877" s="1081">
        <v>1.0063022998789108</v>
      </c>
      <c r="I1877" s="1081">
        <v>0.98903673744668852</v>
      </c>
      <c r="K1877">
        <v>2.3776096016990027</v>
      </c>
      <c r="L1877">
        <v>0</v>
      </c>
      <c r="M1877">
        <v>1.6880824702546135E-3</v>
      </c>
      <c r="N1877">
        <v>0.15151061000178137</v>
      </c>
      <c r="O1877">
        <v>2.1233933582915272E-2</v>
      </c>
      <c r="P1877">
        <v>2.7890492456550058E-2</v>
      </c>
      <c r="Q1877">
        <v>5.5306861375205062E-3</v>
      </c>
      <c r="R1877">
        <v>1.6659397275752329E-3</v>
      </c>
      <c r="S1877">
        <v>0.25911370392922034</v>
      </c>
      <c r="T1877">
        <v>1.3300741236523594</v>
      </c>
      <c r="U1877">
        <v>0.21464980917117435</v>
      </c>
      <c r="V1877">
        <v>0.24711276266723012</v>
      </c>
      <c r="W1877">
        <v>9.9806649890755633E-2</v>
      </c>
      <c r="X1877">
        <v>1.6174834190597228E-2</v>
      </c>
      <c r="Y1877">
        <v>4.5341387615761824E-3</v>
      </c>
    </row>
    <row r="1878" spans="1:25" x14ac:dyDescent="0.2">
      <c r="A1878" s="1077"/>
      <c r="B1878" s="1444">
        <v>1628</v>
      </c>
      <c r="C1878" s="1081">
        <v>1.0020141608158375</v>
      </c>
      <c r="D1878" s="1081">
        <v>0.99723257461222348</v>
      </c>
      <c r="E1878" s="1081">
        <v>0.99819999329074294</v>
      </c>
      <c r="F1878" s="1081">
        <v>1.0066099985775474</v>
      </c>
      <c r="G1878" s="1081">
        <v>0.98986347571566324</v>
      </c>
      <c r="H1878" s="1081">
        <v>0.99268140187852283</v>
      </c>
      <c r="I1878" s="1081">
        <v>0.96191284088360829</v>
      </c>
      <c r="K1878">
        <v>2.4045062029481183</v>
      </c>
      <c r="L1878">
        <v>0</v>
      </c>
      <c r="M1878">
        <v>1.633614797321445E-3</v>
      </c>
      <c r="N1878">
        <v>0.14785207265165554</v>
      </c>
      <c r="O1878">
        <v>2.0954992013418258E-2</v>
      </c>
      <c r="P1878">
        <v>2.8398342386077129E-2</v>
      </c>
      <c r="Q1878">
        <v>5.4735804011949354E-3</v>
      </c>
      <c r="R1878">
        <v>1.6118924881004006E-3</v>
      </c>
      <c r="S1878">
        <v>0.24800295379960446</v>
      </c>
      <c r="T1878">
        <v>1.3806659474634266</v>
      </c>
      <c r="U1878">
        <v>0.21154115506184296</v>
      </c>
      <c r="V1878">
        <v>0.24368104523046197</v>
      </c>
      <c r="W1878">
        <v>9.7232801253251969E-2</v>
      </c>
      <c r="X1878">
        <v>1.6337995004012531E-2</v>
      </c>
      <c r="Y1878">
        <v>4.3870399923933955E-3</v>
      </c>
    </row>
    <row r="1879" spans="1:25" x14ac:dyDescent="0.2">
      <c r="A1879" s="1077"/>
      <c r="B1879" s="1444">
        <v>1629</v>
      </c>
      <c r="C1879" s="1081">
        <v>1.0164759757845323</v>
      </c>
      <c r="D1879" s="1081">
        <v>1.0153508742108523</v>
      </c>
      <c r="E1879" s="1081">
        <v>1.0426200533033885</v>
      </c>
      <c r="F1879" s="1081">
        <v>1.0347340810238836</v>
      </c>
      <c r="G1879" s="1081">
        <v>0.98465481321402115</v>
      </c>
      <c r="H1879" s="1081">
        <v>0.95989088605852257</v>
      </c>
      <c r="I1879" s="1081">
        <v>0.99959875251642261</v>
      </c>
      <c r="K1879">
        <v>2.4379147304652098</v>
      </c>
      <c r="L1879">
        <v>0</v>
      </c>
      <c r="M1879">
        <v>1.4140909424145373E-3</v>
      </c>
      <c r="N1879">
        <v>0.14626868826135606</v>
      </c>
      <c r="O1879">
        <v>2.0604187454249294E-2</v>
      </c>
      <c r="P1879">
        <v>2.984610367989729E-2</v>
      </c>
      <c r="Q1879">
        <v>5.624893475319903E-3</v>
      </c>
      <c r="R1879">
        <v>1.3946453270668869E-3</v>
      </c>
      <c r="S1879">
        <v>0.24938979433715711</v>
      </c>
      <c r="T1879">
        <v>1.4202389817682557</v>
      </c>
      <c r="U1879">
        <v>0.20868131102417115</v>
      </c>
      <c r="V1879">
        <v>0.2417523114918172</v>
      </c>
      <c r="W1879">
        <v>9.3724509631689032E-2</v>
      </c>
      <c r="X1879">
        <v>1.8007630121075903E-2</v>
      </c>
      <c r="Y1879">
        <v>3.7957648355675575E-3</v>
      </c>
    </row>
    <row r="1880" spans="1:25" x14ac:dyDescent="0.2">
      <c r="A1880" s="1077"/>
      <c r="B1880" s="1444">
        <v>1630</v>
      </c>
      <c r="C1880" s="1081">
        <v>0.98447734798518705</v>
      </c>
      <c r="D1880" s="1081">
        <v>0.99244493855241622</v>
      </c>
      <c r="E1880" s="1081">
        <v>1.0137496163197965</v>
      </c>
      <c r="F1880" s="1081">
        <v>0.99285469105620971</v>
      </c>
      <c r="G1880" s="1081">
        <v>1.0191005431138278</v>
      </c>
      <c r="H1880" s="1081">
        <v>0.9946374130742669</v>
      </c>
      <c r="I1880" s="1081">
        <v>0.97684726165900204</v>
      </c>
      <c r="K1880">
        <v>2.4146103831443009</v>
      </c>
      <c r="L1880">
        <v>0</v>
      </c>
      <c r="M1880">
        <v>1.6147733036827334E-3</v>
      </c>
      <c r="N1880">
        <v>0.15317733086855831</v>
      </c>
      <c r="O1880">
        <v>2.1361373138153162E-2</v>
      </c>
      <c r="P1880">
        <v>2.873565676995193E-2</v>
      </c>
      <c r="Q1880">
        <v>5.6673351826854023E-3</v>
      </c>
      <c r="R1880">
        <v>1.5933437568044072E-3</v>
      </c>
      <c r="S1880">
        <v>0.25725189057640363</v>
      </c>
      <c r="T1880">
        <v>1.3621334781822243</v>
      </c>
      <c r="U1880">
        <v>0.21536344621591808</v>
      </c>
      <c r="V1880">
        <v>0.24972677696603338</v>
      </c>
      <c r="W1880">
        <v>9.9812524895610211E-2</v>
      </c>
      <c r="X1880">
        <v>1.7065443435244507E-2</v>
      </c>
      <c r="Y1880">
        <v>4.3365564603933277E-3</v>
      </c>
    </row>
    <row r="1881" spans="1:25" x14ac:dyDescent="0.2">
      <c r="A1881" s="1077"/>
      <c r="B1881" s="1444">
        <v>1631</v>
      </c>
      <c r="C1881" s="1081">
        <v>1.0215457809436586</v>
      </c>
      <c r="D1881" s="1081">
        <v>0.96899748903574812</v>
      </c>
      <c r="E1881" s="1081">
        <v>1.0287088041840311</v>
      </c>
      <c r="F1881" s="1081">
        <v>0.97598018458844527</v>
      </c>
      <c r="G1881" s="1081">
        <v>0.98328705435785368</v>
      </c>
      <c r="H1881" s="1081">
        <v>1.0369235934200769</v>
      </c>
      <c r="I1881" s="1081">
        <v>0.97554754332352289</v>
      </c>
      <c r="K1881">
        <v>2.3769556239203005</v>
      </c>
      <c r="L1881">
        <v>0</v>
      </c>
      <c r="M1881">
        <v>1.5809056150789943E-3</v>
      </c>
      <c r="N1881">
        <v>0.1569727854651338</v>
      </c>
      <c r="O1881">
        <v>2.0704630083787166E-2</v>
      </c>
      <c r="P1881">
        <v>2.8464378235769153E-2</v>
      </c>
      <c r="Q1881">
        <v>5.5753420394246064E-3</v>
      </c>
      <c r="R1881">
        <v>1.5607811009367874E-3</v>
      </c>
      <c r="S1881">
        <v>0.25416866782771902</v>
      </c>
      <c r="T1881">
        <v>1.3392998145028494</v>
      </c>
      <c r="U1881">
        <v>0.20759885427282029</v>
      </c>
      <c r="V1881">
        <v>0.24126138547426595</v>
      </c>
      <c r="W1881">
        <v>0.10139525756903213</v>
      </c>
      <c r="X1881">
        <v>1.7286701318243433E-2</v>
      </c>
      <c r="Y1881">
        <v>4.2479316453982894E-3</v>
      </c>
    </row>
    <row r="1882" spans="1:25" x14ac:dyDescent="0.2">
      <c r="A1882" s="1077"/>
      <c r="B1882" s="1444">
        <v>1632</v>
      </c>
      <c r="C1882" s="1081">
        <v>1.0081448381099496</v>
      </c>
      <c r="D1882" s="1081">
        <v>0.99326177692389994</v>
      </c>
      <c r="E1882" s="1081">
        <v>0.99414640564140122</v>
      </c>
      <c r="F1882" s="1081">
        <v>0.95859544845832723</v>
      </c>
      <c r="G1882" s="1081">
        <v>1.0237983766602565</v>
      </c>
      <c r="H1882" s="1081">
        <v>0.96455143622756212</v>
      </c>
      <c r="I1882" s="1081">
        <v>0.99037104733037895</v>
      </c>
      <c r="K1882">
        <v>2.3360116404986435</v>
      </c>
      <c r="L1882">
        <v>0</v>
      </c>
      <c r="M1882">
        <v>1.5923804416128169E-3</v>
      </c>
      <c r="N1882">
        <v>0.14230942936648755</v>
      </c>
      <c r="O1882">
        <v>2.0843180096077728E-2</v>
      </c>
      <c r="P1882">
        <v>2.7525672281739189E-2</v>
      </c>
      <c r="Q1882">
        <v>5.4221891088557491E-3</v>
      </c>
      <c r="R1882">
        <v>1.5705889147423855E-3</v>
      </c>
      <c r="S1882">
        <v>0.25190993902229059</v>
      </c>
      <c r="T1882">
        <v>1.3147252290945657</v>
      </c>
      <c r="U1882">
        <v>0.21024100624850098</v>
      </c>
      <c r="V1882">
        <v>0.24911286510102809</v>
      </c>
      <c r="W1882">
        <v>9.3814191742155967E-2</v>
      </c>
      <c r="X1882">
        <v>1.5855104682376192E-2</v>
      </c>
      <c r="Y1882">
        <v>4.274625281432176E-3</v>
      </c>
    </row>
    <row r="1883" spans="1:25" x14ac:dyDescent="0.2">
      <c r="A1883" s="1077"/>
      <c r="B1883" s="1444">
        <v>1633</v>
      </c>
      <c r="C1883" s="1081">
        <v>1.0154077177872955</v>
      </c>
      <c r="D1883" s="1081">
        <v>1.0170454946104532</v>
      </c>
      <c r="E1883" s="1081">
        <v>0.998520472799443</v>
      </c>
      <c r="F1883" s="1081">
        <v>0.99764456148101543</v>
      </c>
      <c r="G1883" s="1081">
        <v>1.0238773372270578</v>
      </c>
      <c r="H1883" s="1081">
        <v>1.0114326429043461</v>
      </c>
      <c r="I1883" s="1081">
        <v>1.0067745861873196</v>
      </c>
      <c r="K1883">
        <v>2.4014275635496318</v>
      </c>
      <c r="L1883">
        <v>0</v>
      </c>
      <c r="M1883">
        <v>1.6343378603387989E-3</v>
      </c>
      <c r="N1883">
        <v>0.14809781178014134</v>
      </c>
      <c r="O1883">
        <v>2.0589492229619172E-2</v>
      </c>
      <c r="P1883">
        <v>2.8365825265506156E-2</v>
      </c>
      <c r="Q1883">
        <v>5.3798438306552794E-3</v>
      </c>
      <c r="R1883">
        <v>1.6130088308841379E-3</v>
      </c>
      <c r="S1883">
        <v>0.25521353112588591</v>
      </c>
      <c r="T1883">
        <v>1.3683758696562967</v>
      </c>
      <c r="U1883">
        <v>0.20875193722294222</v>
      </c>
      <c r="V1883">
        <v>0.24866741534021042</v>
      </c>
      <c r="W1883">
        <v>9.7375834567337838E-2</v>
      </c>
      <c r="X1883">
        <v>1.6241253251039221E-2</v>
      </c>
      <c r="Y1883">
        <v>4.3900783094484265E-3</v>
      </c>
    </row>
    <row r="1884" spans="1:25" x14ac:dyDescent="0.2">
      <c r="A1884" s="1077"/>
      <c r="B1884" s="1444">
        <v>1634</v>
      </c>
      <c r="C1884" s="1081">
        <v>1.0227261988550425</v>
      </c>
      <c r="D1884" s="1081">
        <v>0.97134314811356504</v>
      </c>
      <c r="E1884" s="1081">
        <v>0.99990150013355195</v>
      </c>
      <c r="F1884" s="1081">
        <v>0.9591419009704989</v>
      </c>
      <c r="G1884" s="1081">
        <v>0.98572034658317942</v>
      </c>
      <c r="H1884" s="1081">
        <v>0.96081482710042587</v>
      </c>
      <c r="I1884" s="1081">
        <v>1.00448858924657</v>
      </c>
      <c r="K1884">
        <v>2.3266738779145735</v>
      </c>
      <c r="L1884">
        <v>0</v>
      </c>
      <c r="M1884">
        <v>1.5526536369267847E-3</v>
      </c>
      <c r="N1884">
        <v>0.14118575709816919</v>
      </c>
      <c r="O1884">
        <v>2.0650880574041169E-2</v>
      </c>
      <c r="P1884">
        <v>2.7549199189070804E-2</v>
      </c>
      <c r="Q1884">
        <v>5.403382973529278E-3</v>
      </c>
      <c r="R1884">
        <v>1.5313231334276947E-3</v>
      </c>
      <c r="S1884">
        <v>0.25445254784340116</v>
      </c>
      <c r="T1884">
        <v>1.3155940104897008</v>
      </c>
      <c r="U1884">
        <v>0.20726275369382277</v>
      </c>
      <c r="V1884">
        <v>0.24170644898278579</v>
      </c>
      <c r="W1884">
        <v>9.2754874924714723E-2</v>
      </c>
      <c r="X1884">
        <v>1.5967595880179864E-2</v>
      </c>
      <c r="Y1884">
        <v>4.1677567686549191E-3</v>
      </c>
    </row>
    <row r="1885" spans="1:25" x14ac:dyDescent="0.2">
      <c r="A1885" s="1077"/>
      <c r="B1885" s="1444">
        <v>1635</v>
      </c>
      <c r="C1885" s="1081">
        <v>0.98695011119578369</v>
      </c>
      <c r="D1885" s="1081">
        <v>0.9965449281645824</v>
      </c>
      <c r="E1885" s="1081">
        <v>1.0401046768978073</v>
      </c>
      <c r="F1885" s="1081">
        <v>1.0221940283908857</v>
      </c>
      <c r="G1885" s="1081">
        <v>0.99859630782107889</v>
      </c>
      <c r="H1885" s="1081">
        <v>1.0053035493666462</v>
      </c>
      <c r="I1885" s="1081">
        <v>0.96548547508814764</v>
      </c>
      <c r="K1885">
        <v>2.4569512014162957</v>
      </c>
      <c r="L1885">
        <v>0</v>
      </c>
      <c r="M1885">
        <v>1.5396464700667043E-3</v>
      </c>
      <c r="N1885">
        <v>0.15815323123337238</v>
      </c>
      <c r="O1885">
        <v>2.1306343967353987E-2</v>
      </c>
      <c r="P1885">
        <v>2.9764103851153828E-2</v>
      </c>
      <c r="Q1885">
        <v>5.8022225697745072E-3</v>
      </c>
      <c r="R1885">
        <v>1.5194307128550061E-3</v>
      </c>
      <c r="S1885">
        <v>0.25419947548666216</v>
      </c>
      <c r="T1885">
        <v>1.4029709022282537</v>
      </c>
      <c r="U1885">
        <v>0.2149155118124762</v>
      </c>
      <c r="V1885">
        <v>0.245976491752051</v>
      </c>
      <c r="W1885">
        <v>0.10148652399378712</v>
      </c>
      <c r="X1885">
        <v>1.826122075843057E-2</v>
      </c>
      <c r="Y1885">
        <v>4.1353895201914487E-3</v>
      </c>
    </row>
    <row r="1886" spans="1:25" x14ac:dyDescent="0.2">
      <c r="A1886" s="1077"/>
      <c r="B1886" s="1444">
        <v>1636</v>
      </c>
      <c r="C1886" s="1081">
        <v>1.0076998407995967</v>
      </c>
      <c r="D1886" s="1081">
        <v>0.97950997165621179</v>
      </c>
      <c r="E1886" s="1081">
        <v>1.0045806073676509</v>
      </c>
      <c r="F1886" s="1081">
        <v>0.98459288975354731</v>
      </c>
      <c r="G1886" s="1081">
        <v>0.97249065926361677</v>
      </c>
      <c r="H1886" s="1081">
        <v>0.98430046080210398</v>
      </c>
      <c r="I1886" s="1081">
        <v>1.0189044948590171</v>
      </c>
      <c r="K1886">
        <v>2.3833142971640284</v>
      </c>
      <c r="L1886">
        <v>0</v>
      </c>
      <c r="M1886">
        <v>1.5957840706339905E-3</v>
      </c>
      <c r="N1886">
        <v>0.14722215782394649</v>
      </c>
      <c r="O1886">
        <v>2.0923343796128063E-2</v>
      </c>
      <c r="P1886">
        <v>2.8264287905879901E-2</v>
      </c>
      <c r="Q1886">
        <v>5.5004518931813197E-3</v>
      </c>
      <c r="R1886">
        <v>1.5743841257142297E-3</v>
      </c>
      <c r="S1886">
        <v>0.2629101309272876</v>
      </c>
      <c r="T1886">
        <v>1.350603201531237</v>
      </c>
      <c r="U1886">
        <v>0.21036923848172734</v>
      </c>
      <c r="V1886">
        <v>0.24034075835765992</v>
      </c>
      <c r="W1886">
        <v>9.645247904727372E-2</v>
      </c>
      <c r="X1886">
        <v>1.6464692750019338E-2</v>
      </c>
      <c r="Y1886">
        <v>4.2849545946065746E-3</v>
      </c>
    </row>
    <row r="1887" spans="1:25" x14ac:dyDescent="0.2">
      <c r="A1887" s="1077"/>
      <c r="B1887" s="1444">
        <v>1637</v>
      </c>
      <c r="C1887" s="1081">
        <v>1.0063252864650061</v>
      </c>
      <c r="D1887" s="1081">
        <v>0.97606072520706622</v>
      </c>
      <c r="E1887" s="1081">
        <v>1.0043437334912322</v>
      </c>
      <c r="F1887" s="1081">
        <v>1.0175892894669754</v>
      </c>
      <c r="G1887" s="1081">
        <v>1.030027023051286</v>
      </c>
      <c r="H1887" s="1081">
        <v>0.99870815490719378</v>
      </c>
      <c r="I1887" s="1081">
        <v>1.0219549220472961</v>
      </c>
      <c r="K1887">
        <v>2.4469613589415764</v>
      </c>
      <c r="L1887">
        <v>0</v>
      </c>
      <c r="M1887">
        <v>1.6234107606798592E-3</v>
      </c>
      <c r="N1887">
        <v>0.14969314982248635</v>
      </c>
      <c r="O1887">
        <v>2.0968032711467261E-2</v>
      </c>
      <c r="P1887">
        <v>2.9057693975084925E-2</v>
      </c>
      <c r="Q1887">
        <v>5.5108909107307149E-3</v>
      </c>
      <c r="R1887">
        <v>1.6019544009088142E-3</v>
      </c>
      <c r="S1887">
        <v>0.26577785573295037</v>
      </c>
      <c r="T1887">
        <v>1.3958603895528126</v>
      </c>
      <c r="U1887">
        <v>0.21065577972171887</v>
      </c>
      <c r="V1887">
        <v>0.25025050662130871</v>
      </c>
      <c r="W1887">
        <v>9.8085106874072792E-2</v>
      </c>
      <c r="X1887">
        <v>1.6763417583568418E-2</v>
      </c>
      <c r="Y1887">
        <v>4.3599917951474589E-3</v>
      </c>
    </row>
    <row r="1888" spans="1:25" x14ac:dyDescent="0.2">
      <c r="A1888" s="1077"/>
      <c r="B1888" s="1444">
        <v>1638</v>
      </c>
      <c r="C1888" s="1081">
        <v>1.0367112465732016</v>
      </c>
      <c r="D1888" s="1081">
        <v>0.99068500405033566</v>
      </c>
      <c r="E1888" s="1081">
        <v>0.99661773632829176</v>
      </c>
      <c r="F1888" s="1081">
        <v>0.99512452020640174</v>
      </c>
      <c r="G1888" s="1081">
        <v>1.0115691471497381</v>
      </c>
      <c r="H1888" s="1081">
        <v>1.0342836771151847</v>
      </c>
      <c r="I1888" s="1081">
        <v>1.0189758733490684</v>
      </c>
      <c r="K1888">
        <v>2.3941680357773647</v>
      </c>
      <c r="L1888">
        <v>0</v>
      </c>
      <c r="M1888">
        <v>1.6529118820962807E-3</v>
      </c>
      <c r="N1888">
        <v>0.14896571993460661</v>
      </c>
      <c r="O1888">
        <v>2.0282020381863854E-2</v>
      </c>
      <c r="P1888">
        <v>2.8214915377650439E-2</v>
      </c>
      <c r="Q1888">
        <v>5.2893645581142939E-3</v>
      </c>
      <c r="R1888">
        <v>1.6318170414372764E-3</v>
      </c>
      <c r="S1888">
        <v>0.25823638817207073</v>
      </c>
      <c r="T1888">
        <v>1.3648784322349745</v>
      </c>
      <c r="U1888">
        <v>0.20445599229931141</v>
      </c>
      <c r="V1888">
        <v>0.24530979977684006</v>
      </c>
      <c r="W1888">
        <v>9.8057534808940555E-2</v>
      </c>
      <c r="X1888">
        <v>1.6057695015203956E-2</v>
      </c>
      <c r="Y1888">
        <v>4.4412680584491292E-3</v>
      </c>
    </row>
    <row r="1889" spans="1:25" x14ac:dyDescent="0.2">
      <c r="A1889" s="1077"/>
      <c r="B1889" s="1444">
        <v>1639</v>
      </c>
      <c r="C1889" s="1081">
        <v>1.0390127471886221</v>
      </c>
      <c r="D1889" s="1081">
        <v>0.99092829095881441</v>
      </c>
      <c r="E1889" s="1081">
        <v>1.0067188984735418</v>
      </c>
      <c r="F1889" s="1081">
        <v>1.0158467036819578</v>
      </c>
      <c r="G1889" s="1081">
        <v>1.0171673657618487</v>
      </c>
      <c r="H1889" s="1081">
        <v>1.0275083024305312</v>
      </c>
      <c r="I1889" s="1081">
        <v>0.97530762733492604</v>
      </c>
      <c r="K1889">
        <v>2.4113965894850464</v>
      </c>
      <c r="L1889">
        <v>0</v>
      </c>
      <c r="M1889">
        <v>1.6043782548724316E-3</v>
      </c>
      <c r="N1889">
        <v>0.14905909038994916</v>
      </c>
      <c r="O1889">
        <v>2.0242467666147654E-2</v>
      </c>
      <c r="P1889">
        <v>2.8659582684627663E-2</v>
      </c>
      <c r="Q1889">
        <v>5.3328734697319791E-3</v>
      </c>
      <c r="R1889">
        <v>1.5837677967254283E-3</v>
      </c>
      <c r="S1889">
        <v>0.2461285414526897</v>
      </c>
      <c r="T1889">
        <v>1.3935222703992141</v>
      </c>
      <c r="U1889">
        <v>0.20403634537030682</v>
      </c>
      <c r="V1889">
        <v>0.24609525548169789</v>
      </c>
      <c r="W1889">
        <v>9.7532464805066985E-2</v>
      </c>
      <c r="X1889">
        <v>1.6497814369986052E-2</v>
      </c>
      <c r="Y1889">
        <v>4.3104938537727386E-3</v>
      </c>
    </row>
    <row r="1890" spans="1:25" x14ac:dyDescent="0.2">
      <c r="A1890" s="1077"/>
      <c r="B1890" s="1444">
        <v>1640</v>
      </c>
      <c r="C1890" s="1081">
        <v>1.0078360950070053</v>
      </c>
      <c r="D1890" s="1081">
        <v>0.96256091160811885</v>
      </c>
      <c r="E1890" s="1081">
        <v>1.0064988294625303</v>
      </c>
      <c r="F1890" s="1081">
        <v>1.0247847999527735</v>
      </c>
      <c r="G1890" s="1081">
        <v>1.013449895075845</v>
      </c>
      <c r="H1890" s="1081">
        <v>1.0070615194008659</v>
      </c>
      <c r="I1890" s="1081">
        <v>0.97575432924027738</v>
      </c>
      <c r="K1890">
        <v>2.4467874126136295</v>
      </c>
      <c r="L1890">
        <v>0</v>
      </c>
      <c r="M1890">
        <v>1.6322321638185869E-3</v>
      </c>
      <c r="N1890">
        <v>0.15150614747781085</v>
      </c>
      <c r="O1890">
        <v>2.1002281637054015E-2</v>
      </c>
      <c r="P1890">
        <v>2.9060049614742553E-2</v>
      </c>
      <c r="Q1890">
        <v>5.5318269269885268E-3</v>
      </c>
      <c r="R1890">
        <v>1.6108381560877741E-3</v>
      </c>
      <c r="S1890">
        <v>0.25588153387605211</v>
      </c>
      <c r="T1890">
        <v>1.4057785238670308</v>
      </c>
      <c r="U1890">
        <v>0.21034730921033373</v>
      </c>
      <c r="V1890">
        <v>0.24731917191477146</v>
      </c>
      <c r="W1890">
        <v>9.9146524965683269E-2</v>
      </c>
      <c r="X1890">
        <v>1.6851266682675677E-2</v>
      </c>
      <c r="Y1890">
        <v>4.3841704482154792E-3</v>
      </c>
    </row>
    <row r="1891" spans="1:25" x14ac:dyDescent="0.2">
      <c r="A1891" s="1077"/>
      <c r="B1891" s="1444">
        <v>1641</v>
      </c>
      <c r="C1891" s="1081">
        <v>1.0165190247097375</v>
      </c>
      <c r="D1891" s="1081">
        <v>1.031318327548276</v>
      </c>
      <c r="E1891" s="1081">
        <v>1.0451709358421888</v>
      </c>
      <c r="F1891" s="1081">
        <v>0.99587828052195859</v>
      </c>
      <c r="G1891" s="1081">
        <v>0.98355736132964722</v>
      </c>
      <c r="H1891" s="1081">
        <v>0.96351096698807415</v>
      </c>
      <c r="I1891" s="1081">
        <v>1.0048523278747574</v>
      </c>
      <c r="K1891">
        <v>2.3836358134460824</v>
      </c>
      <c r="L1891">
        <v>0</v>
      </c>
      <c r="M1891">
        <v>1.4069857079123081E-3</v>
      </c>
      <c r="N1891">
        <v>0.14666372534186969</v>
      </c>
      <c r="O1891">
        <v>2.0534373863061128E-2</v>
      </c>
      <c r="P1891">
        <v>2.9141863898920164E-2</v>
      </c>
      <c r="Q1891">
        <v>5.6198830556072324E-3</v>
      </c>
      <c r="R1891">
        <v>1.3877104924217589E-3</v>
      </c>
      <c r="S1891">
        <v>0.24905849004118805</v>
      </c>
      <c r="T1891">
        <v>1.3669623051127899</v>
      </c>
      <c r="U1891">
        <v>0.20868110706474019</v>
      </c>
      <c r="V1891">
        <v>0.24155394539690472</v>
      </c>
      <c r="W1891">
        <v>9.3840089821613432E-2</v>
      </c>
      <c r="X1891">
        <v>1.7822414563145653E-2</v>
      </c>
      <c r="Y1891">
        <v>3.7768905017311473E-3</v>
      </c>
    </row>
    <row r="1892" spans="1:25" x14ac:dyDescent="0.2">
      <c r="A1892" s="1077"/>
      <c r="B1892" s="1444">
        <v>1642</v>
      </c>
      <c r="C1892" s="1081">
        <v>0.96528969430377021</v>
      </c>
      <c r="D1892" s="1081">
        <v>0.9858431708692843</v>
      </c>
      <c r="E1892" s="1081">
        <v>0.97412344936148665</v>
      </c>
      <c r="F1892" s="1081">
        <v>1.0016530115326412</v>
      </c>
      <c r="G1892" s="1081">
        <v>1.0189240403043474</v>
      </c>
      <c r="H1892" s="1081">
        <v>0.99098494437479878</v>
      </c>
      <c r="I1892" s="1081">
        <v>0.97523119414388282</v>
      </c>
      <c r="K1892">
        <v>2.4324606621388427</v>
      </c>
      <c r="L1892">
        <v>0</v>
      </c>
      <c r="M1892">
        <v>1.7838692070007943E-3</v>
      </c>
      <c r="N1892">
        <v>0.1501093803728295</v>
      </c>
      <c r="O1892">
        <v>2.179069537942541E-2</v>
      </c>
      <c r="P1892">
        <v>2.818448405847265E-2</v>
      </c>
      <c r="Q1892">
        <v>5.5547376154818267E-3</v>
      </c>
      <c r="R1892">
        <v>1.7601083461642195E-3</v>
      </c>
      <c r="S1892">
        <v>0.26216818899393934</v>
      </c>
      <c r="T1892">
        <v>1.3733468343314337</v>
      </c>
      <c r="U1892">
        <v>0.21950417307220838</v>
      </c>
      <c r="V1892">
        <v>0.2511017801576268</v>
      </c>
      <c r="W1892">
        <v>0.10015585751816736</v>
      </c>
      <c r="X1892">
        <v>1.5777856801394648E-2</v>
      </c>
      <c r="Y1892">
        <v>4.7904346986986307E-3</v>
      </c>
    </row>
    <row r="1893" spans="1:25" x14ac:dyDescent="0.2">
      <c r="A1893" s="1077"/>
      <c r="B1893" s="1444">
        <v>1643</v>
      </c>
      <c r="C1893" s="1081">
        <v>0.9993956127722371</v>
      </c>
      <c r="D1893" s="1081">
        <v>1.0272993875603698</v>
      </c>
      <c r="E1893" s="1081">
        <v>0.96949587926995451</v>
      </c>
      <c r="F1893" s="1081">
        <v>0.99152756331266323</v>
      </c>
      <c r="G1893" s="1081">
        <v>1.0108200923576762</v>
      </c>
      <c r="H1893" s="1081">
        <v>0.96341830923027927</v>
      </c>
      <c r="I1893" s="1081">
        <v>0.99675063807344821</v>
      </c>
      <c r="K1893">
        <v>2.3754766461740529</v>
      </c>
      <c r="L1893">
        <v>0</v>
      </c>
      <c r="M1893">
        <v>1.6758906499949621E-3</v>
      </c>
      <c r="N1893">
        <v>0.13900751953960933</v>
      </c>
      <c r="O1893">
        <v>2.0854144249538527E-2</v>
      </c>
      <c r="P1893">
        <v>2.7603997219678492E-2</v>
      </c>
      <c r="Q1893">
        <v>5.290939653725347E-3</v>
      </c>
      <c r="R1893">
        <v>1.6529293220831391E-3</v>
      </c>
      <c r="S1893">
        <v>0.25116472088323261</v>
      </c>
      <c r="T1893">
        <v>1.3593653744931735</v>
      </c>
      <c r="U1893">
        <v>0.21199749900087611</v>
      </c>
      <c r="V1893">
        <v>0.24752922449662318</v>
      </c>
      <c r="W1893">
        <v>9.300970074201477E-2</v>
      </c>
      <c r="X1893">
        <v>1.5177758496784658E-2</v>
      </c>
      <c r="Y1893">
        <v>4.4987287267057212E-3</v>
      </c>
    </row>
    <row r="1894" spans="1:25" x14ac:dyDescent="0.2">
      <c r="A1894" s="1077"/>
      <c r="B1894" s="1444">
        <v>1644</v>
      </c>
      <c r="C1894" s="1081">
        <v>1.0132834128739239</v>
      </c>
      <c r="D1894" s="1081">
        <v>0.99251714799391921</v>
      </c>
      <c r="E1894" s="1081">
        <v>1.0359978253836641</v>
      </c>
      <c r="F1894" s="1081">
        <v>0.98001638889372578</v>
      </c>
      <c r="G1894" s="1081">
        <v>1.0170832816295101</v>
      </c>
      <c r="H1894" s="1081">
        <v>0.98121798904541002</v>
      </c>
      <c r="I1894" s="1081">
        <v>1.0005131095255611</v>
      </c>
      <c r="K1894">
        <v>2.3798308105051991</v>
      </c>
      <c r="L1894">
        <v>0</v>
      </c>
      <c r="M1894">
        <v>1.4776158164726558E-3</v>
      </c>
      <c r="N1894">
        <v>0.14986601563580565</v>
      </c>
      <c r="O1894">
        <v>2.0768421652007582E-2</v>
      </c>
      <c r="P1894">
        <v>2.8818412014759941E-2</v>
      </c>
      <c r="Q1894">
        <v>5.6329161996754775E-3</v>
      </c>
      <c r="R1894">
        <v>1.4577382942403839E-3</v>
      </c>
      <c r="S1894">
        <v>0.25503489054096212</v>
      </c>
      <c r="T1894">
        <v>1.3449940089982921</v>
      </c>
      <c r="U1894">
        <v>0.20931633511723713</v>
      </c>
      <c r="V1894">
        <v>0.24750054984129197</v>
      </c>
      <c r="W1894">
        <v>9.6396725598107066E-2</v>
      </c>
      <c r="X1894">
        <v>1.7554929335669538E-2</v>
      </c>
      <c r="Y1894">
        <v>3.9674830936227761E-3</v>
      </c>
    </row>
    <row r="1895" spans="1:25" x14ac:dyDescent="0.2">
      <c r="A1895" s="1077"/>
      <c r="B1895" s="1444">
        <v>1645</v>
      </c>
      <c r="C1895" s="1081">
        <v>0.98728198106595244</v>
      </c>
      <c r="D1895" s="1081">
        <v>1.0435615427887199</v>
      </c>
      <c r="E1895" s="1081">
        <v>1.0294510660145944</v>
      </c>
      <c r="F1895" s="1081">
        <v>1.0301314757821045</v>
      </c>
      <c r="G1895" s="1081">
        <v>0.95846069424675229</v>
      </c>
      <c r="H1895" s="1081">
        <v>1.0120805124125614</v>
      </c>
      <c r="I1895" s="1081">
        <v>1.0139347376881773</v>
      </c>
      <c r="K1895">
        <v>2.4641055400001695</v>
      </c>
      <c r="L1895">
        <v>0</v>
      </c>
      <c r="M1895">
        <v>1.5683256486452102E-3</v>
      </c>
      <c r="N1895">
        <v>0.15602314785987367</v>
      </c>
      <c r="O1895">
        <v>2.1077123404411112E-2</v>
      </c>
      <c r="P1895">
        <v>2.9686799034038185E-2</v>
      </c>
      <c r="Q1895">
        <v>5.6798158501742873E-3</v>
      </c>
      <c r="R1895">
        <v>1.5478712177393965E-3</v>
      </c>
      <c r="S1895">
        <v>0.26131019185884563</v>
      </c>
      <c r="T1895">
        <v>1.4136261656925546</v>
      </c>
      <c r="U1895">
        <v>0.21480619127938771</v>
      </c>
      <c r="V1895">
        <v>0.23914341222333507</v>
      </c>
      <c r="W1895">
        <v>0.10073840174300228</v>
      </c>
      <c r="X1895">
        <v>1.7821950286372394E-2</v>
      </c>
      <c r="Y1895">
        <v>4.2127951990768428E-3</v>
      </c>
    </row>
    <row r="1896" spans="1:25" x14ac:dyDescent="0.2">
      <c r="A1896" s="1077"/>
      <c r="B1896" s="1444">
        <v>1646</v>
      </c>
      <c r="C1896" s="1081">
        <v>0.99464147162948069</v>
      </c>
      <c r="D1896" s="1081">
        <v>1.0097277794089838</v>
      </c>
      <c r="E1896" s="1081">
        <v>1.0247845785250369</v>
      </c>
      <c r="F1896" s="1081">
        <v>0.96658149548009109</v>
      </c>
      <c r="G1896" s="1081">
        <v>1.0140509096011521</v>
      </c>
      <c r="H1896" s="1081">
        <v>0.98926475174401163</v>
      </c>
      <c r="I1896" s="1081">
        <v>0.9956329965496522</v>
      </c>
      <c r="K1896">
        <v>2.371108619144938</v>
      </c>
      <c r="L1896">
        <v>0</v>
      </c>
      <c r="M1896">
        <v>1.5476709475063849E-3</v>
      </c>
      <c r="N1896">
        <v>0.15177083590857085</v>
      </c>
      <c r="O1896">
        <v>2.1070299678936966E-2</v>
      </c>
      <c r="P1896">
        <v>2.8414955627293435E-2</v>
      </c>
      <c r="Q1896">
        <v>5.6517993784574432E-3</v>
      </c>
      <c r="R1896">
        <v>1.5270203646739026E-3</v>
      </c>
      <c r="S1896">
        <v>0.25691704459403808</v>
      </c>
      <c r="T1896">
        <v>1.3263198912392724</v>
      </c>
      <c r="U1896">
        <v>0.21320070751933828</v>
      </c>
      <c r="V1896">
        <v>0.24817756274942995</v>
      </c>
      <c r="W1896">
        <v>9.8259244583090738E-2</v>
      </c>
      <c r="X1896">
        <v>1.7190882398826209E-2</v>
      </c>
      <c r="Y1896">
        <v>4.1560460505144347E-3</v>
      </c>
    </row>
    <row r="1897" spans="1:25" x14ac:dyDescent="0.2">
      <c r="A1897" s="1077"/>
      <c r="B1897" s="1444">
        <v>1647</v>
      </c>
      <c r="C1897" s="1081">
        <v>1.0391877104163423</v>
      </c>
      <c r="D1897" s="1081">
        <v>1.0230335402237274</v>
      </c>
      <c r="E1897" s="1081">
        <v>0.96698118869714356</v>
      </c>
      <c r="F1897" s="1081">
        <v>1.0063289704712528</v>
      </c>
      <c r="G1897" s="1081">
        <v>0.9830237038347226</v>
      </c>
      <c r="H1897" s="1081">
        <v>1.0052332265400328</v>
      </c>
      <c r="I1897" s="1081">
        <v>1.0303673969819174</v>
      </c>
      <c r="K1897">
        <v>2.3825640441909233</v>
      </c>
      <c r="L1897">
        <v>0</v>
      </c>
      <c r="M1897">
        <v>1.6919698410927865E-3</v>
      </c>
      <c r="N1897">
        <v>0.13935702922002324</v>
      </c>
      <c r="O1897">
        <v>2.0072385540704719E-2</v>
      </c>
      <c r="P1897">
        <v>2.7650865246910638E-2</v>
      </c>
      <c r="Q1897">
        <v>5.079513286364727E-3</v>
      </c>
      <c r="R1897">
        <v>1.6697525041822882E-3</v>
      </c>
      <c r="S1897">
        <v>0.25370054797126829</v>
      </c>
      <c r="T1897">
        <v>1.3796034520689187</v>
      </c>
      <c r="U1897">
        <v>0.20387155951581515</v>
      </c>
      <c r="V1897">
        <v>0.24039806671678393</v>
      </c>
      <c r="W1897">
        <v>9.3386578040269591E-2</v>
      </c>
      <c r="X1897">
        <v>1.4921748038154794E-2</v>
      </c>
      <c r="Y1897">
        <v>4.5445158826191174E-3</v>
      </c>
    </row>
    <row r="1898" spans="1:25" x14ac:dyDescent="0.2">
      <c r="A1898" s="1077"/>
      <c r="B1898" s="1444">
        <v>1648</v>
      </c>
      <c r="C1898" s="1081">
        <v>1.0281605146318979</v>
      </c>
      <c r="D1898" s="1081">
        <v>0.98046394696796535</v>
      </c>
      <c r="E1898" s="1081">
        <v>0.99052792517822863</v>
      </c>
      <c r="F1898" s="1081">
        <v>1.01884776410449</v>
      </c>
      <c r="G1898" s="1081">
        <v>1.0048162819447286</v>
      </c>
      <c r="H1898" s="1081">
        <v>1.0433419763777014</v>
      </c>
      <c r="I1898" s="1081">
        <v>0.99397193461059319</v>
      </c>
      <c r="K1898">
        <v>2.4298064119801426</v>
      </c>
      <c r="L1898">
        <v>0</v>
      </c>
      <c r="M1898">
        <v>1.706495083077808E-3</v>
      </c>
      <c r="N1898">
        <v>0.15100670157566445</v>
      </c>
      <c r="O1898">
        <v>2.0493465295825287E-2</v>
      </c>
      <c r="P1898">
        <v>2.8509559200144096E-2</v>
      </c>
      <c r="Q1898">
        <v>5.3117757730835368E-3</v>
      </c>
      <c r="R1898">
        <v>1.6849054839177715E-3</v>
      </c>
      <c r="S1898">
        <v>0.25601269695449569</v>
      </c>
      <c r="T1898">
        <v>1.3972823949733209</v>
      </c>
      <c r="U1898">
        <v>0.20613613183728832</v>
      </c>
      <c r="V1898">
        <v>0.24467926938492465</v>
      </c>
      <c r="W1898">
        <v>9.9763290042148942E-2</v>
      </c>
      <c r="X1898">
        <v>1.604695924412692E-2</v>
      </c>
      <c r="Y1898">
        <v>4.5857572982806747E-3</v>
      </c>
    </row>
    <row r="1899" spans="1:25" x14ac:dyDescent="0.2">
      <c r="A1899" s="1077"/>
      <c r="B1899" s="1444">
        <v>1649</v>
      </c>
      <c r="C1899" s="1081">
        <v>1.0208978789601511</v>
      </c>
      <c r="D1899" s="1081">
        <v>1.0250299129807661</v>
      </c>
      <c r="E1899" s="1081">
        <v>1.0064272548140303</v>
      </c>
      <c r="F1899" s="1081">
        <v>1.0151837635988235</v>
      </c>
      <c r="G1899" s="1081">
        <v>0.99930638892764223</v>
      </c>
      <c r="H1899" s="1081">
        <v>0.9750951785063201</v>
      </c>
      <c r="I1899" s="1081">
        <v>1.0106651149473189</v>
      </c>
      <c r="K1899">
        <v>2.4066033686710973</v>
      </c>
      <c r="L1899">
        <v>0</v>
      </c>
      <c r="M1899">
        <v>1.5389951776051171E-3</v>
      </c>
      <c r="N1899">
        <v>0.14275869921599488</v>
      </c>
      <c r="O1899">
        <v>2.044867963496616E-2</v>
      </c>
      <c r="P1899">
        <v>2.8728078840052663E-2</v>
      </c>
      <c r="Q1899">
        <v>5.3856266453078151E-3</v>
      </c>
      <c r="R1899">
        <v>1.518161954328024E-3</v>
      </c>
      <c r="S1899">
        <v>0.25085278131141514</v>
      </c>
      <c r="T1899">
        <v>1.3926064478500118</v>
      </c>
      <c r="U1899">
        <v>0.20765580003075099</v>
      </c>
      <c r="V1899">
        <v>0.2441123971724099</v>
      </c>
      <c r="W1899">
        <v>9.3426096794405514E-2</v>
      </c>
      <c r="X1899">
        <v>1.6517658021331254E-2</v>
      </c>
      <c r="Y1899">
        <v>4.1319363777271405E-3</v>
      </c>
    </row>
    <row r="1900" spans="1:25" x14ac:dyDescent="0.2">
      <c r="A1900" s="1077"/>
      <c r="B1900" s="1444">
        <v>1650</v>
      </c>
      <c r="C1900" s="1081">
        <v>1.0038200823968746</v>
      </c>
      <c r="D1900" s="1081">
        <v>1.0232897712907831</v>
      </c>
      <c r="E1900" s="1081">
        <v>1.0120337605302516</v>
      </c>
      <c r="F1900" s="1081">
        <v>0.99527449533072587</v>
      </c>
      <c r="G1900" s="1081">
        <v>0.95822896192306883</v>
      </c>
      <c r="H1900" s="1081">
        <v>0.99498898086883614</v>
      </c>
      <c r="I1900" s="1081">
        <v>1.0290701534242261</v>
      </c>
      <c r="K1900">
        <v>2.3986508854324393</v>
      </c>
      <c r="L1900">
        <v>0</v>
      </c>
      <c r="M1900">
        <v>1.5792082890850978E-3</v>
      </c>
      <c r="N1900">
        <v>0.14903050593118611</v>
      </c>
      <c r="O1900">
        <v>2.0808037580270371E-2</v>
      </c>
      <c r="P1900">
        <v>2.8589658679644882E-2</v>
      </c>
      <c r="Q1900">
        <v>5.5110852113665777E-3</v>
      </c>
      <c r="R1900">
        <v>1.5582581282132268E-3</v>
      </c>
      <c r="S1900">
        <v>0.26176012427712725</v>
      </c>
      <c r="T1900">
        <v>1.3654162656019182</v>
      </c>
      <c r="U1900">
        <v>0.21120772661585693</v>
      </c>
      <c r="V1900">
        <v>0.23811988882939281</v>
      </c>
      <c r="W1900">
        <v>9.7208477039971708E-2</v>
      </c>
      <c r="X1900">
        <v>1.6779000881234005E-2</v>
      </c>
      <c r="Y1900">
        <v>4.2410649453424928E-3</v>
      </c>
    </row>
    <row r="1901" spans="1:25" x14ac:dyDescent="0.2">
      <c r="A1901" s="1077"/>
      <c r="B1901" s="1444">
        <v>1651</v>
      </c>
      <c r="C1901" s="1081">
        <v>1.0034366226299201</v>
      </c>
      <c r="D1901" s="1081">
        <v>0.98553605353278029</v>
      </c>
      <c r="E1901" s="1081">
        <v>1.004130423903258</v>
      </c>
      <c r="F1901" s="1081">
        <v>0.99643299349137648</v>
      </c>
      <c r="G1901" s="1081">
        <v>1.0382559735167536</v>
      </c>
      <c r="H1901" s="1081">
        <v>1.0338859883310392</v>
      </c>
      <c r="I1901" s="1081">
        <v>1.0401646853135509</v>
      </c>
      <c r="K1901">
        <v>2.436285007570743</v>
      </c>
      <c r="L1901">
        <v>0</v>
      </c>
      <c r="M1901">
        <v>1.6825971566300135E-3</v>
      </c>
      <c r="N1901">
        <v>0.15512140686185971</v>
      </c>
      <c r="O1901">
        <v>2.0983606958227177E-2</v>
      </c>
      <c r="P1901">
        <v>2.8785821341484028E-2</v>
      </c>
      <c r="Q1901">
        <v>5.5138045907012533E-3</v>
      </c>
      <c r="R1901">
        <v>1.6611152057373687E-3</v>
      </c>
      <c r="S1901">
        <v>0.2730866596130016</v>
      </c>
      <c r="T1901">
        <v>1.3668350079545215</v>
      </c>
      <c r="U1901">
        <v>0.21126148225967864</v>
      </c>
      <c r="V1901">
        <v>0.25183490423113647</v>
      </c>
      <c r="W1901">
        <v>0.10165476799840013</v>
      </c>
      <c r="X1901">
        <v>1.6708019709089483E-2</v>
      </c>
      <c r="Y1901">
        <v>4.5210080035367134E-3</v>
      </c>
    </row>
    <row r="1902" spans="1:25" x14ac:dyDescent="0.2">
      <c r="A1902" s="1077"/>
      <c r="B1902" s="1444">
        <v>1652</v>
      </c>
      <c r="C1902" s="1081">
        <v>0.98462364071157904</v>
      </c>
      <c r="D1902" s="1081">
        <v>1.0008572981894901</v>
      </c>
      <c r="E1902" s="1081">
        <v>0.99576122134640088</v>
      </c>
      <c r="F1902" s="1081">
        <v>1.002188880682702</v>
      </c>
      <c r="G1902" s="1081">
        <v>0.97788285887144299</v>
      </c>
      <c r="H1902" s="1081">
        <v>1.0117741671217839</v>
      </c>
      <c r="I1902" s="1081">
        <v>1.0030604483338934</v>
      </c>
      <c r="K1902">
        <v>2.4268915728514573</v>
      </c>
      <c r="L1902">
        <v>0</v>
      </c>
      <c r="M1902">
        <v>1.7016736164915459E-3</v>
      </c>
      <c r="N1902">
        <v>0.15291984090692112</v>
      </c>
      <c r="O1902">
        <v>2.1306443450968944E-2</v>
      </c>
      <c r="P1902">
        <v>2.852358066812145E-2</v>
      </c>
      <c r="Q1902">
        <v>5.5517327484189243E-3</v>
      </c>
      <c r="R1902">
        <v>1.6794733137381649E-3</v>
      </c>
      <c r="S1902">
        <v>0.26433458301183232</v>
      </c>
      <c r="T1902">
        <v>1.3745491139650603</v>
      </c>
      <c r="U1902">
        <v>0.21526895340505728</v>
      </c>
      <c r="V1902">
        <v>0.24274322565201184</v>
      </c>
      <c r="W1902">
        <v>0.10071176778980559</v>
      </c>
      <c r="X1902">
        <v>1.6433558834248928E-2</v>
      </c>
      <c r="Y1902">
        <v>4.5709727217662045E-3</v>
      </c>
    </row>
    <row r="1903" spans="1:25" x14ac:dyDescent="0.2">
      <c r="A1903" s="1077"/>
      <c r="B1903" s="1444">
        <v>1653</v>
      </c>
      <c r="C1903" s="1081">
        <v>1.0079065433904848</v>
      </c>
      <c r="D1903" s="1081">
        <v>1.0180932256351161</v>
      </c>
      <c r="E1903" s="1081">
        <v>1.0084475186326078</v>
      </c>
      <c r="F1903" s="1081">
        <v>0.99842674156364075</v>
      </c>
      <c r="G1903" s="1081">
        <v>1.0003106145481675</v>
      </c>
      <c r="H1903" s="1081">
        <v>0.97528751822488369</v>
      </c>
      <c r="I1903" s="1081">
        <v>1.0076495801165188</v>
      </c>
      <c r="K1903">
        <v>2.3948048020420885</v>
      </c>
      <c r="L1903">
        <v>0</v>
      </c>
      <c r="M1903">
        <v>1.5549329473988703E-3</v>
      </c>
      <c r="N1903">
        <v>0.14512007679765696</v>
      </c>
      <c r="O1903">
        <v>2.0744542404663686E-2</v>
      </c>
      <c r="P1903">
        <v>2.8552235497861338E-2</v>
      </c>
      <c r="Q1903">
        <v>5.4746094884453407E-3</v>
      </c>
      <c r="R1903">
        <v>1.5338881272696108E-3</v>
      </c>
      <c r="S1903">
        <v>0.25422275307992964</v>
      </c>
      <c r="T1903">
        <v>1.369663229588761</v>
      </c>
      <c r="U1903">
        <v>0.21033922331431282</v>
      </c>
      <c r="V1903">
        <v>0.24506449616147302</v>
      </c>
      <c r="W1903">
        <v>9.4858161016089196E-2</v>
      </c>
      <c r="X1903">
        <v>1.6611781676676655E-2</v>
      </c>
      <c r="Y1903">
        <v>4.1747378363426223E-3</v>
      </c>
    </row>
    <row r="1904" spans="1:25" x14ac:dyDescent="0.2">
      <c r="A1904" s="1077"/>
      <c r="B1904" s="1444">
        <v>1654</v>
      </c>
      <c r="C1904" s="1081">
        <v>0.97645803863018887</v>
      </c>
      <c r="D1904" s="1081">
        <v>0.95911284877873393</v>
      </c>
      <c r="E1904" s="1081">
        <v>0.98448557464338105</v>
      </c>
      <c r="F1904" s="1081">
        <v>0.9979915021090866</v>
      </c>
      <c r="G1904" s="1081">
        <v>1.006105135484165</v>
      </c>
      <c r="H1904" s="1081">
        <v>0.99564422742991499</v>
      </c>
      <c r="I1904" s="1081">
        <v>0.99347968210421556</v>
      </c>
      <c r="K1904">
        <v>2.4302736533169642</v>
      </c>
      <c r="L1904">
        <v>0</v>
      </c>
      <c r="M1904">
        <v>1.7447217300575032E-3</v>
      </c>
      <c r="N1904">
        <v>0.15150091070242086</v>
      </c>
      <c r="O1904">
        <v>2.1679212445625436E-2</v>
      </c>
      <c r="P1904">
        <v>2.8350483374685594E-2</v>
      </c>
      <c r="Q1904">
        <v>5.5848530318798788E-3</v>
      </c>
      <c r="R1904">
        <v>1.7215910602847758E-3</v>
      </c>
      <c r="S1904">
        <v>0.26820568046517301</v>
      </c>
      <c r="T1904">
        <v>1.3685493195603338</v>
      </c>
      <c r="U1904">
        <v>0.21702972368715884</v>
      </c>
      <c r="V1904">
        <v>0.24813410349349521</v>
      </c>
      <c r="W1904">
        <v>0.10045346520323357</v>
      </c>
      <c r="X1904">
        <v>1.6123428678977442E-2</v>
      </c>
      <c r="Y1904">
        <v>4.6856033437546619E-3</v>
      </c>
    </row>
    <row r="1905" spans="1:25" x14ac:dyDescent="0.2">
      <c r="A1905" s="1077"/>
      <c r="B1905" s="1444">
        <v>1655</v>
      </c>
      <c r="C1905" s="1081">
        <v>0.98268587854548406</v>
      </c>
      <c r="D1905" s="1081">
        <v>1.0031215147267052</v>
      </c>
      <c r="E1905" s="1081">
        <v>0.97952100196861513</v>
      </c>
      <c r="F1905" s="1081">
        <v>1.0330824666281717</v>
      </c>
      <c r="G1905" s="1081">
        <v>0.98966857751250914</v>
      </c>
      <c r="H1905" s="1081">
        <v>1.0044888330389432</v>
      </c>
      <c r="I1905" s="1081">
        <v>0.99392428716777248</v>
      </c>
      <c r="K1905">
        <v>2.4639800451635354</v>
      </c>
      <c r="L1905">
        <v>0</v>
      </c>
      <c r="M1905">
        <v>1.7497631925551655E-3</v>
      </c>
      <c r="N1905">
        <v>0.14969148642945543</v>
      </c>
      <c r="O1905">
        <v>2.1326908125915263E-2</v>
      </c>
      <c r="P1905">
        <v>2.8735916948517629E-2</v>
      </c>
      <c r="Q1905">
        <v>5.4664721977476438E-3</v>
      </c>
      <c r="R1905">
        <v>1.726769941461404E-3</v>
      </c>
      <c r="S1905">
        <v>0.26138702210379899</v>
      </c>
      <c r="T1905">
        <v>1.4165591681518148</v>
      </c>
      <c r="U1905">
        <v>0.21563706351787792</v>
      </c>
      <c r="V1905">
        <v>0.24493891421865738</v>
      </c>
      <c r="W1905">
        <v>9.9551225643465843E-2</v>
      </c>
      <c r="X1905">
        <v>1.6009162526274844E-2</v>
      </c>
      <c r="Y1905">
        <v>4.6996985510997227E-3</v>
      </c>
    </row>
    <row r="1906" spans="1:25" x14ac:dyDescent="0.2">
      <c r="A1906" s="1077"/>
      <c r="B1906" s="1444">
        <v>1656</v>
      </c>
      <c r="C1906" s="1081">
        <v>1.0288178098752583</v>
      </c>
      <c r="D1906" s="1081">
        <v>0.98750207105902277</v>
      </c>
      <c r="E1906" s="1081">
        <v>1.0119651863115957</v>
      </c>
      <c r="F1906" s="1081">
        <v>1.0060226498021594</v>
      </c>
      <c r="G1906" s="1081">
        <v>0.99012596628963334</v>
      </c>
      <c r="H1906" s="1081">
        <v>1.0069344327757312</v>
      </c>
      <c r="I1906" s="1081">
        <v>0.98128739419053168</v>
      </c>
      <c r="K1906">
        <v>2.3976230237946043</v>
      </c>
      <c r="L1906">
        <v>0</v>
      </c>
      <c r="M1906">
        <v>1.5718205697672408E-3</v>
      </c>
      <c r="N1906">
        <v>0.14832627652515917</v>
      </c>
      <c r="O1906">
        <v>2.0462039675992756E-2</v>
      </c>
      <c r="P1906">
        <v>2.8597493369475813E-2</v>
      </c>
      <c r="Q1906">
        <v>5.4190753173665668E-3</v>
      </c>
      <c r="R1906">
        <v>1.5512157891812842E-3</v>
      </c>
      <c r="S1906">
        <v>0.24889182189807316</v>
      </c>
      <c r="T1906">
        <v>1.3801601542939155</v>
      </c>
      <c r="U1906">
        <v>0.20607567312952341</v>
      </c>
      <c r="V1906">
        <v>0.24205484826884446</v>
      </c>
      <c r="W1906">
        <v>9.6753033801956032E-2</v>
      </c>
      <c r="X1906">
        <v>1.66813142748794E-2</v>
      </c>
      <c r="Y1906">
        <v>4.2218980200039819E-3</v>
      </c>
    </row>
    <row r="1907" spans="1:25" x14ac:dyDescent="0.2">
      <c r="A1907" s="1077"/>
      <c r="B1907" s="1444">
        <v>1657</v>
      </c>
      <c r="C1907" s="1081">
        <v>0.98761868657879937</v>
      </c>
      <c r="D1907" s="1081">
        <v>1.0046080200871355</v>
      </c>
      <c r="E1907" s="1081">
        <v>1.0105786452140502</v>
      </c>
      <c r="F1907" s="1081">
        <v>0.98574001911704767</v>
      </c>
      <c r="G1907" s="1081">
        <v>1.0425064103416068</v>
      </c>
      <c r="H1907" s="1081">
        <v>0.97999600119165498</v>
      </c>
      <c r="I1907" s="1081">
        <v>0.98950741243936113</v>
      </c>
      <c r="K1907">
        <v>2.4011325247768971</v>
      </c>
      <c r="L1907">
        <v>0</v>
      </c>
      <c r="M1907">
        <v>1.5921559546359983E-3</v>
      </c>
      <c r="N1907">
        <v>0.14956306581500792</v>
      </c>
      <c r="O1907">
        <v>2.1234308846753078E-2</v>
      </c>
      <c r="P1907">
        <v>2.8571312940577558E-2</v>
      </c>
      <c r="Q1907">
        <v>5.6158159650565942E-3</v>
      </c>
      <c r="R1907">
        <v>1.5707108820648425E-3</v>
      </c>
      <c r="S1907">
        <v>0.25690215054684185</v>
      </c>
      <c r="T1907">
        <v>1.3523048329091072</v>
      </c>
      <c r="U1907">
        <v>0.21466743977869199</v>
      </c>
      <c r="V1907">
        <v>0.25353247672082269</v>
      </c>
      <c r="W1907">
        <v>9.7639508366016994E-2</v>
      </c>
      <c r="X1907">
        <v>1.6848100724314544E-2</v>
      </c>
      <c r="Y1907">
        <v>4.2749572362773876E-3</v>
      </c>
    </row>
    <row r="1908" spans="1:25" x14ac:dyDescent="0.2">
      <c r="A1908" s="1077"/>
      <c r="B1908" s="1444">
        <v>1658</v>
      </c>
      <c r="C1908" s="1081">
        <v>1.0235779323623364</v>
      </c>
      <c r="D1908" s="1081">
        <v>1.0334021027447013</v>
      </c>
      <c r="E1908" s="1081">
        <v>0.96608422181799114</v>
      </c>
      <c r="F1908" s="1081">
        <v>1.0283823530011036</v>
      </c>
      <c r="G1908" s="1081">
        <v>0.97741368962238873</v>
      </c>
      <c r="H1908" s="1081">
        <v>1.0307972118783681</v>
      </c>
      <c r="I1908" s="1081">
        <v>1.0214368388266897</v>
      </c>
      <c r="K1908">
        <v>2.4284641487729193</v>
      </c>
      <c r="L1908">
        <v>0</v>
      </c>
      <c r="M1908">
        <v>1.7608095157131535E-3</v>
      </c>
      <c r="N1908">
        <v>0.14468120527009484</v>
      </c>
      <c r="O1908">
        <v>2.0332759777071868E-2</v>
      </c>
      <c r="P1908">
        <v>2.810777611076732E-2</v>
      </c>
      <c r="Q1908">
        <v>5.1406794171697193E-3</v>
      </c>
      <c r="R1908">
        <v>1.7382616541480483E-3</v>
      </c>
      <c r="S1908">
        <v>0.25620621232853946</v>
      </c>
      <c r="T1908">
        <v>1.4098172167069349</v>
      </c>
      <c r="U1908">
        <v>0.20697766450844846</v>
      </c>
      <c r="V1908">
        <v>0.2403575380039632</v>
      </c>
      <c r="W1908">
        <v>9.7007529837225187E-2</v>
      </c>
      <c r="X1908">
        <v>1.5127139469477665E-2</v>
      </c>
      <c r="Y1908">
        <v>4.7309752047906993E-3</v>
      </c>
    </row>
    <row r="1909" spans="1:25" x14ac:dyDescent="0.2">
      <c r="A1909" s="1077"/>
      <c r="B1909" s="1444">
        <v>1659</v>
      </c>
      <c r="C1909" s="1081">
        <v>0.96533580404013064</v>
      </c>
      <c r="D1909" s="1081">
        <v>1.0075971218195208</v>
      </c>
      <c r="E1909" s="1081">
        <v>1.0416137157290331</v>
      </c>
      <c r="F1909" s="1081">
        <v>1.0369921386421237</v>
      </c>
      <c r="G1909" s="1081">
        <v>0.98401711515162926</v>
      </c>
      <c r="H1909" s="1081">
        <v>0.99528970489989566</v>
      </c>
      <c r="I1909" s="1081">
        <v>1.0151162190951803</v>
      </c>
      <c r="K1909">
        <v>2.5020556221664192</v>
      </c>
      <c r="L1909">
        <v>0</v>
      </c>
      <c r="M1909">
        <v>1.5497743022551461E-3</v>
      </c>
      <c r="N1909">
        <v>0.15989741971585253</v>
      </c>
      <c r="O1909">
        <v>2.1731651775810511E-2</v>
      </c>
      <c r="P1909">
        <v>3.0369760981013526E-2</v>
      </c>
      <c r="Q1909">
        <v>5.9268276831868924E-3</v>
      </c>
      <c r="R1909">
        <v>1.5292208318554762E-3</v>
      </c>
      <c r="S1909">
        <v>0.2708654530671511</v>
      </c>
      <c r="T1909">
        <v>1.4233155581910149</v>
      </c>
      <c r="U1909">
        <v>0.2197329436736902</v>
      </c>
      <c r="V1909">
        <v>0.24490094951341973</v>
      </c>
      <c r="W1909">
        <v>0.10251668710744058</v>
      </c>
      <c r="X1909">
        <v>1.8656888931436699E-2</v>
      </c>
      <c r="Y1909">
        <v>4.1620349967988668E-3</v>
      </c>
    </row>
    <row r="1910" spans="1:25" x14ac:dyDescent="0.2">
      <c r="A1910" s="1077"/>
      <c r="B1910" s="1444">
        <v>1660</v>
      </c>
      <c r="C1910" s="1081">
        <v>0.98539948431609603</v>
      </c>
      <c r="D1910" s="1081">
        <v>1.0275901181522489</v>
      </c>
      <c r="E1910" s="1081">
        <v>0.98071499287306074</v>
      </c>
      <c r="F1910" s="1081">
        <v>0.97956593215124388</v>
      </c>
      <c r="G1910" s="1081">
        <v>0.97729916153239293</v>
      </c>
      <c r="H1910" s="1081">
        <v>0.98116321614009294</v>
      </c>
      <c r="I1910" s="1081">
        <v>0.99845465450452031</v>
      </c>
      <c r="K1910">
        <v>2.3736633032860288</v>
      </c>
      <c r="L1910">
        <v>0</v>
      </c>
      <c r="M1910">
        <v>1.6912310629017201E-3</v>
      </c>
      <c r="N1910">
        <v>0.14516174883626864</v>
      </c>
      <c r="O1910">
        <v>2.1156510474427959E-2</v>
      </c>
      <c r="P1910">
        <v>2.7674104775531144E-2</v>
      </c>
      <c r="Q1910">
        <v>5.4293807028969153E-3</v>
      </c>
      <c r="R1910">
        <v>1.6684786266082427E-3</v>
      </c>
      <c r="S1910">
        <v>0.25674113450311903</v>
      </c>
      <c r="T1910">
        <v>1.3432026705004811</v>
      </c>
      <c r="U1910">
        <v>0.21504736798018093</v>
      </c>
      <c r="V1910">
        <v>0.24264634539597743</v>
      </c>
      <c r="W1910">
        <v>9.6469187906431428E-2</v>
      </c>
      <c r="X1910">
        <v>1.5616555839211368E-2</v>
      </c>
      <c r="Y1910">
        <v>4.5410488077961943E-3</v>
      </c>
    </row>
    <row r="1911" spans="1:25" x14ac:dyDescent="0.2">
      <c r="A1911" s="1077"/>
      <c r="B1911" s="1444">
        <v>1661</v>
      </c>
      <c r="C1911" s="1081">
        <v>1.0177283049904364</v>
      </c>
      <c r="D1911" s="1081">
        <v>0.98925154804386517</v>
      </c>
      <c r="E1911" s="1081">
        <v>0.96438039645320051</v>
      </c>
      <c r="F1911" s="1081">
        <v>0.99740713532520286</v>
      </c>
      <c r="G1911" s="1081">
        <v>1.0397604227715662</v>
      </c>
      <c r="H1911" s="1081">
        <v>1.0279014021705055</v>
      </c>
      <c r="I1911" s="1081">
        <v>1.0011059796871711</v>
      </c>
      <c r="K1911">
        <v>2.4024498220260067</v>
      </c>
      <c r="L1911">
        <v>0</v>
      </c>
      <c r="M1911">
        <v>1.7892782132804437E-3</v>
      </c>
      <c r="N1911">
        <v>0.14625827143311729</v>
      </c>
      <c r="O1911">
        <v>2.0645902363768023E-2</v>
      </c>
      <c r="P1911">
        <v>2.7689959482530363E-2</v>
      </c>
      <c r="Q1911">
        <v>5.2107441223504941E-3</v>
      </c>
      <c r="R1911">
        <v>1.7663012498095696E-3</v>
      </c>
      <c r="S1911">
        <v>0.25782909556432587</v>
      </c>
      <c r="T1911">
        <v>1.3673165671623431</v>
      </c>
      <c r="U1911">
        <v>0.20816162616657014</v>
      </c>
      <c r="V1911">
        <v>0.25137167008083405</v>
      </c>
      <c r="W1911">
        <v>9.8167072354424845E-2</v>
      </c>
      <c r="X1911">
        <v>1.5014600518280862E-2</v>
      </c>
      <c r="Y1911">
        <v>4.8072897409311335E-3</v>
      </c>
    </row>
    <row r="1912" spans="1:25" x14ac:dyDescent="0.2">
      <c r="A1912" s="1077"/>
      <c r="B1912" s="1444">
        <v>1662</v>
      </c>
      <c r="C1912" s="1081">
        <v>0.96560352380145709</v>
      </c>
      <c r="D1912" s="1081">
        <v>1.0013585309276531</v>
      </c>
      <c r="E1912" s="1081">
        <v>0.99438872599957118</v>
      </c>
      <c r="F1912" s="1081">
        <v>1.0326176201230253</v>
      </c>
      <c r="G1912" s="1081">
        <v>0.97972413462850327</v>
      </c>
      <c r="H1912" s="1081">
        <v>1.0092098741385751</v>
      </c>
      <c r="I1912" s="1081">
        <v>0.99948306387460273</v>
      </c>
      <c r="K1912">
        <v>2.4839818306184238</v>
      </c>
      <c r="L1912">
        <v>0</v>
      </c>
      <c r="M1912">
        <v>1.7355344046351244E-3</v>
      </c>
      <c r="N1912">
        <v>0.15531189320126132</v>
      </c>
      <c r="O1912">
        <v>2.1722794929229201E-2</v>
      </c>
      <c r="P1912">
        <v>2.9193413982463608E-2</v>
      </c>
      <c r="Q1912">
        <v>5.6523949725059254E-3</v>
      </c>
      <c r="R1912">
        <v>1.7128348176800394E-3</v>
      </c>
      <c r="S1912">
        <v>0.26827554313688723</v>
      </c>
      <c r="T1912">
        <v>1.4162529367090892</v>
      </c>
      <c r="U1912">
        <v>0.21950439030329316</v>
      </c>
      <c r="V1912">
        <v>0.24431057815422602</v>
      </c>
      <c r="W1912">
        <v>0.10237095290120941</v>
      </c>
      <c r="X1912">
        <v>1.6747860177332166E-2</v>
      </c>
      <c r="Y1912">
        <v>4.6617717378791678E-3</v>
      </c>
    </row>
    <row r="1913" spans="1:25" x14ac:dyDescent="0.2">
      <c r="A1913" s="1077"/>
      <c r="B1913" s="1444">
        <v>1663</v>
      </c>
      <c r="C1913" s="1081">
        <v>1.0027844182716299</v>
      </c>
      <c r="D1913" s="1081">
        <v>0.95987755921845797</v>
      </c>
      <c r="E1913" s="1081">
        <v>0.97867688708289446</v>
      </c>
      <c r="F1913" s="1081">
        <v>1.015753447671881</v>
      </c>
      <c r="G1913" s="1081">
        <v>0.99889961133271155</v>
      </c>
      <c r="H1913" s="1081">
        <v>0.96988130522260585</v>
      </c>
      <c r="I1913" s="1081">
        <v>0.980424499480402</v>
      </c>
      <c r="K1913">
        <v>2.4176160882606457</v>
      </c>
      <c r="L1913">
        <v>0</v>
      </c>
      <c r="M1913">
        <v>1.6746656596517968E-3</v>
      </c>
      <c r="N1913">
        <v>0.14283356552595908</v>
      </c>
      <c r="O1913">
        <v>2.1102493212724598E-2</v>
      </c>
      <c r="P1913">
        <v>2.8264079630772643E-2</v>
      </c>
      <c r="Q1913">
        <v>5.4043096171363207E-3</v>
      </c>
      <c r="R1913">
        <v>1.6518740108076623E-3</v>
      </c>
      <c r="S1913">
        <v>0.2554206544495049</v>
      </c>
      <c r="T1913">
        <v>1.3927792118816291</v>
      </c>
      <c r="U1913">
        <v>0.21131223986932141</v>
      </c>
      <c r="V1913">
        <v>0.24524715254733173</v>
      </c>
      <c r="W1913">
        <v>9.5038878839579344E-2</v>
      </c>
      <c r="X1913">
        <v>1.5740437818234122E-2</v>
      </c>
      <c r="Y1913">
        <v>4.4958565172971412E-3</v>
      </c>
    </row>
    <row r="1914" spans="1:25" x14ac:dyDescent="0.2">
      <c r="A1914" s="1077"/>
      <c r="B1914" s="1444">
        <v>1664</v>
      </c>
      <c r="C1914" s="1081">
        <v>1.002166759473738</v>
      </c>
      <c r="D1914" s="1081">
        <v>0.96184454595268121</v>
      </c>
      <c r="E1914" s="1081">
        <v>1.0107310374588656</v>
      </c>
      <c r="F1914" s="1081">
        <v>0.99308693083010824</v>
      </c>
      <c r="G1914" s="1081">
        <v>0.99228558873028683</v>
      </c>
      <c r="H1914" s="1081">
        <v>1.0168476049424633</v>
      </c>
      <c r="I1914" s="1081">
        <v>0.98927899862185109</v>
      </c>
      <c r="K1914">
        <v>2.4117935483199231</v>
      </c>
      <c r="L1914">
        <v>0</v>
      </c>
      <c r="M1914">
        <v>1.6431800488650801E-3</v>
      </c>
      <c r="N1914">
        <v>0.1545035777428963</v>
      </c>
      <c r="O1914">
        <v>2.1127383537030368E-2</v>
      </c>
      <c r="P1914">
        <v>2.8608018523775498E-2</v>
      </c>
      <c r="Q1914">
        <v>5.5883884846680571E-3</v>
      </c>
      <c r="R1914">
        <v>1.6218498206752978E-3</v>
      </c>
      <c r="S1914">
        <v>0.26185803215891434</v>
      </c>
      <c r="T1914">
        <v>1.362387103471183</v>
      </c>
      <c r="U1914">
        <v>0.21155171501295725</v>
      </c>
      <c r="V1914">
        <v>0.24404095280712124</v>
      </c>
      <c r="W1914">
        <v>0.10085577225542788</v>
      </c>
      <c r="X1914">
        <v>1.687979398491056E-2</v>
      </c>
      <c r="Y1914">
        <v>4.4141405692284643E-3</v>
      </c>
    </row>
    <row r="1915" spans="1:25" x14ac:dyDescent="0.2">
      <c r="A1915" s="1077"/>
      <c r="B1915" s="1444">
        <v>1665</v>
      </c>
      <c r="C1915" s="1081">
        <v>1.0212283817367187</v>
      </c>
      <c r="D1915" s="1081">
        <v>0.99295878191231324</v>
      </c>
      <c r="E1915" s="1081">
        <v>0.96793147789085776</v>
      </c>
      <c r="F1915" s="1081">
        <v>1.0109413120354578</v>
      </c>
      <c r="G1915" s="1081">
        <v>0.96993092571416784</v>
      </c>
      <c r="H1915" s="1081">
        <v>1.0346612845041048</v>
      </c>
      <c r="I1915" s="1081">
        <v>1.0222660121155847</v>
      </c>
      <c r="K1915">
        <v>2.4143540458466761</v>
      </c>
      <c r="L1915">
        <v>0</v>
      </c>
      <c r="M1915">
        <v>1.7803047363450198E-3</v>
      </c>
      <c r="N1915">
        <v>0.14711088030060887</v>
      </c>
      <c r="O1915">
        <v>2.0560516261143955E-2</v>
      </c>
      <c r="P1915">
        <v>2.7904662879535851E-2</v>
      </c>
      <c r="Q1915">
        <v>5.2081027235728987E-3</v>
      </c>
      <c r="R1915">
        <v>1.7575923709271649E-3</v>
      </c>
      <c r="S1915">
        <v>0.26249194335604287</v>
      </c>
      <c r="T1915">
        <v>1.3859472717033392</v>
      </c>
      <c r="U1915">
        <v>0.20746000991759495</v>
      </c>
      <c r="V1915">
        <v>0.23921202234588804</v>
      </c>
      <c r="W1915">
        <v>9.8525507887915226E-2</v>
      </c>
      <c r="X1915">
        <v>1.5172253792955347E-2</v>
      </c>
      <c r="Y1915">
        <v>4.7835870434943806E-3</v>
      </c>
    </row>
    <row r="1916" spans="1:25" x14ac:dyDescent="0.2">
      <c r="A1916" s="1077"/>
      <c r="B1916" s="1444">
        <v>1666</v>
      </c>
      <c r="C1916" s="1081">
        <v>1.0324739155812039</v>
      </c>
      <c r="D1916" s="1081">
        <v>0.99672207786720202</v>
      </c>
      <c r="E1916" s="1081">
        <v>1.0012015327809316</v>
      </c>
      <c r="F1916" s="1081">
        <v>1.0396323922308208</v>
      </c>
      <c r="G1916" s="1081">
        <v>0.96205343908638508</v>
      </c>
      <c r="H1916" s="1081">
        <v>1.0252672715500881</v>
      </c>
      <c r="I1916" s="1081">
        <v>1.0240626699089945</v>
      </c>
      <c r="K1916">
        <v>2.4493984176376014</v>
      </c>
      <c r="L1916">
        <v>0</v>
      </c>
      <c r="M1916">
        <v>1.6274839738883134E-3</v>
      </c>
      <c r="N1916">
        <v>0.14870269917619255</v>
      </c>
      <c r="O1916">
        <v>2.0341005510075515E-2</v>
      </c>
      <c r="P1916">
        <v>2.9057627480766353E-2</v>
      </c>
      <c r="Q1916">
        <v>5.3292603861366181E-3</v>
      </c>
      <c r="R1916">
        <v>1.6065309916430228E-3</v>
      </c>
      <c r="S1916">
        <v>0.25907897258931867</v>
      </c>
      <c r="T1916">
        <v>1.4260269388027724</v>
      </c>
      <c r="U1916">
        <v>0.20531026425941226</v>
      </c>
      <c r="V1916">
        <v>0.23708437642756994</v>
      </c>
      <c r="W1916">
        <v>9.7617861476293644E-2</v>
      </c>
      <c r="X1916">
        <v>1.6497916744855515E-2</v>
      </c>
      <c r="Y1916">
        <v>4.3724477664532444E-3</v>
      </c>
    </row>
    <row r="1917" spans="1:25" x14ac:dyDescent="0.2">
      <c r="A1917" s="1077"/>
      <c r="B1917" s="1444">
        <v>1667</v>
      </c>
      <c r="C1917" s="1081">
        <v>1.0239022231608566</v>
      </c>
      <c r="D1917" s="1081">
        <v>0.9792830434516796</v>
      </c>
      <c r="E1917" s="1081">
        <v>0.9947769717966719</v>
      </c>
      <c r="F1917" s="1081">
        <v>1.0152385403140101</v>
      </c>
      <c r="G1917" s="1081">
        <v>0.97518519655946778</v>
      </c>
      <c r="H1917" s="1081">
        <v>0.99303943295008024</v>
      </c>
      <c r="I1917" s="1081">
        <v>1.010146219593461</v>
      </c>
      <c r="K1917">
        <v>2.4117303851422349</v>
      </c>
      <c r="L1917">
        <v>0</v>
      </c>
      <c r="M1917">
        <v>1.6171080074941558E-3</v>
      </c>
      <c r="N1917">
        <v>0.14485263526531642</v>
      </c>
      <c r="O1917">
        <v>2.0586915786763995E-2</v>
      </c>
      <c r="P1917">
        <v>2.8497191253259443E-2</v>
      </c>
      <c r="Q1917">
        <v>5.3589299813850506E-3</v>
      </c>
      <c r="R1917">
        <v>1.5956129430433864E-3</v>
      </c>
      <c r="S1917">
        <v>0.257212791160226</v>
      </c>
      <c r="T1917">
        <v>1.3924257436713725</v>
      </c>
      <c r="U1917">
        <v>0.20700759696878923</v>
      </c>
      <c r="V1917">
        <v>0.23985519686291085</v>
      </c>
      <c r="W1917">
        <v>9.5454803674402594E-2</v>
      </c>
      <c r="X1917">
        <v>1.6157343144958401E-2</v>
      </c>
      <c r="Y1917">
        <v>4.3427324372987868E-3</v>
      </c>
    </row>
    <row r="1918" spans="1:25" x14ac:dyDescent="0.2">
      <c r="A1918" s="1077"/>
      <c r="B1918" s="1444">
        <v>1668</v>
      </c>
      <c r="C1918" s="1081">
        <v>0.99866746955686769</v>
      </c>
      <c r="D1918" s="1081">
        <v>0.95945253815076592</v>
      </c>
      <c r="E1918" s="1081">
        <v>0.99660015636837884</v>
      </c>
      <c r="F1918" s="1081">
        <v>1.0091545050718351</v>
      </c>
      <c r="G1918" s="1081">
        <v>0.97920144426197453</v>
      </c>
      <c r="H1918" s="1081">
        <v>0.99871857897054539</v>
      </c>
      <c r="I1918" s="1081">
        <v>0.98484990447737164</v>
      </c>
      <c r="K1918">
        <v>2.4241544152717043</v>
      </c>
      <c r="L1918">
        <v>0</v>
      </c>
      <c r="M1918">
        <v>1.6686550055772043E-3</v>
      </c>
      <c r="N1918">
        <v>0.1503073261343264</v>
      </c>
      <c r="O1918">
        <v>2.1203548130801345E-2</v>
      </c>
      <c r="P1918">
        <v>2.8566248455212384E-2</v>
      </c>
      <c r="Q1918">
        <v>5.5295926297531861E-3</v>
      </c>
      <c r="R1918">
        <v>1.6466008900654324E-3</v>
      </c>
      <c r="S1918">
        <v>0.2602761946978801</v>
      </c>
      <c r="T1918">
        <v>1.3841210916068705</v>
      </c>
      <c r="U1918">
        <v>0.21224458896181128</v>
      </c>
      <c r="V1918">
        <v>0.24207443761413905</v>
      </c>
      <c r="W1918">
        <v>9.89416913077074E-2</v>
      </c>
      <c r="X1918">
        <v>1.6430245027793063E-2</v>
      </c>
      <c r="Y1918">
        <v>4.4815048209205779E-3</v>
      </c>
    </row>
    <row r="1919" spans="1:25" x14ac:dyDescent="0.2">
      <c r="A1919" s="1077"/>
      <c r="B1919" s="1444">
        <v>1669</v>
      </c>
      <c r="C1919" s="1081">
        <v>0.9601764556505018</v>
      </c>
      <c r="D1919" s="1081">
        <v>0.97319039357911974</v>
      </c>
      <c r="E1919" s="1081">
        <v>0.99427688322765262</v>
      </c>
      <c r="F1919" s="1081">
        <v>0.97449683782299878</v>
      </c>
      <c r="G1919" s="1081">
        <v>0.97946355681650366</v>
      </c>
      <c r="H1919" s="1081">
        <v>1.0197804745448307</v>
      </c>
      <c r="I1919" s="1081">
        <v>1.0207418877044776</v>
      </c>
      <c r="K1919">
        <v>2.4231585426885829</v>
      </c>
      <c r="L1919">
        <v>0</v>
      </c>
      <c r="M1919">
        <v>1.7751419098580128E-3</v>
      </c>
      <c r="N1919">
        <v>0.158824468067782</v>
      </c>
      <c r="O1919">
        <v>2.1983060255189844E-2</v>
      </c>
      <c r="P1919">
        <v>2.8294644325163668E-2</v>
      </c>
      <c r="Q1919">
        <v>5.7194724401816097E-3</v>
      </c>
      <c r="R1919">
        <v>1.7521649479893581E-3</v>
      </c>
      <c r="S1919">
        <v>0.28046269675516433</v>
      </c>
      <c r="T1919">
        <v>1.3365369233667936</v>
      </c>
      <c r="U1919">
        <v>0.22074466579198912</v>
      </c>
      <c r="V1919">
        <v>0.24463164814550079</v>
      </c>
      <c r="W1919">
        <v>0.10469319174033745</v>
      </c>
      <c r="X1919">
        <v>1.6521933374941719E-2</v>
      </c>
      <c r="Y1919">
        <v>4.7688153874071619E-3</v>
      </c>
    </row>
    <row r="1920" spans="1:25" x14ac:dyDescent="0.2">
      <c r="A1920" s="1077"/>
      <c r="B1920" s="1444">
        <v>1670</v>
      </c>
      <c r="C1920" s="1081">
        <v>0.99374723272495646</v>
      </c>
      <c r="D1920" s="1081">
        <v>1.0336925242803507</v>
      </c>
      <c r="E1920" s="1081">
        <v>1.0115371768672377</v>
      </c>
      <c r="F1920" s="1081">
        <v>0.98338182081049763</v>
      </c>
      <c r="G1920" s="1081">
        <v>1.0082930535501853</v>
      </c>
      <c r="H1920" s="1081">
        <v>0.99227097862384939</v>
      </c>
      <c r="I1920" s="1081">
        <v>1.0205384530239723</v>
      </c>
      <c r="K1920">
        <v>2.3938542989501888</v>
      </c>
      <c r="L1920">
        <v>0</v>
      </c>
      <c r="M1920">
        <v>1.5889606491011528E-3</v>
      </c>
      <c r="N1920">
        <v>0.14972071976957624</v>
      </c>
      <c r="O1920">
        <v>2.0971902863657462E-2</v>
      </c>
      <c r="P1920">
        <v>2.8495134381443927E-2</v>
      </c>
      <c r="Q1920">
        <v>5.5517316615378443E-3</v>
      </c>
      <c r="R1920">
        <v>1.5678233705423519E-3</v>
      </c>
      <c r="S1920">
        <v>0.2606647345955625</v>
      </c>
      <c r="T1920">
        <v>1.3490901286640806</v>
      </c>
      <c r="U1920">
        <v>0.21334686530539756</v>
      </c>
      <c r="V1920">
        <v>0.24729844401262999</v>
      </c>
      <c r="W1920">
        <v>9.7687245179293961E-2</v>
      </c>
      <c r="X1920">
        <v>1.6781431413783458E-2</v>
      </c>
      <c r="Y1920">
        <v>4.2670983817810846E-3</v>
      </c>
    </row>
    <row r="1921" spans="1:25" x14ac:dyDescent="0.2">
      <c r="A1921" s="1077"/>
      <c r="B1921" s="1444">
        <v>1671</v>
      </c>
      <c r="C1921" s="1081">
        <v>1.0243737189355315</v>
      </c>
      <c r="D1921" s="1081">
        <v>1.0192142543922809</v>
      </c>
      <c r="E1921" s="1081">
        <v>1.0146453581253805</v>
      </c>
      <c r="F1921" s="1081">
        <v>0.97696030986611038</v>
      </c>
      <c r="G1921" s="1081">
        <v>1.0199515437855051</v>
      </c>
      <c r="H1921" s="1081">
        <v>0.99993992126082598</v>
      </c>
      <c r="I1921" s="1081">
        <v>1.0422925078564367</v>
      </c>
      <c r="K1921">
        <v>2.3736452704345847</v>
      </c>
      <c r="L1921">
        <v>0</v>
      </c>
      <c r="M1921">
        <v>1.5481615689170993E-3</v>
      </c>
      <c r="N1921">
        <v>0.14726660264212149</v>
      </c>
      <c r="O1921">
        <v>2.041013115848966E-2</v>
      </c>
      <c r="P1921">
        <v>2.8354816987882957E-2</v>
      </c>
      <c r="Q1921">
        <v>5.419803036353461E-3</v>
      </c>
      <c r="R1921">
        <v>1.5277249713253286E-3</v>
      </c>
      <c r="S1921">
        <v>0.2607697336355238</v>
      </c>
      <c r="T1921">
        <v>1.3403463785027663</v>
      </c>
      <c r="U1921">
        <v>0.20697866316519956</v>
      </c>
      <c r="V1921">
        <v>0.24739985955762037</v>
      </c>
      <c r="W1921">
        <v>9.5910504616827E-2</v>
      </c>
      <c r="X1921">
        <v>1.6651249971841774E-2</v>
      </c>
      <c r="Y1921">
        <v>4.1579637575460968E-3</v>
      </c>
    </row>
    <row r="1922" spans="1:25" x14ac:dyDescent="0.2">
      <c r="A1922" s="1077"/>
      <c r="B1922" s="1444">
        <v>1672</v>
      </c>
      <c r="C1922" s="1081">
        <v>0.99810883192524125</v>
      </c>
      <c r="D1922" s="1081">
        <v>1.005782635083341</v>
      </c>
      <c r="E1922" s="1081">
        <v>1.0031752157464895</v>
      </c>
      <c r="F1922" s="1081">
        <v>1.011531505277548</v>
      </c>
      <c r="G1922" s="1081">
        <v>1.0054237818489811</v>
      </c>
      <c r="H1922" s="1081">
        <v>1.0285121491015314</v>
      </c>
      <c r="I1922" s="1081">
        <v>1.0088875442522647</v>
      </c>
      <c r="K1922">
        <v>2.4416375313830265</v>
      </c>
      <c r="L1922">
        <v>0</v>
      </c>
      <c r="M1922">
        <v>1.6785992154932333E-3</v>
      </c>
      <c r="N1922">
        <v>0.15429656732742442</v>
      </c>
      <c r="O1922">
        <v>2.1000813141417166E-2</v>
      </c>
      <c r="P1922">
        <v>2.8855582387722296E-2</v>
      </c>
      <c r="Q1922">
        <v>5.5130405901818976E-3</v>
      </c>
      <c r="R1922">
        <v>1.6570563332205484E-3</v>
      </c>
      <c r="S1922">
        <v>0.26313486092868116</v>
      </c>
      <c r="T1922">
        <v>1.3875251458291276</v>
      </c>
      <c r="U1922">
        <v>0.21238589869662336</v>
      </c>
      <c r="V1922">
        <v>0.24656412802977454</v>
      </c>
      <c r="W1922">
        <v>0.10117148679704199</v>
      </c>
      <c r="X1922">
        <v>1.6701589446749033E-2</v>
      </c>
      <c r="Y1922">
        <v>4.5099610905528949E-3</v>
      </c>
    </row>
    <row r="1923" spans="1:25" x14ac:dyDescent="0.2">
      <c r="A1923" s="1077"/>
      <c r="B1923" s="1444">
        <v>1673</v>
      </c>
      <c r="C1923" s="1081">
        <v>0.97908408911039924</v>
      </c>
      <c r="D1923" s="1081">
        <v>0.95328329663643441</v>
      </c>
      <c r="E1923" s="1081">
        <v>0.96919700453556357</v>
      </c>
      <c r="F1923" s="1081">
        <v>1.0004086148282327</v>
      </c>
      <c r="G1923" s="1081">
        <v>0.9862325292840759</v>
      </c>
      <c r="H1923" s="1081">
        <v>1.0053242877043813</v>
      </c>
      <c r="I1923" s="1081">
        <v>0.96199538090725212</v>
      </c>
      <c r="K1923">
        <v>2.4197563139316016</v>
      </c>
      <c r="L1923">
        <v>0</v>
      </c>
      <c r="M1923">
        <v>1.8157951470611161E-3</v>
      </c>
      <c r="N1923">
        <v>0.15056285199464126</v>
      </c>
      <c r="O1923">
        <v>2.1639650413984086E-2</v>
      </c>
      <c r="P1923">
        <v>2.7904324211396218E-2</v>
      </c>
      <c r="Q1923">
        <v>5.4885542580058681E-3</v>
      </c>
      <c r="R1923">
        <v>1.7919540138345254E-3</v>
      </c>
      <c r="S1923">
        <v>0.26050271979437195</v>
      </c>
      <c r="T1923">
        <v>1.3715347012964427</v>
      </c>
      <c r="U1923">
        <v>0.21639444073680264</v>
      </c>
      <c r="V1923">
        <v>0.24462235894743747</v>
      </c>
      <c r="W1923">
        <v>0.10075969106963423</v>
      </c>
      <c r="X1923">
        <v>1.5493754233936107E-2</v>
      </c>
      <c r="Y1923">
        <v>4.8771081081756748E-3</v>
      </c>
    </row>
    <row r="1924" spans="1:25" x14ac:dyDescent="0.2">
      <c r="A1924" s="1077"/>
      <c r="B1924" s="1444">
        <v>1674</v>
      </c>
      <c r="C1924" s="1081">
        <v>0.99736444805871305</v>
      </c>
      <c r="D1924" s="1081">
        <v>1.0050043659861663</v>
      </c>
      <c r="E1924" s="1081">
        <v>1.0226713784634132</v>
      </c>
      <c r="F1924" s="1081">
        <v>0.98226982911906613</v>
      </c>
      <c r="G1924" s="1081">
        <v>0.99172200838710689</v>
      </c>
      <c r="H1924" s="1081">
        <v>1.0042877449608165</v>
      </c>
      <c r="I1924" s="1081">
        <v>0.98677467052148105</v>
      </c>
      <c r="K1924">
        <v>2.3901276555191382</v>
      </c>
      <c r="L1924">
        <v>0</v>
      </c>
      <c r="M1924">
        <v>1.5754170378170355E-3</v>
      </c>
      <c r="N1924">
        <v>0.15354128847814597</v>
      </c>
      <c r="O1924">
        <v>2.1033051425322736E-2</v>
      </c>
      <c r="P1924">
        <v>2.8590168496133734E-2</v>
      </c>
      <c r="Q1924">
        <v>5.6299923007918666E-3</v>
      </c>
      <c r="R1924">
        <v>1.5547106857866555E-3</v>
      </c>
      <c r="S1924">
        <v>0.25577991473849332</v>
      </c>
      <c r="T1924">
        <v>1.347801942314254</v>
      </c>
      <c r="U1924">
        <v>0.21261136431333733</v>
      </c>
      <c r="V1924">
        <v>0.24420302320791681</v>
      </c>
      <c r="W1924">
        <v>9.9528082677842925E-2</v>
      </c>
      <c r="X1924">
        <v>1.7198123942458027E-2</v>
      </c>
      <c r="Y1924">
        <v>4.2314099764714473E-3</v>
      </c>
    </row>
    <row r="1925" spans="1:25" x14ac:dyDescent="0.2">
      <c r="A1925" s="1077"/>
      <c r="B1925" s="1444">
        <v>1675</v>
      </c>
      <c r="C1925" s="1081">
        <v>1.017061564478867</v>
      </c>
      <c r="D1925" s="1081">
        <v>0.99404738559465133</v>
      </c>
      <c r="E1925" s="1081">
        <v>1.0179617391972515</v>
      </c>
      <c r="F1925" s="1081">
        <v>1.0002294283204778</v>
      </c>
      <c r="G1925" s="1081">
        <v>0.9904878990914836</v>
      </c>
      <c r="H1925" s="1081">
        <v>0.99816456372130558</v>
      </c>
      <c r="I1925" s="1081">
        <v>0.9780732764302762</v>
      </c>
      <c r="K1925">
        <v>2.3954170485588011</v>
      </c>
      <c r="L1925">
        <v>0</v>
      </c>
      <c r="M1925">
        <v>1.5543523766761819E-3</v>
      </c>
      <c r="N1925">
        <v>0.14933903601127824</v>
      </c>
      <c r="O1925">
        <v>2.0672427118482484E-2</v>
      </c>
      <c r="P1925">
        <v>2.8666889702989827E-2</v>
      </c>
      <c r="Q1925">
        <v>5.5076197365114942E-3</v>
      </c>
      <c r="R1925">
        <v>1.5337975626268611E-3</v>
      </c>
      <c r="S1925">
        <v>0.24944309722875724</v>
      </c>
      <c r="T1925">
        <v>1.3723425560899556</v>
      </c>
      <c r="U1925">
        <v>0.20847790817708828</v>
      </c>
      <c r="V1925">
        <v>0.24279679624596523</v>
      </c>
      <c r="W1925">
        <v>9.7071145351639382E-2</v>
      </c>
      <c r="X1925">
        <v>1.6945636360941856E-2</v>
      </c>
      <c r="Y1925">
        <v>4.174491349239683E-3</v>
      </c>
    </row>
    <row r="1926" spans="1:25" x14ac:dyDescent="0.2">
      <c r="A1926" s="1077"/>
      <c r="B1926" s="1444">
        <v>1676</v>
      </c>
      <c r="C1926" s="1081">
        <v>0.9617584649286931</v>
      </c>
      <c r="D1926" s="1081">
        <v>1.0058311072569355</v>
      </c>
      <c r="E1926" s="1081">
        <v>0.99460522975845456</v>
      </c>
      <c r="F1926" s="1081">
        <v>0.98415667534608497</v>
      </c>
      <c r="G1926" s="1081">
        <v>1.0423140142049492</v>
      </c>
      <c r="H1926" s="1081">
        <v>0.96329746955562845</v>
      </c>
      <c r="I1926" s="1081">
        <v>0.97897094607666302</v>
      </c>
      <c r="K1926">
        <v>2.4079447381654209</v>
      </c>
      <c r="L1926">
        <v>0</v>
      </c>
      <c r="M1926">
        <v>1.6608266561144865E-3</v>
      </c>
      <c r="N1926">
        <v>0.1486296912730333</v>
      </c>
      <c r="O1926">
        <v>2.178841793176527E-2</v>
      </c>
      <c r="P1926">
        <v>2.8333079429371254E-2</v>
      </c>
      <c r="Q1926">
        <v>5.6707081719910308E-3</v>
      </c>
      <c r="R1926">
        <v>1.6380688650692026E-3</v>
      </c>
      <c r="S1926">
        <v>0.2592658192839381</v>
      </c>
      <c r="T1926">
        <v>1.3497925155461521</v>
      </c>
      <c r="U1926">
        <v>0.22038272592734084</v>
      </c>
      <c r="V1926">
        <v>0.25525830003576772</v>
      </c>
      <c r="W1926">
        <v>9.7953843244080269E-2</v>
      </c>
      <c r="X1926">
        <v>1.6434111651564533E-2</v>
      </c>
      <c r="Y1926">
        <v>4.458283461462125E-3</v>
      </c>
    </row>
    <row r="1927" spans="1:25" x14ac:dyDescent="0.2">
      <c r="A1927" s="1077"/>
      <c r="B1927" s="1444">
        <v>1677</v>
      </c>
      <c r="C1927" s="1081">
        <v>1.012612496080711</v>
      </c>
      <c r="D1927" s="1081">
        <v>0.98788823129685999</v>
      </c>
      <c r="E1927" s="1081">
        <v>0.99222505462621235</v>
      </c>
      <c r="F1927" s="1081">
        <v>0.99348507713816669</v>
      </c>
      <c r="G1927" s="1081">
        <v>1.0355759392572887</v>
      </c>
      <c r="H1927" s="1081">
        <v>1.0084360809877058</v>
      </c>
      <c r="I1927" s="1081">
        <v>1.0030114115346955</v>
      </c>
      <c r="K1927">
        <v>2.4018871794063306</v>
      </c>
      <c r="L1927">
        <v>0</v>
      </c>
      <c r="M1927">
        <v>1.6660836287715529E-3</v>
      </c>
      <c r="N1927">
        <v>0.14812334924218951</v>
      </c>
      <c r="O1927">
        <v>2.0774738380044958E-2</v>
      </c>
      <c r="P1927">
        <v>2.823357693712019E-2</v>
      </c>
      <c r="Q1927">
        <v>5.3939177091887657E-3</v>
      </c>
      <c r="R1927">
        <v>1.6442756889844504E-3</v>
      </c>
      <c r="S1927">
        <v>0.2583879853067006</v>
      </c>
      <c r="T1927">
        <v>1.3625355483319044</v>
      </c>
      <c r="U1927">
        <v>0.20930694167311562</v>
      </c>
      <c r="V1927">
        <v>0.2508587173839148</v>
      </c>
      <c r="W1927">
        <v>9.7759057379347147E-2</v>
      </c>
      <c r="X1927">
        <v>1.6059978612510212E-2</v>
      </c>
      <c r="Y1927">
        <v>4.4751763900804757E-3</v>
      </c>
    </row>
    <row r="1928" spans="1:25" x14ac:dyDescent="0.2">
      <c r="A1928" s="1077"/>
      <c r="B1928" s="1444">
        <v>1678</v>
      </c>
      <c r="C1928" s="1081">
        <v>1.001262187306492</v>
      </c>
      <c r="D1928" s="1081">
        <v>1.0171820882146909</v>
      </c>
      <c r="E1928" s="1081">
        <v>1.0227498894588276</v>
      </c>
      <c r="F1928" s="1081">
        <v>1.0211493125144759</v>
      </c>
      <c r="G1928" s="1081">
        <v>0.99797875883579301</v>
      </c>
      <c r="H1928" s="1081">
        <v>0.99219522928169923</v>
      </c>
      <c r="I1928" s="1081">
        <v>1.0332137538429143</v>
      </c>
      <c r="K1928">
        <v>2.4479429705361335</v>
      </c>
      <c r="L1928">
        <v>0</v>
      </c>
      <c r="M1928">
        <v>1.5460332789424076E-3</v>
      </c>
      <c r="N1928">
        <v>0.15068874735737856</v>
      </c>
      <c r="O1928">
        <v>2.0895783828531734E-2</v>
      </c>
      <c r="P1928">
        <v>2.9447811491645517E-2</v>
      </c>
      <c r="Q1928">
        <v>5.5936853172808207E-3</v>
      </c>
      <c r="R1928">
        <v>1.5254654750911638E-3</v>
      </c>
      <c r="S1928">
        <v>0.26411858831355323</v>
      </c>
      <c r="T1928">
        <v>1.4011513912093263</v>
      </c>
      <c r="U1928">
        <v>0.21178397427178078</v>
      </c>
      <c r="V1928">
        <v>0.24502692859700859</v>
      </c>
      <c r="W1928">
        <v>9.767453981011473E-2</v>
      </c>
      <c r="X1928">
        <v>1.743027398972271E-2</v>
      </c>
      <c r="Y1928">
        <v>4.1518141536394347E-3</v>
      </c>
    </row>
    <row r="1929" spans="1:25" x14ac:dyDescent="0.2">
      <c r="A1929" s="1077"/>
      <c r="B1929" s="1444">
        <v>1679</v>
      </c>
      <c r="C1929" s="1081">
        <v>1.021819237732841</v>
      </c>
      <c r="D1929" s="1081">
        <v>0.99374680858928321</v>
      </c>
      <c r="E1929" s="1081">
        <v>0.98907811400370405</v>
      </c>
      <c r="F1929" s="1081">
        <v>1.0082802759865863</v>
      </c>
      <c r="G1929" s="1081">
        <v>0.98070673053894741</v>
      </c>
      <c r="H1929" s="1081">
        <v>0.95136071660836696</v>
      </c>
      <c r="I1929" s="1081">
        <v>1.0218459684858039</v>
      </c>
      <c r="K1929">
        <v>2.3893603870770512</v>
      </c>
      <c r="L1929">
        <v>0</v>
      </c>
      <c r="M1929">
        <v>1.5657726832456163E-3</v>
      </c>
      <c r="N1929">
        <v>0.13777734400214267</v>
      </c>
      <c r="O1929">
        <v>2.0558747566602701E-2</v>
      </c>
      <c r="P1929">
        <v>2.8237738201096537E-2</v>
      </c>
      <c r="Q1929">
        <v>5.3208926144549858E-3</v>
      </c>
      <c r="R1929">
        <v>1.5440481869461039E-3</v>
      </c>
      <c r="S1929">
        <v>0.25521005373907346</v>
      </c>
      <c r="T1929">
        <v>1.3827582323508059</v>
      </c>
      <c r="U1929">
        <v>0.20741054366109196</v>
      </c>
      <c r="V1929">
        <v>0.24094264830758247</v>
      </c>
      <c r="W1929">
        <v>9.1102355183549102E-2</v>
      </c>
      <c r="X1929">
        <v>1.5861165777428212E-2</v>
      </c>
      <c r="Y1929">
        <v>4.2023901695192635E-3</v>
      </c>
    </row>
    <row r="1930" spans="1:25" x14ac:dyDescent="0.2">
      <c r="A1930" s="1077"/>
      <c r="B1930" s="1444">
        <v>1680</v>
      </c>
      <c r="C1930" s="1081">
        <v>1.0171951202058049</v>
      </c>
      <c r="D1930" s="1081">
        <v>0.98536090488275119</v>
      </c>
      <c r="E1930" s="1081">
        <v>1.0195405094246697</v>
      </c>
      <c r="F1930" s="1081">
        <v>0.99012798265979041</v>
      </c>
      <c r="G1930" s="1081">
        <v>0.99881951091814591</v>
      </c>
      <c r="H1930" s="1081">
        <v>0.98561329492601879</v>
      </c>
      <c r="I1930" s="1081">
        <v>0.99997341711870802</v>
      </c>
      <c r="K1930">
        <v>2.3861432380653773</v>
      </c>
      <c r="L1930">
        <v>0</v>
      </c>
      <c r="M1930">
        <v>1.5325304356951534E-3</v>
      </c>
      <c r="N1930">
        <v>0.14792020466503961</v>
      </c>
      <c r="O1930">
        <v>2.0710699353743769E-2</v>
      </c>
      <c r="P1930">
        <v>2.8605922601629738E-2</v>
      </c>
      <c r="Q1930">
        <v>5.5264894743890557E-3</v>
      </c>
      <c r="R1930">
        <v>1.5120061158664291E-3</v>
      </c>
      <c r="S1930">
        <v>0.25508075802577262</v>
      </c>
      <c r="T1930">
        <v>1.3585170259944868</v>
      </c>
      <c r="U1930">
        <v>0.20845585603162708</v>
      </c>
      <c r="V1930">
        <v>0.24420526070919474</v>
      </c>
      <c r="W1930">
        <v>9.6060042146323701E-2</v>
      </c>
      <c r="X1930">
        <v>1.6966321168293573E-2</v>
      </c>
      <c r="Y1930">
        <v>4.1151822147062816E-3</v>
      </c>
    </row>
    <row r="1931" spans="1:25" x14ac:dyDescent="0.2">
      <c r="A1931" s="1077"/>
      <c r="B1931" s="1444">
        <v>1681</v>
      </c>
      <c r="C1931" s="1081">
        <v>0.98270942651487914</v>
      </c>
      <c r="D1931" s="1081">
        <v>1.0063257620621366</v>
      </c>
      <c r="E1931" s="1081">
        <v>0.98849053212143079</v>
      </c>
      <c r="F1931" s="1081">
        <v>0.98200171193387442</v>
      </c>
      <c r="G1931" s="1081">
        <v>1.0040855926854193</v>
      </c>
      <c r="H1931" s="1081">
        <v>0.98412081759149383</v>
      </c>
      <c r="I1931" s="1081">
        <v>1.0094197518489167</v>
      </c>
      <c r="K1931">
        <v>2.3939811200041858</v>
      </c>
      <c r="L1931">
        <v>0</v>
      </c>
      <c r="M1931">
        <v>1.6815409354988119E-3</v>
      </c>
      <c r="N1931">
        <v>0.14777069019124045</v>
      </c>
      <c r="O1931">
        <v>2.1317473043221645E-2</v>
      </c>
      <c r="P1931">
        <v>2.8045973054919786E-2</v>
      </c>
      <c r="Q1931">
        <v>5.5139834434576119E-3</v>
      </c>
      <c r="R1931">
        <v>1.6589868488848206E-3</v>
      </c>
      <c r="S1931">
        <v>0.26333139804328953</v>
      </c>
      <c r="T1931">
        <v>1.3467072891438283</v>
      </c>
      <c r="U1931">
        <v>0.21566301593443024</v>
      </c>
      <c r="V1931">
        <v>0.24736813422668383</v>
      </c>
      <c r="W1931">
        <v>9.7744676927804489E-2</v>
      </c>
      <c r="X1931">
        <v>1.6025824764123578E-2</v>
      </c>
      <c r="Y1931">
        <v>4.5152153177967251E-3</v>
      </c>
    </row>
    <row r="1932" spans="1:25" x14ac:dyDescent="0.2">
      <c r="A1932" s="1077"/>
      <c r="B1932" s="1444">
        <v>1682</v>
      </c>
      <c r="C1932" s="1081">
        <v>0.99206114892684216</v>
      </c>
      <c r="D1932" s="1081">
        <v>1.0119214250195721</v>
      </c>
      <c r="E1932" s="1081">
        <v>1.0063791409893985</v>
      </c>
      <c r="F1932" s="1081">
        <v>1.0041686936990795</v>
      </c>
      <c r="G1932" s="1081">
        <v>0.98357524278640007</v>
      </c>
      <c r="H1932" s="1081">
        <v>1.0280695380912572</v>
      </c>
      <c r="I1932" s="1081">
        <v>0.97182818406330507</v>
      </c>
      <c r="K1932">
        <v>2.4223106861085797</v>
      </c>
      <c r="L1932">
        <v>0</v>
      </c>
      <c r="M1932">
        <v>1.6746718946074545E-3</v>
      </c>
      <c r="N1932">
        <v>0.15543146349441481</v>
      </c>
      <c r="O1932">
        <v>2.1102709166773561E-2</v>
      </c>
      <c r="P1932">
        <v>2.8636534946101959E-2</v>
      </c>
      <c r="Q1932">
        <v>5.557612415335339E-3</v>
      </c>
      <c r="R1932">
        <v>1.6531701618840834E-3</v>
      </c>
      <c r="S1932">
        <v>0.25423313626902649</v>
      </c>
      <c r="T1932">
        <v>1.3774951743074857</v>
      </c>
      <c r="U1932">
        <v>0.21369166750106747</v>
      </c>
      <c r="V1932">
        <v>0.24320331191011216</v>
      </c>
      <c r="W1932">
        <v>0.10172247437296109</v>
      </c>
      <c r="X1932">
        <v>1.6758719244773845E-2</v>
      </c>
      <c r="Y1932">
        <v>4.4993842132510726E-3</v>
      </c>
    </row>
    <row r="1933" spans="1:25" x14ac:dyDescent="0.2">
      <c r="A1933" s="1077"/>
      <c r="B1933" s="1444">
        <v>1683</v>
      </c>
      <c r="C1933" s="1081">
        <v>0.99834291702599254</v>
      </c>
      <c r="D1933" s="1081">
        <v>0.98609489516659066</v>
      </c>
      <c r="E1933" s="1081">
        <v>1.0130831894170398</v>
      </c>
      <c r="F1933" s="1081">
        <v>0.99426547192300874</v>
      </c>
      <c r="G1933" s="1081">
        <v>1.0064735962649409</v>
      </c>
      <c r="H1933" s="1081">
        <v>1.02338023812819</v>
      </c>
      <c r="I1933" s="1081">
        <v>0.97494179028423522</v>
      </c>
      <c r="K1933">
        <v>2.4132353510284945</v>
      </c>
      <c r="L1933">
        <v>0</v>
      </c>
      <c r="M1933">
        <v>1.6429512445381564E-3</v>
      </c>
      <c r="N1933">
        <v>0.1555958742123402</v>
      </c>
      <c r="O1933">
        <v>2.1094016488521647E-2</v>
      </c>
      <c r="P1933">
        <v>2.8653158816169269E-2</v>
      </c>
      <c r="Q1933">
        <v>5.5926834355773157E-3</v>
      </c>
      <c r="R1933">
        <v>1.6217601266367168E-3</v>
      </c>
      <c r="S1933">
        <v>0.25639317464740968</v>
      </c>
      <c r="T1933">
        <v>1.3640546106511886</v>
      </c>
      <c r="U1933">
        <v>0.21237006649495063</v>
      </c>
      <c r="V1933">
        <v>0.24669324049921282</v>
      </c>
      <c r="W1933">
        <v>0.10142822606156354</v>
      </c>
      <c r="X1933">
        <v>1.6967594387838975E-2</v>
      </c>
      <c r="Y1933">
        <v>4.4138964516230771E-3</v>
      </c>
    </row>
    <row r="1934" spans="1:25" x14ac:dyDescent="0.2">
      <c r="A1934" s="1077"/>
      <c r="B1934" s="1444">
        <v>1684</v>
      </c>
      <c r="C1934" s="1081">
        <v>0.99487431787481706</v>
      </c>
      <c r="D1934" s="1081">
        <v>0.99757411426512799</v>
      </c>
      <c r="E1934" s="1081">
        <v>1.0045232293764266</v>
      </c>
      <c r="F1934" s="1081">
        <v>0.99138306008589161</v>
      </c>
      <c r="G1934" s="1081">
        <v>1.0258168256660056</v>
      </c>
      <c r="H1934" s="1081">
        <v>0.9713663717125659</v>
      </c>
      <c r="I1934" s="1081">
        <v>0.97458856218425294</v>
      </c>
      <c r="K1934">
        <v>2.3929481453816761</v>
      </c>
      <c r="L1934">
        <v>0</v>
      </c>
      <c r="M1934">
        <v>1.588906015555868E-3</v>
      </c>
      <c r="N1934">
        <v>0.14653568274008502</v>
      </c>
      <c r="O1934">
        <v>2.1108009670063443E-2</v>
      </c>
      <c r="P1934">
        <v>2.8404351637298486E-2</v>
      </c>
      <c r="Q1934">
        <v>5.5486787207262899E-3</v>
      </c>
      <c r="R1934">
        <v>1.5673145877056131E-3</v>
      </c>
      <c r="S1934">
        <v>0.25130404976935339</v>
      </c>
      <c r="T1934">
        <v>1.3599163028565877</v>
      </c>
      <c r="U1934">
        <v>0.21308103752194157</v>
      </c>
      <c r="V1934">
        <v>0.25024463889581949</v>
      </c>
      <c r="W1934">
        <v>9.6005997678618879E-2</v>
      </c>
      <c r="X1934">
        <v>1.6555273676411082E-2</v>
      </c>
      <c r="Y1934">
        <v>4.2657136426196979E-3</v>
      </c>
    </row>
    <row r="1935" spans="1:25" x14ac:dyDescent="0.2">
      <c r="A1935" s="1077"/>
      <c r="B1935" s="1444">
        <v>1685</v>
      </c>
      <c r="C1935" s="1081">
        <v>0.97604669406373035</v>
      </c>
      <c r="D1935" s="1081">
        <v>0.97172116928018792</v>
      </c>
      <c r="E1935" s="1081">
        <v>0.98307326606660628</v>
      </c>
      <c r="F1935" s="1081">
        <v>0.97748245024040892</v>
      </c>
      <c r="G1935" s="1081">
        <v>0.97315465514261157</v>
      </c>
      <c r="H1935" s="1081">
        <v>1.0066885812480377</v>
      </c>
      <c r="I1935" s="1081">
        <v>0.97557935400169515</v>
      </c>
      <c r="K1935">
        <v>2.3922120235503463</v>
      </c>
      <c r="L1935">
        <v>0</v>
      </c>
      <c r="M1935">
        <v>1.7649050613760149E-3</v>
      </c>
      <c r="N1935">
        <v>0.15262270152250315</v>
      </c>
      <c r="O1935">
        <v>2.1625158740262419E-2</v>
      </c>
      <c r="P1935">
        <v>2.7792234505000069E-2</v>
      </c>
      <c r="Q1935">
        <v>5.5629536972337627E-3</v>
      </c>
      <c r="R1935">
        <v>1.7417635124285609E-3</v>
      </c>
      <c r="S1935">
        <v>0.26268256238821502</v>
      </c>
      <c r="T1935">
        <v>1.3403954247491008</v>
      </c>
      <c r="U1935">
        <v>0.21711625532729936</v>
      </c>
      <c r="V1935">
        <v>0.24253650138987576</v>
      </c>
      <c r="W1935">
        <v>0.10128335248584426</v>
      </c>
      <c r="X1935">
        <v>1.5877514185314839E-2</v>
      </c>
      <c r="Y1935">
        <v>4.7405061086429837E-3</v>
      </c>
    </row>
    <row r="1936" spans="1:25" x14ac:dyDescent="0.2">
      <c r="A1936" s="1077"/>
      <c r="B1936" s="1444">
        <v>1686</v>
      </c>
      <c r="C1936" s="1081">
        <v>1.0031282735087064</v>
      </c>
      <c r="D1936" s="1081">
        <v>1.0373284633992124</v>
      </c>
      <c r="E1936" s="1081">
        <v>0.99783559271870714</v>
      </c>
      <c r="F1936" s="1081">
        <v>0.9960216406445761</v>
      </c>
      <c r="G1936" s="1081">
        <v>0.99679032044283022</v>
      </c>
      <c r="H1936" s="1081">
        <v>0.9688955473472104</v>
      </c>
      <c r="I1936" s="1081">
        <v>1.0294680424288167</v>
      </c>
      <c r="K1936">
        <v>2.3918246353126276</v>
      </c>
      <c r="L1936">
        <v>0</v>
      </c>
      <c r="M1936">
        <v>1.5801413186363139E-3</v>
      </c>
      <c r="N1936">
        <v>0.14280775293037748</v>
      </c>
      <c r="O1936">
        <v>2.0750736677945844E-2</v>
      </c>
      <c r="P1936">
        <v>2.8339411604858492E-2</v>
      </c>
      <c r="Q1936">
        <v>5.418240397998742E-3</v>
      </c>
      <c r="R1936">
        <v>1.5586142355122332E-3</v>
      </c>
      <c r="S1936">
        <v>0.25789548718613281</v>
      </c>
      <c r="T1936">
        <v>1.3661351122966068</v>
      </c>
      <c r="U1936">
        <v>0.21130496801500934</v>
      </c>
      <c r="V1936">
        <v>0.2447961582167559</v>
      </c>
      <c r="W1936">
        <v>9.3935850785298369E-2</v>
      </c>
      <c r="X1936">
        <v>1.6220410132744598E-2</v>
      </c>
      <c r="Y1936">
        <v>4.2420341520196473E-3</v>
      </c>
    </row>
    <row r="1937" spans="1:25" x14ac:dyDescent="0.2">
      <c r="A1937" s="1077"/>
      <c r="B1937" s="1444">
        <v>1687</v>
      </c>
      <c r="C1937" s="1081">
        <v>1.0336636063846814</v>
      </c>
      <c r="D1937" s="1081">
        <v>1.0418640406759552</v>
      </c>
      <c r="E1937" s="1081">
        <v>1.0059237099827922</v>
      </c>
      <c r="F1937" s="1081">
        <v>0.99587852326145199</v>
      </c>
      <c r="G1937" s="1081">
        <v>0.99502815006595002</v>
      </c>
      <c r="H1937" s="1081">
        <v>0.97436097256565624</v>
      </c>
      <c r="I1937" s="1081">
        <v>1.0044631905067904</v>
      </c>
      <c r="K1937">
        <v>2.3640746558311405</v>
      </c>
      <c r="L1937">
        <v>0</v>
      </c>
      <c r="M1937">
        <v>1.5149938513977482E-3</v>
      </c>
      <c r="N1937">
        <v>0.14031732682585352</v>
      </c>
      <c r="O1937">
        <v>2.0123570211389767E-2</v>
      </c>
      <c r="P1937">
        <v>2.8207224489719688E-2</v>
      </c>
      <c r="Q1937">
        <v>5.2973288651808658E-3</v>
      </c>
      <c r="R1937">
        <v>1.4944700781209096E-3</v>
      </c>
      <c r="S1937">
        <v>0.24417749000488781</v>
      </c>
      <c r="T1937">
        <v>1.3661130903534136</v>
      </c>
      <c r="U1937">
        <v>0.20508958776274488</v>
      </c>
      <c r="V1937">
        <v>0.24262885939406653</v>
      </c>
      <c r="W1937">
        <v>9.1855733388425481E-2</v>
      </c>
      <c r="X1937">
        <v>1.6217513408016516E-2</v>
      </c>
      <c r="Y1937">
        <v>4.0674549007162662E-3</v>
      </c>
    </row>
    <row r="1938" spans="1:25" x14ac:dyDescent="0.2">
      <c r="A1938" s="1077"/>
      <c r="B1938" s="1444">
        <v>1688</v>
      </c>
      <c r="C1938" s="1081">
        <v>0.99188306924005898</v>
      </c>
      <c r="D1938" s="1081">
        <v>1.004182347092792</v>
      </c>
      <c r="E1938" s="1081">
        <v>0.98058073195227147</v>
      </c>
      <c r="F1938" s="1081">
        <v>1.0429445824500909</v>
      </c>
      <c r="G1938" s="1081">
        <v>0.99247414271537104</v>
      </c>
      <c r="H1938" s="1081">
        <v>1.0030734974979565</v>
      </c>
      <c r="I1938" s="1081">
        <v>1.0028230027917644</v>
      </c>
      <c r="K1938">
        <v>2.4724248150248549</v>
      </c>
      <c r="L1938">
        <v>0</v>
      </c>
      <c r="M1938">
        <v>1.7269051894716258E-3</v>
      </c>
      <c r="N1938">
        <v>0.1482076660716832</v>
      </c>
      <c r="O1938">
        <v>2.1124948819163606E-2</v>
      </c>
      <c r="P1938">
        <v>2.8908060705773571E-2</v>
      </c>
      <c r="Q1938">
        <v>5.4205415724450532E-3</v>
      </c>
      <c r="R1938">
        <v>1.7041802907144393E-3</v>
      </c>
      <c r="S1938">
        <v>0.26103101411068863</v>
      </c>
      <c r="T1938">
        <v>1.430105873968075</v>
      </c>
      <c r="U1938">
        <v>0.21364121898409533</v>
      </c>
      <c r="V1938">
        <v>0.24482592951573801</v>
      </c>
      <c r="W1938">
        <v>9.8501374145904735E-2</v>
      </c>
      <c r="X1938">
        <v>1.6042695061601758E-2</v>
      </c>
      <c r="Y1938">
        <v>4.6382169684428525E-3</v>
      </c>
    </row>
    <row r="1939" spans="1:25" x14ac:dyDescent="0.2">
      <c r="A1939" s="1077"/>
      <c r="B1939" s="1444">
        <v>1689</v>
      </c>
      <c r="C1939" s="1081">
        <v>0.97329068035350974</v>
      </c>
      <c r="D1939" s="1081">
        <v>1.005107541722746</v>
      </c>
      <c r="E1939" s="1081">
        <v>0.97005876866528251</v>
      </c>
      <c r="F1939" s="1081">
        <v>0.98430316331305823</v>
      </c>
      <c r="G1939" s="1081">
        <v>1.0029174512998136</v>
      </c>
      <c r="H1939" s="1081">
        <v>0.97152274237944203</v>
      </c>
      <c r="I1939" s="1081">
        <v>1.0352908403140384</v>
      </c>
      <c r="K1939">
        <v>2.4030218973772857</v>
      </c>
      <c r="L1939">
        <v>0</v>
      </c>
      <c r="M1939">
        <v>1.741648689232222E-3</v>
      </c>
      <c r="N1939">
        <v>0.14472504905141118</v>
      </c>
      <c r="O1939">
        <v>2.1516990936630238E-2</v>
      </c>
      <c r="P1939">
        <v>2.7836283971542069E-2</v>
      </c>
      <c r="Q1939">
        <v>5.4622535991692752E-3</v>
      </c>
      <c r="R1939">
        <v>1.7179854712606147E-3</v>
      </c>
      <c r="S1939">
        <v>0.27156368934152741</v>
      </c>
      <c r="T1939">
        <v>1.349472767573427</v>
      </c>
      <c r="U1939">
        <v>0.21768551709965875</v>
      </c>
      <c r="V1939">
        <v>0.24785011487846809</v>
      </c>
      <c r="W1939">
        <v>9.6802114958529417E-2</v>
      </c>
      <c r="X1939">
        <v>1.5454989065877207E-2</v>
      </c>
      <c r="Y1939">
        <v>4.6757901190129965E-3</v>
      </c>
    </row>
    <row r="1940" spans="1:25" x14ac:dyDescent="0.2">
      <c r="A1940" s="1077"/>
      <c r="B1940" s="1444">
        <v>1690</v>
      </c>
      <c r="C1940" s="1081">
        <v>0.99776131634542919</v>
      </c>
      <c r="D1940" s="1081">
        <v>0.99384290406218168</v>
      </c>
      <c r="E1940" s="1081">
        <v>0.96821805800734595</v>
      </c>
      <c r="F1940" s="1081">
        <v>0.97250950854428964</v>
      </c>
      <c r="G1940" s="1081">
        <v>1.0042442034499397</v>
      </c>
      <c r="H1940" s="1081">
        <v>0.99375691658865073</v>
      </c>
      <c r="I1940" s="1081">
        <v>0.98520352930195376</v>
      </c>
      <c r="K1940">
        <v>2.3622464289290761</v>
      </c>
      <c r="L1940">
        <v>0</v>
      </c>
      <c r="M1940">
        <v>1.7487616846224036E-3</v>
      </c>
      <c r="N1940">
        <v>0.14455293581050419</v>
      </c>
      <c r="O1940">
        <v>2.1040163697879751E-2</v>
      </c>
      <c r="P1940">
        <v>2.7276396265833041E-2</v>
      </c>
      <c r="Q1940">
        <v>5.331163294607413E-3</v>
      </c>
      <c r="R1940">
        <v>1.7255334243671222E-3</v>
      </c>
      <c r="S1940">
        <v>0.25537566492351282</v>
      </c>
      <c r="T1940">
        <v>1.3332652817214767</v>
      </c>
      <c r="U1940">
        <v>0.21234038765398669</v>
      </c>
      <c r="V1940">
        <v>0.24651224233629715</v>
      </c>
      <c r="W1940">
        <v>9.6795448824298719E-2</v>
      </c>
      <c r="X1940">
        <v>1.5083639501745615E-2</v>
      </c>
      <c r="Y1940">
        <v>4.6963331591868386E-3</v>
      </c>
    </row>
    <row r="1941" spans="1:25" x14ac:dyDescent="0.2">
      <c r="A1941" s="1077"/>
      <c r="B1941" s="1444">
        <v>1691</v>
      </c>
      <c r="C1941" s="1081">
        <v>0.97642716172210142</v>
      </c>
      <c r="D1941" s="1081">
        <v>0.95659903330412066</v>
      </c>
      <c r="E1941" s="1081">
        <v>0.97870375697663836</v>
      </c>
      <c r="F1941" s="1081">
        <v>1.0275793422107098</v>
      </c>
      <c r="G1941" s="1081">
        <v>0.96094371789129562</v>
      </c>
      <c r="H1941" s="1081">
        <v>1.019513993907176</v>
      </c>
      <c r="I1941" s="1081">
        <v>0.98672445486516502</v>
      </c>
      <c r="K1941">
        <v>2.4692104062957299</v>
      </c>
      <c r="L1941">
        <v>0</v>
      </c>
      <c r="M1941">
        <v>1.8091443342830684E-3</v>
      </c>
      <c r="N1941">
        <v>0.1544195585900876</v>
      </c>
      <c r="O1941">
        <v>2.1688462240090921E-2</v>
      </c>
      <c r="P1941">
        <v>2.8673769923144826E-2</v>
      </c>
      <c r="Q1941">
        <v>5.5545270104924568E-3</v>
      </c>
      <c r="R1941">
        <v>1.7857211333733929E-3</v>
      </c>
      <c r="S1941">
        <v>0.26876687339195249</v>
      </c>
      <c r="T1941">
        <v>1.4089952178709764</v>
      </c>
      <c r="U1941">
        <v>0.21701640569873129</v>
      </c>
      <c r="V1941">
        <v>0.24044036176751404</v>
      </c>
      <c r="W1941">
        <v>0.10274632092848408</v>
      </c>
      <c r="X1941">
        <v>1.607218781293698E-2</v>
      </c>
      <c r="Y1941">
        <v>4.8601442622289662E-3</v>
      </c>
    </row>
    <row r="1942" spans="1:25" x14ac:dyDescent="0.2">
      <c r="A1942" s="1077"/>
      <c r="B1942" s="1444">
        <v>1692</v>
      </c>
      <c r="C1942" s="1081">
        <v>1.0191589282541791</v>
      </c>
      <c r="D1942" s="1081">
        <v>1.0036531707340743</v>
      </c>
      <c r="E1942" s="1081">
        <v>0.99228517008577222</v>
      </c>
      <c r="F1942" s="1081">
        <v>1.0374809592554637</v>
      </c>
      <c r="G1942" s="1081">
        <v>0.99558305421458615</v>
      </c>
      <c r="H1942" s="1081">
        <v>1.0128659744227411</v>
      </c>
      <c r="I1942" s="1081">
        <v>1.007410135347371</v>
      </c>
      <c r="K1942">
        <v>2.4506927140767258</v>
      </c>
      <c r="L1942">
        <v>0</v>
      </c>
      <c r="M1942">
        <v>1.6566661362492738E-3</v>
      </c>
      <c r="N1942">
        <v>0.14732139923746584</v>
      </c>
      <c r="O1942">
        <v>2.0569563246115155E-2</v>
      </c>
      <c r="P1942">
        <v>2.8907454185799025E-2</v>
      </c>
      <c r="Q1942">
        <v>5.3409705024959203E-3</v>
      </c>
      <c r="R1942">
        <v>1.6350763058157294E-3</v>
      </c>
      <c r="S1942">
        <v>0.25619122563361157</v>
      </c>
      <c r="T1942">
        <v>1.422875952806145</v>
      </c>
      <c r="U1942">
        <v>0.20796268767873199</v>
      </c>
      <c r="V1942">
        <v>0.24363164125847406</v>
      </c>
      <c r="W1942">
        <v>9.7226287900181493E-2</v>
      </c>
      <c r="X1942">
        <v>1.6236982756465516E-2</v>
      </c>
      <c r="Y1942">
        <v>4.4501387016710626E-3</v>
      </c>
    </row>
    <row r="1943" spans="1:25" x14ac:dyDescent="0.2">
      <c r="A1943" s="1077"/>
      <c r="B1943" s="1444">
        <v>1693</v>
      </c>
      <c r="C1943" s="1081">
        <v>0.99820727332167158</v>
      </c>
      <c r="D1943" s="1081">
        <v>1.0289385915547022</v>
      </c>
      <c r="E1943" s="1081">
        <v>1.0050250424868876</v>
      </c>
      <c r="F1943" s="1081">
        <v>0.97922318019404975</v>
      </c>
      <c r="G1943" s="1081">
        <v>0.98961956473647406</v>
      </c>
      <c r="H1943" s="1081">
        <v>1.0005821622646891</v>
      </c>
      <c r="I1943" s="1081">
        <v>0.99040233408602618</v>
      </c>
      <c r="K1943">
        <v>2.3752966150283976</v>
      </c>
      <c r="L1943">
        <v>0</v>
      </c>
      <c r="M1943">
        <v>1.6184722270343355E-3</v>
      </c>
      <c r="N1943">
        <v>0.1495489225259295</v>
      </c>
      <c r="O1943">
        <v>2.0895074700366372E-2</v>
      </c>
      <c r="P1943">
        <v>2.8113433426647481E-2</v>
      </c>
      <c r="Q1943">
        <v>5.4954683170071713E-3</v>
      </c>
      <c r="R1943">
        <v>1.5971212028034103E-3</v>
      </c>
      <c r="S1943">
        <v>0.25306052145102698</v>
      </c>
      <c r="T1943">
        <v>1.34324679011423</v>
      </c>
      <c r="U1943">
        <v>0.21237129212770942</v>
      </c>
      <c r="V1943">
        <v>0.24385279426564668</v>
      </c>
      <c r="W1943">
        <v>9.7951077993428809E-2</v>
      </c>
      <c r="X1943">
        <v>1.64357537074683E-2</v>
      </c>
      <c r="Y1943">
        <v>4.3468374231678758E-3</v>
      </c>
    </row>
    <row r="1944" spans="1:25" x14ac:dyDescent="0.2">
      <c r="A1944" s="1077"/>
      <c r="B1944" s="1444">
        <v>1694</v>
      </c>
      <c r="C1944" s="1081">
        <v>1.0056998903949845</v>
      </c>
      <c r="D1944" s="1081">
        <v>0.96206441845713953</v>
      </c>
      <c r="E1944" s="1081">
        <v>0.98869455451224231</v>
      </c>
      <c r="F1944" s="1081">
        <v>1.0127306948454016</v>
      </c>
      <c r="G1944" s="1081">
        <v>0.99299749592469322</v>
      </c>
      <c r="H1944" s="1081">
        <v>0.99349674968942814</v>
      </c>
      <c r="I1944" s="1081">
        <v>0.96909325143266989</v>
      </c>
      <c r="K1944">
        <v>2.4171495707336952</v>
      </c>
      <c r="L1944">
        <v>0</v>
      </c>
      <c r="M1944">
        <v>1.674542999112436E-3</v>
      </c>
      <c r="N1944">
        <v>0.14726542665660833</v>
      </c>
      <c r="O1944">
        <v>2.1037436406364213E-2</v>
      </c>
      <c r="P1944">
        <v>2.8375220476925575E-2</v>
      </c>
      <c r="Q1944">
        <v>5.4426722324840597E-3</v>
      </c>
      <c r="R1944">
        <v>1.6522947380630975E-3</v>
      </c>
      <c r="S1944">
        <v>0.25347656920066852</v>
      </c>
      <c r="T1944">
        <v>1.38885316623435</v>
      </c>
      <c r="U1944">
        <v>0.21073361632537049</v>
      </c>
      <c r="V1944">
        <v>0.24402210108227987</v>
      </c>
      <c r="W1944">
        <v>9.7398546145404011E-2</v>
      </c>
      <c r="X1944">
        <v>1.6070062636097025E-2</v>
      </c>
      <c r="Y1944">
        <v>4.4970015981937329E-3</v>
      </c>
    </row>
    <row r="1945" spans="1:25" x14ac:dyDescent="0.2">
      <c r="A1945" s="1077"/>
      <c r="B1945" s="1444">
        <v>1695</v>
      </c>
      <c r="C1945" s="1081">
        <v>1.0338603590637843</v>
      </c>
      <c r="D1945" s="1081">
        <v>0.98506151271829467</v>
      </c>
      <c r="E1945" s="1081">
        <v>0.98026053759270937</v>
      </c>
      <c r="F1945" s="1081">
        <v>1.0331159865566397</v>
      </c>
      <c r="G1945" s="1081">
        <v>1.043953730340837</v>
      </c>
      <c r="H1945" s="1081">
        <v>0.96241275930746917</v>
      </c>
      <c r="I1945" s="1081">
        <v>0.99285804568977987</v>
      </c>
      <c r="K1945">
        <v>2.4215377790824579</v>
      </c>
      <c r="L1945">
        <v>0</v>
      </c>
      <c r="M1945">
        <v>1.5974236059643403E-3</v>
      </c>
      <c r="N1945">
        <v>0.13688529594091978</v>
      </c>
      <c r="O1945">
        <v>2.0352918953797532E-2</v>
      </c>
      <c r="P1945">
        <v>2.8498476653944425E-2</v>
      </c>
      <c r="Q1945">
        <v>5.2207441620388869E-3</v>
      </c>
      <c r="R1945">
        <v>1.5755144854505481E-3</v>
      </c>
      <c r="S1945">
        <v>0.24701160865997498</v>
      </c>
      <c r="T1945">
        <v>1.4166215866074094</v>
      </c>
      <c r="U1945">
        <v>0.20496580131666442</v>
      </c>
      <c r="V1945">
        <v>0.25106995202126448</v>
      </c>
      <c r="W1945">
        <v>9.0993916716385126E-2</v>
      </c>
      <c r="X1945">
        <v>1.5651356109383674E-2</v>
      </c>
      <c r="Y1945">
        <v>4.2880310611858484E-3</v>
      </c>
    </row>
    <row r="1946" spans="1:25" x14ac:dyDescent="0.2">
      <c r="A1946" s="1077"/>
      <c r="B1946" s="1444">
        <v>1696</v>
      </c>
      <c r="C1946" s="1081">
        <v>0.98185006136906394</v>
      </c>
      <c r="D1946" s="1081">
        <v>1.0108504290923246</v>
      </c>
      <c r="E1946" s="1081">
        <v>0.98968924099415034</v>
      </c>
      <c r="F1946" s="1081">
        <v>0.98125207314189877</v>
      </c>
      <c r="G1946" s="1081">
        <v>1.0133596153491751</v>
      </c>
      <c r="H1946" s="1081">
        <v>1.0314428820744905</v>
      </c>
      <c r="I1946" s="1081">
        <v>1.0100659291249461</v>
      </c>
      <c r="K1946">
        <v>2.4113172736262181</v>
      </c>
      <c r="L1946">
        <v>0</v>
      </c>
      <c r="M1946">
        <v>1.7578325562621858E-3</v>
      </c>
      <c r="N1946">
        <v>0.15513266231783363</v>
      </c>
      <c r="O1946">
        <v>2.1315890765290953E-2</v>
      </c>
      <c r="P1946">
        <v>2.8135912091479046E-2</v>
      </c>
      <c r="Q1946">
        <v>5.5202619205172009E-3</v>
      </c>
      <c r="R1946">
        <v>1.7353369066518314E-3</v>
      </c>
      <c r="S1946">
        <v>0.26727823169970305</v>
      </c>
      <c r="T1946">
        <v>1.3457046253551386</v>
      </c>
      <c r="U1946">
        <v>0.215855941159737</v>
      </c>
      <c r="V1946">
        <v>0.24900354441932945</v>
      </c>
      <c r="W1946">
        <v>0.10254062686998981</v>
      </c>
      <c r="X1946">
        <v>1.6129057670561577E-2</v>
      </c>
      <c r="Y1946">
        <v>4.7230150062487495E-3</v>
      </c>
    </row>
    <row r="1947" spans="1:25" x14ac:dyDescent="0.2">
      <c r="A1947" s="1077"/>
      <c r="B1947" s="1444">
        <v>1697</v>
      </c>
      <c r="C1947" s="1081">
        <v>1.0253404143166212</v>
      </c>
      <c r="D1947" s="1081">
        <v>0.99160015205049945</v>
      </c>
      <c r="E1947" s="1081">
        <v>0.99320088131525663</v>
      </c>
      <c r="F1947" s="1081">
        <v>0.97944920630280763</v>
      </c>
      <c r="G1947" s="1081">
        <v>1.010704957067057</v>
      </c>
      <c r="H1947" s="1081">
        <v>0.99355238320560968</v>
      </c>
      <c r="I1947" s="1081">
        <v>0.98359089097357921</v>
      </c>
      <c r="K1947">
        <v>2.3573221669480913</v>
      </c>
      <c r="L1947">
        <v>0</v>
      </c>
      <c r="M1947">
        <v>1.6165084639858174E-3</v>
      </c>
      <c r="N1947">
        <v>0.14411177889391144</v>
      </c>
      <c r="O1947">
        <v>2.0500565001286997E-2</v>
      </c>
      <c r="P1947">
        <v>2.7756424000184653E-2</v>
      </c>
      <c r="Q1947">
        <v>5.3279764670913108E-3</v>
      </c>
      <c r="R1947">
        <v>1.59503246217622E-3</v>
      </c>
      <c r="S1947">
        <v>0.24856075851932358</v>
      </c>
      <c r="T1947">
        <v>1.3433064056260322</v>
      </c>
      <c r="U1947">
        <v>0.20671198896995382</v>
      </c>
      <c r="V1947">
        <v>0.24584217243609971</v>
      </c>
      <c r="W1947">
        <v>9.5056019792677485E-2</v>
      </c>
      <c r="X1947">
        <v>1.5828400683604364E-2</v>
      </c>
      <c r="Y1947">
        <v>4.341152559733827E-3</v>
      </c>
    </row>
    <row r="1948" spans="1:25" x14ac:dyDescent="0.2">
      <c r="A1948" s="1077"/>
      <c r="B1948" s="1444">
        <v>1698</v>
      </c>
      <c r="C1948" s="1081">
        <v>1.0229677693235839</v>
      </c>
      <c r="D1948" s="1081">
        <v>0.9961791246649927</v>
      </c>
      <c r="E1948" s="1081">
        <v>1.0040754193245465</v>
      </c>
      <c r="F1948" s="1081">
        <v>0.97529291538480889</v>
      </c>
      <c r="G1948" s="1081">
        <v>1.0091395938394834</v>
      </c>
      <c r="H1948" s="1081">
        <v>0.99673844313905258</v>
      </c>
      <c r="I1948" s="1081">
        <v>1.006399669446407</v>
      </c>
      <c r="K1948">
        <v>2.3619592531939744</v>
      </c>
      <c r="L1948">
        <v>0</v>
      </c>
      <c r="M1948">
        <v>1.5875960412209268E-3</v>
      </c>
      <c r="N1948">
        <v>0.14626825261194296</v>
      </c>
      <c r="O1948">
        <v>2.0534356687276857E-2</v>
      </c>
      <c r="P1948">
        <v>2.7996254220105217E-2</v>
      </c>
      <c r="Q1948">
        <v>5.3954586907551498E-3</v>
      </c>
      <c r="R1948">
        <v>1.5665715731459674E-3</v>
      </c>
      <c r="S1948">
        <v>0.2546798278692981</v>
      </c>
      <c r="T1948">
        <v>1.3378354103001486</v>
      </c>
      <c r="U1948">
        <v>0.20722776070634069</v>
      </c>
      <c r="V1948">
        <v>0.24567618220901832</v>
      </c>
      <c r="W1948">
        <v>9.5856207797302154E-2</v>
      </c>
      <c r="X1948">
        <v>1.6246875167936131E-2</v>
      </c>
      <c r="Y1948">
        <v>4.2636914019230279E-3</v>
      </c>
    </row>
    <row r="1949" spans="1:25" x14ac:dyDescent="0.2">
      <c r="A1949" s="1077"/>
      <c r="B1949" s="1444">
        <v>1699</v>
      </c>
      <c r="C1949" s="1081">
        <v>0.98566409464435667</v>
      </c>
      <c r="D1949" s="1081">
        <v>0.95836714360698882</v>
      </c>
      <c r="E1949" s="1081">
        <v>0.98966419822544638</v>
      </c>
      <c r="F1949" s="1081">
        <v>0.99305473736490335</v>
      </c>
      <c r="G1949" s="1081">
        <v>0.97504288813195694</v>
      </c>
      <c r="H1949" s="1081">
        <v>0.99652775079616895</v>
      </c>
      <c r="I1949" s="1081">
        <v>1.0052006528231121</v>
      </c>
      <c r="K1949">
        <v>2.4150786305901901</v>
      </c>
      <c r="L1949">
        <v>0</v>
      </c>
      <c r="M1949">
        <v>1.7118061124395548E-3</v>
      </c>
      <c r="N1949">
        <v>0.15099067746985467</v>
      </c>
      <c r="O1949">
        <v>2.1483917400654483E-2</v>
      </c>
      <c r="P1949">
        <v>2.8275485044652847E-2</v>
      </c>
      <c r="Q1949">
        <v>5.5636355979017992E-3</v>
      </c>
      <c r="R1949">
        <v>1.6891319426722445E-3</v>
      </c>
      <c r="S1949">
        <v>0.26906262437409284</v>
      </c>
      <c r="T1949">
        <v>1.3618904491568835</v>
      </c>
      <c r="U1949">
        <v>0.2150205985633282</v>
      </c>
      <c r="V1949">
        <v>0.24221248757446451</v>
      </c>
      <c r="W1949">
        <v>9.9804327615149749E-2</v>
      </c>
      <c r="X1949">
        <v>1.6199841637215936E-2</v>
      </c>
      <c r="Y1949">
        <v>4.5972603257585978E-3</v>
      </c>
    </row>
    <row r="1950" spans="1:25" x14ac:dyDescent="0.2">
      <c r="A1950" s="1077"/>
      <c r="B1950" s="1444">
        <v>1700</v>
      </c>
      <c r="C1950" s="1081">
        <v>1.0206746379830209</v>
      </c>
      <c r="D1950" s="1081">
        <v>1.0288540903161496</v>
      </c>
      <c r="E1950" s="1081">
        <v>0.99843715145435241</v>
      </c>
      <c r="F1950" s="1081">
        <v>0.99274838332212723</v>
      </c>
      <c r="G1950" s="1081">
        <v>1.0090963384106599</v>
      </c>
      <c r="H1950" s="1081">
        <v>1.005020971797385</v>
      </c>
      <c r="I1950" s="1081">
        <v>0.99770010019812749</v>
      </c>
      <c r="K1950">
        <v>2.3811330395481165</v>
      </c>
      <c r="L1950">
        <v>0</v>
      </c>
      <c r="M1950">
        <v>1.6117780229812527E-3</v>
      </c>
      <c r="N1950">
        <v>0.14600443696934423</v>
      </c>
      <c r="O1950">
        <v>2.0431237815860037E-2</v>
      </c>
      <c r="P1950">
        <v>2.8143109569812617E-2</v>
      </c>
      <c r="Q1950">
        <v>5.3380459443368522E-3</v>
      </c>
      <c r="R1950">
        <v>1.5906092188823059E-3</v>
      </c>
      <c r="S1950">
        <v>0.24963870794114554</v>
      </c>
      <c r="T1950">
        <v>1.3616584508757021</v>
      </c>
      <c r="U1950">
        <v>0.20767444935661108</v>
      </c>
      <c r="V1950">
        <v>0.24582637398025187</v>
      </c>
      <c r="W1950">
        <v>9.6004178977714266E-2</v>
      </c>
      <c r="X1950">
        <v>1.610610297182553E-2</v>
      </c>
      <c r="Y1950">
        <v>4.3291139496095532E-3</v>
      </c>
    </row>
    <row r="1951" spans="1:25" x14ac:dyDescent="0.2">
      <c r="A1951" s="1077"/>
      <c r="B1951" s="1444">
        <v>1701</v>
      </c>
      <c r="C1951" s="1081">
        <v>1.0100076798746609</v>
      </c>
      <c r="D1951" s="1081">
        <v>0.98286148908570781</v>
      </c>
      <c r="E1951" s="1081">
        <v>0.98732488688731612</v>
      </c>
      <c r="F1951" s="1081">
        <v>1.000154770503662</v>
      </c>
      <c r="G1951" s="1081">
        <v>1.0465316200726513</v>
      </c>
      <c r="H1951" s="1081">
        <v>1.011673920511339</v>
      </c>
      <c r="I1951" s="1081">
        <v>1.0091601093259432</v>
      </c>
      <c r="K1951">
        <v>2.4176573254424722</v>
      </c>
      <c r="L1951">
        <v>0</v>
      </c>
      <c r="M1951">
        <v>1.6947369679351908E-3</v>
      </c>
      <c r="N1951">
        <v>0.14846125763716697</v>
      </c>
      <c r="O1951">
        <v>2.084847835475764E-2</v>
      </c>
      <c r="P1951">
        <v>2.8329372068137588E-2</v>
      </c>
      <c r="Q1951">
        <v>5.3863158994435396E-3</v>
      </c>
      <c r="R1951">
        <v>1.6726249709371806E-3</v>
      </c>
      <c r="S1951">
        <v>0.26154635204834586</v>
      </c>
      <c r="T1951">
        <v>1.3715770589128278</v>
      </c>
      <c r="U1951">
        <v>0.20983018857213331</v>
      </c>
      <c r="V1951">
        <v>0.25290782375088289</v>
      </c>
      <c r="W1951">
        <v>9.8270171942480111E-2</v>
      </c>
      <c r="X1951">
        <v>1.5970084463079907E-2</v>
      </c>
      <c r="Y1951">
        <v>4.5523337902175238E-3</v>
      </c>
    </row>
    <row r="1952" spans="1:25" x14ac:dyDescent="0.2">
      <c r="A1952" s="1077"/>
      <c r="B1952" s="1444">
        <v>1702</v>
      </c>
      <c r="C1952" s="1081">
        <v>1.0393028191311549</v>
      </c>
      <c r="D1952" s="1081">
        <v>0.95582248058568364</v>
      </c>
      <c r="E1952" s="1081">
        <v>1.0000577711574581</v>
      </c>
      <c r="F1952" s="1081">
        <v>1.0060142383394983</v>
      </c>
      <c r="G1952" s="1081">
        <v>1.0072970543192508</v>
      </c>
      <c r="H1952" s="1081">
        <v>1.003768846101339</v>
      </c>
      <c r="I1952" s="1081">
        <v>1.001285056772192</v>
      </c>
      <c r="K1952">
        <v>2.3996816640841727</v>
      </c>
      <c r="L1952">
        <v>0</v>
      </c>
      <c r="M1952">
        <v>1.6013420052361871E-3</v>
      </c>
      <c r="N1952">
        <v>0.14576868571469517</v>
      </c>
      <c r="O1952">
        <v>2.0393745452233141E-2</v>
      </c>
      <c r="P1952">
        <v>2.8431991907410924E-2</v>
      </c>
      <c r="Q1952">
        <v>5.3369408442199163E-3</v>
      </c>
      <c r="R1952">
        <v>1.5802840304229562E-3</v>
      </c>
      <c r="S1952">
        <v>0.25520787349096907</v>
      </c>
      <c r="T1952">
        <v>1.3798892180077207</v>
      </c>
      <c r="U1952">
        <v>0.20395747852964005</v>
      </c>
      <c r="V1952">
        <v>0.24441751606314177</v>
      </c>
      <c r="W1952">
        <v>9.5756829399360421E-2</v>
      </c>
      <c r="X1952">
        <v>1.6241430459272285E-2</v>
      </c>
      <c r="Y1952">
        <v>4.3010121903206628E-3</v>
      </c>
    </row>
    <row r="1953" spans="1:25" x14ac:dyDescent="0.2">
      <c r="A1953" s="1077"/>
      <c r="B1953" s="1444">
        <v>1703</v>
      </c>
      <c r="C1953" s="1081">
        <v>0.98135822844086018</v>
      </c>
      <c r="D1953" s="1081">
        <v>0.99543335745876904</v>
      </c>
      <c r="E1953" s="1081">
        <v>0.96997082223311315</v>
      </c>
      <c r="F1953" s="1081">
        <v>1.0261332291381291</v>
      </c>
      <c r="G1953" s="1081">
        <v>1.0266287070607645</v>
      </c>
      <c r="H1953" s="1081">
        <v>0.99899510479154785</v>
      </c>
      <c r="I1953" s="1081">
        <v>1.0280058975626589</v>
      </c>
      <c r="K1953">
        <v>2.4680817686783882</v>
      </c>
      <c r="L1953">
        <v>0</v>
      </c>
      <c r="M1953">
        <v>1.7802822806759972E-3</v>
      </c>
      <c r="N1953">
        <v>0.14795199968848671</v>
      </c>
      <c r="O1953">
        <v>2.1385499844272668E-2</v>
      </c>
      <c r="P1953">
        <v>2.8617543052971029E-2</v>
      </c>
      <c r="Q1953">
        <v>5.4283856096862875E-3</v>
      </c>
      <c r="R1953">
        <v>1.7567593338116071E-3</v>
      </c>
      <c r="S1953">
        <v>0.27118880047797639</v>
      </c>
      <c r="T1953">
        <v>1.4068195562622829</v>
      </c>
      <c r="U1953">
        <v>0.21589566352666176</v>
      </c>
      <c r="V1953">
        <v>0.25137633548534061</v>
      </c>
      <c r="W1953">
        <v>9.8965819715275599E-2</v>
      </c>
      <c r="X1953">
        <v>1.5694368171220021E-2</v>
      </c>
      <c r="Y1953">
        <v>4.7813197910764448E-3</v>
      </c>
    </row>
    <row r="1954" spans="1:25" x14ac:dyDescent="0.2">
      <c r="A1954" s="1077"/>
      <c r="B1954" s="1444">
        <v>1704</v>
      </c>
      <c r="C1954" s="1081">
        <v>1.0395836621207937</v>
      </c>
      <c r="D1954" s="1081">
        <v>1.0028064605587692</v>
      </c>
      <c r="E1954" s="1081">
        <v>0.98480700969033763</v>
      </c>
      <c r="F1954" s="1081">
        <v>1.0125238833215271</v>
      </c>
      <c r="G1954" s="1081">
        <v>0.99943594270485347</v>
      </c>
      <c r="H1954" s="1081">
        <v>1.012659386582798</v>
      </c>
      <c r="I1954" s="1081">
        <v>1.0080956743729119</v>
      </c>
      <c r="K1954">
        <v>2.3988283808909099</v>
      </c>
      <c r="L1954">
        <v>0</v>
      </c>
      <c r="M1954">
        <v>1.6494312554794738E-3</v>
      </c>
      <c r="N1954">
        <v>0.14339815215335139</v>
      </c>
      <c r="O1954">
        <v>2.0164414478615611E-2</v>
      </c>
      <c r="P1954">
        <v>2.8153486926063551E-2</v>
      </c>
      <c r="Q1954">
        <v>5.1963139685800089E-3</v>
      </c>
      <c r="R1954">
        <v>1.6279313254951022E-3</v>
      </c>
      <c r="S1954">
        <v>0.25135826235211317</v>
      </c>
      <c r="T1954">
        <v>1.3884846429312219</v>
      </c>
      <c r="U1954">
        <v>0.20385229403146271</v>
      </c>
      <c r="V1954">
        <v>0.24311446781245968</v>
      </c>
      <c r="W1954">
        <v>9.5062504426654856E-2</v>
      </c>
      <c r="X1954">
        <v>1.5634649319788061E-2</v>
      </c>
      <c r="Y1954">
        <v>4.4306924205804463E-3</v>
      </c>
    </row>
    <row r="1955" spans="1:25" x14ac:dyDescent="0.2">
      <c r="A1955" s="1077"/>
      <c r="B1955" s="1444">
        <v>1705</v>
      </c>
      <c r="C1955" s="1081">
        <v>1.0009214912046565</v>
      </c>
      <c r="D1955" s="1081">
        <v>1.0222308238805238</v>
      </c>
      <c r="E1955" s="1081">
        <v>0.98697235617176216</v>
      </c>
      <c r="F1955" s="1081">
        <v>0.99345513717817369</v>
      </c>
      <c r="G1955" s="1081">
        <v>0.99657041504588906</v>
      </c>
      <c r="H1955" s="1081">
        <v>0.99073390626623969</v>
      </c>
      <c r="I1955" s="1081">
        <v>0.97922264039191931</v>
      </c>
      <c r="K1955">
        <v>2.384473368070509</v>
      </c>
      <c r="L1955">
        <v>0</v>
      </c>
      <c r="M1955">
        <v>1.6615289578248017E-3</v>
      </c>
      <c r="N1955">
        <v>0.14535647756418454</v>
      </c>
      <c r="O1955">
        <v>2.0856514279142351E-2</v>
      </c>
      <c r="P1955">
        <v>2.7951194203189072E-2</v>
      </c>
      <c r="Q1955">
        <v>5.3864693012611927E-3</v>
      </c>
      <c r="R1955">
        <v>1.6393920423464642E-3</v>
      </c>
      <c r="S1955">
        <v>0.24938062298322991</v>
      </c>
      <c r="T1955">
        <v>1.3623818626911812</v>
      </c>
      <c r="U1955">
        <v>0.21173378853746452</v>
      </c>
      <c r="V1955">
        <v>0.24493479450871547</v>
      </c>
      <c r="W1955">
        <v>9.6235408807670883E-2</v>
      </c>
      <c r="X1955">
        <v>1.5816487396121313E-2</v>
      </c>
      <c r="Y1955">
        <v>4.4618847138255579E-3</v>
      </c>
    </row>
    <row r="1956" spans="1:25" x14ac:dyDescent="0.2">
      <c r="A1956" s="1077"/>
      <c r="B1956" s="1444">
        <v>1706</v>
      </c>
      <c r="C1956" s="1081">
        <v>0.98021678323749517</v>
      </c>
      <c r="D1956" s="1081">
        <v>0.95807305401474763</v>
      </c>
      <c r="E1956" s="1081">
        <v>0.98746745836087546</v>
      </c>
      <c r="F1956" s="1081">
        <v>1.0225347890843259</v>
      </c>
      <c r="G1956" s="1081">
        <v>1.0029057546452222</v>
      </c>
      <c r="H1956" s="1081">
        <v>1.0006991152757234</v>
      </c>
      <c r="I1956" s="1081">
        <v>0.99099093120159776</v>
      </c>
      <c r="K1956">
        <v>2.4628316599154316</v>
      </c>
      <c r="L1956">
        <v>0</v>
      </c>
      <c r="M1956">
        <v>1.7365217802862399E-3</v>
      </c>
      <c r="N1956">
        <v>0.15216519864640518</v>
      </c>
      <c r="O1956">
        <v>2.160326895031919E-2</v>
      </c>
      <c r="P1956">
        <v>2.8833573542268481E-2</v>
      </c>
      <c r="Q1956">
        <v>5.5821256122400775E-3</v>
      </c>
      <c r="R1956">
        <v>1.713616113566673E-3</v>
      </c>
      <c r="S1956">
        <v>0.26711816881460737</v>
      </c>
      <c r="T1956">
        <v>1.4022713738277635</v>
      </c>
      <c r="U1956">
        <v>0.21620787556007875</v>
      </c>
      <c r="V1956">
        <v>0.24733171804619533</v>
      </c>
      <c r="W1956">
        <v>0.10071328201779262</v>
      </c>
      <c r="X1956">
        <v>1.6364082396750277E-2</v>
      </c>
      <c r="Y1956">
        <v>4.6638981677284653E-3</v>
      </c>
    </row>
    <row r="1957" spans="1:25" x14ac:dyDescent="0.2">
      <c r="A1957" s="1077"/>
      <c r="B1957" s="1444">
        <v>1707</v>
      </c>
      <c r="C1957" s="1081">
        <v>0.97472688749302816</v>
      </c>
      <c r="D1957" s="1081">
        <v>0.99914516176060408</v>
      </c>
      <c r="E1957" s="1081">
        <v>0.99523143017445581</v>
      </c>
      <c r="F1957" s="1081">
        <v>0.98490702641375383</v>
      </c>
      <c r="G1957" s="1081">
        <v>0.96295120166267378</v>
      </c>
      <c r="H1957" s="1081">
        <v>1.0195201502121074</v>
      </c>
      <c r="I1957" s="1081">
        <v>0.98997246067023781</v>
      </c>
      <c r="K1957">
        <v>2.4080939245797777</v>
      </c>
      <c r="L1957">
        <v>0</v>
      </c>
      <c r="M1957">
        <v>1.7346678279781332E-3</v>
      </c>
      <c r="N1957">
        <v>0.15565108157383217</v>
      </c>
      <c r="O1957">
        <v>2.1530523409805321E-2</v>
      </c>
      <c r="P1957">
        <v>2.8194857283226449E-2</v>
      </c>
      <c r="Q1957">
        <v>5.6071260987017408E-3</v>
      </c>
      <c r="R1957">
        <v>1.7122090186250788E-3</v>
      </c>
      <c r="S1957">
        <v>0.26442480187787654</v>
      </c>
      <c r="T1957">
        <v>1.3508349640193442</v>
      </c>
      <c r="U1957">
        <v>0.21745280004950068</v>
      </c>
      <c r="V1957">
        <v>0.24083818134498333</v>
      </c>
      <c r="W1957">
        <v>0.1025429393021188</v>
      </c>
      <c r="X1957">
        <v>1.6379039910593564E-2</v>
      </c>
      <c r="Y1957">
        <v>4.6600685191461686E-3</v>
      </c>
    </row>
    <row r="1958" spans="1:25" x14ac:dyDescent="0.2">
      <c r="A1958" s="1077"/>
      <c r="B1958" s="1444">
        <v>1708</v>
      </c>
      <c r="C1958" s="1081">
        <v>0.98945215133743691</v>
      </c>
      <c r="D1958" s="1081">
        <v>0.95515526448156785</v>
      </c>
      <c r="E1958" s="1081">
        <v>0.98394762634589383</v>
      </c>
      <c r="F1958" s="1081">
        <v>1.0137599668477875</v>
      </c>
      <c r="G1958" s="1081">
        <v>1.0126548288993666</v>
      </c>
      <c r="H1958" s="1081">
        <v>1.0053565696108324</v>
      </c>
      <c r="I1958" s="1081">
        <v>0.99957280922988434</v>
      </c>
      <c r="K1958">
        <v>2.4479845824859119</v>
      </c>
      <c r="L1958">
        <v>0</v>
      </c>
      <c r="M1958">
        <v>1.7421252560555127E-3</v>
      </c>
      <c r="N1958">
        <v>0.15104910512855618</v>
      </c>
      <c r="O1958">
        <v>2.1413614370643555E-2</v>
      </c>
      <c r="P1958">
        <v>2.8588903475941469E-2</v>
      </c>
      <c r="Q1958">
        <v>5.513423109077477E-3</v>
      </c>
      <c r="R1958">
        <v>1.7192521325461597E-3</v>
      </c>
      <c r="S1958">
        <v>0.26770352913743978</v>
      </c>
      <c r="T1958">
        <v>1.3901609149122196</v>
      </c>
      <c r="U1958">
        <v>0.21417769806850362</v>
      </c>
      <c r="V1958">
        <v>0.24841613745777411</v>
      </c>
      <c r="W1958">
        <v>0.10018632248009808</v>
      </c>
      <c r="X1958">
        <v>1.6118569915685735E-2</v>
      </c>
      <c r="Y1958">
        <v>4.6792375534774706E-3</v>
      </c>
    </row>
    <row r="1959" spans="1:25" x14ac:dyDescent="0.2">
      <c r="A1959" s="1077"/>
      <c r="B1959" s="1444">
        <v>1709</v>
      </c>
      <c r="C1959" s="1081">
        <v>1.0302957023616197</v>
      </c>
      <c r="D1959" s="1081">
        <v>1.0269429065717079</v>
      </c>
      <c r="E1959" s="1081">
        <v>1.0030129797905787</v>
      </c>
      <c r="F1959" s="1081">
        <v>1.0074943675313786</v>
      </c>
      <c r="G1959" s="1081">
        <v>1.0235063349986162</v>
      </c>
      <c r="H1959" s="1081">
        <v>1.0291390005177643</v>
      </c>
      <c r="I1959" s="1081">
        <v>0.98751324609108926</v>
      </c>
      <c r="K1959">
        <v>2.4036209571686773</v>
      </c>
      <c r="L1959">
        <v>0</v>
      </c>
      <c r="M1959">
        <v>1.6202595203327593E-3</v>
      </c>
      <c r="N1959">
        <v>0.14886220531982941</v>
      </c>
      <c r="O1959">
        <v>2.0251659430032039E-2</v>
      </c>
      <c r="P1959">
        <v>2.8480355399126311E-2</v>
      </c>
      <c r="Q1959">
        <v>5.3155106497579218E-3</v>
      </c>
      <c r="R1959">
        <v>1.5994780264496754E-3</v>
      </c>
      <c r="S1959">
        <v>0.24699925242114149</v>
      </c>
      <c r="T1959">
        <v>1.381983837151064</v>
      </c>
      <c r="U1959">
        <v>0.2057503355117683</v>
      </c>
      <c r="V1959">
        <v>0.24769943222326277</v>
      </c>
      <c r="W1959">
        <v>9.7617592118393659E-2</v>
      </c>
      <c r="X1959">
        <v>1.6328306517978286E-2</v>
      </c>
      <c r="Y1959">
        <v>4.3532519202063033E-3</v>
      </c>
    </row>
    <row r="1960" spans="1:25" x14ac:dyDescent="0.2">
      <c r="A1960" s="1077"/>
      <c r="B1960" s="1444">
        <v>1710</v>
      </c>
      <c r="C1960" s="1081">
        <v>1.0253049776912446</v>
      </c>
      <c r="D1960" s="1081">
        <v>1.0294954247428536</v>
      </c>
      <c r="E1960" s="1081">
        <v>0.9821848701501702</v>
      </c>
      <c r="F1960" s="1081">
        <v>1.0069180878858144</v>
      </c>
      <c r="G1960" s="1081">
        <v>0.96220628547872988</v>
      </c>
      <c r="H1960" s="1081">
        <v>1.0018530395863892</v>
      </c>
      <c r="I1960" s="1081">
        <v>1.0236356696819546</v>
      </c>
      <c r="K1960">
        <v>2.3903750883551296</v>
      </c>
      <c r="L1960">
        <v>0</v>
      </c>
      <c r="M1960">
        <v>1.6539702260413179E-3</v>
      </c>
      <c r="N1960">
        <v>0.1426364342050333</v>
      </c>
      <c r="O1960">
        <v>2.0325744026748537E-2</v>
      </c>
      <c r="P1960">
        <v>2.799953926330229E-2</v>
      </c>
      <c r="Q1960">
        <v>5.2239740856574162E-3</v>
      </c>
      <c r="R1960">
        <v>1.6321785875531595E-3</v>
      </c>
      <c r="S1960">
        <v>0.25449457598737762</v>
      </c>
      <c r="T1960">
        <v>1.3807404455716632</v>
      </c>
      <c r="U1960">
        <v>0.20668247941345966</v>
      </c>
      <c r="V1960">
        <v>0.23759875938679728</v>
      </c>
      <c r="W1960">
        <v>9.4706958681096284E-2</v>
      </c>
      <c r="X1960">
        <v>1.5545717304687151E-2</v>
      </c>
      <c r="Y1960">
        <v>4.4422520677929178E-3</v>
      </c>
    </row>
    <row r="1961" spans="1:25" x14ac:dyDescent="0.2">
      <c r="A1961" s="1077"/>
      <c r="B1961" s="1444">
        <v>1711</v>
      </c>
      <c r="C1961" s="1081">
        <v>0.97871084085250015</v>
      </c>
      <c r="D1961" s="1081">
        <v>1.0004063528572791</v>
      </c>
      <c r="E1961" s="1081">
        <v>1.0287676186112911</v>
      </c>
      <c r="F1961" s="1081">
        <v>0.99271032066027676</v>
      </c>
      <c r="G1961" s="1081">
        <v>0.9863348018904714</v>
      </c>
      <c r="H1961" s="1081">
        <v>0.99038861869059125</v>
      </c>
      <c r="I1961" s="1081">
        <v>0.99796956806690773</v>
      </c>
      <c r="K1961">
        <v>2.4202759550758257</v>
      </c>
      <c r="L1961">
        <v>0</v>
      </c>
      <c r="M1961">
        <v>1.5648301783767406E-3</v>
      </c>
      <c r="N1961">
        <v>0.15531001131457933</v>
      </c>
      <c r="O1961">
        <v>2.145971194772309E-2</v>
      </c>
      <c r="P1961">
        <v>2.9080738284682391E-2</v>
      </c>
      <c r="Q1961">
        <v>5.7790067258523571E-3</v>
      </c>
      <c r="R1961">
        <v>1.5439743333737518E-3</v>
      </c>
      <c r="S1961">
        <v>0.26306173663273585</v>
      </c>
      <c r="T1961">
        <v>1.3622592022430999</v>
      </c>
      <c r="U1961">
        <v>0.21668497657619756</v>
      </c>
      <c r="V1961">
        <v>0.24445565302056355</v>
      </c>
      <c r="W1961">
        <v>0.10031777418211373</v>
      </c>
      <c r="X1961">
        <v>1.7685810828835587E-2</v>
      </c>
      <c r="Y1961">
        <v>4.202189164441145E-3</v>
      </c>
    </row>
    <row r="1962" spans="1:25" x14ac:dyDescent="0.2">
      <c r="A1962" s="1077"/>
      <c r="B1962" s="1444">
        <v>1712</v>
      </c>
      <c r="C1962" s="1081">
        <v>1.0093025021824242</v>
      </c>
      <c r="D1962" s="1081">
        <v>0.96993090425224893</v>
      </c>
      <c r="E1962" s="1081">
        <v>1.0252021651000269</v>
      </c>
      <c r="F1962" s="1081">
        <v>0.9887309772031716</v>
      </c>
      <c r="G1962" s="1081">
        <v>0.96620282647783196</v>
      </c>
      <c r="H1962" s="1081">
        <v>0.97651943077502368</v>
      </c>
      <c r="I1962" s="1081">
        <v>0.97744589604911836</v>
      </c>
      <c r="K1962">
        <v>2.3803766665727997</v>
      </c>
      <c r="L1962">
        <v>0</v>
      </c>
      <c r="M1962">
        <v>1.5175973039850902E-3</v>
      </c>
      <c r="N1962">
        <v>0.14898292289996551</v>
      </c>
      <c r="O1962">
        <v>2.0949017044596882E-2</v>
      </c>
      <c r="P1962">
        <v>2.8616829158833297E-2</v>
      </c>
      <c r="Q1962">
        <v>5.6215939599555719E-3</v>
      </c>
      <c r="R1962">
        <v>1.4970837043338412E-3</v>
      </c>
      <c r="S1962">
        <v>0.25258573352813429</v>
      </c>
      <c r="T1962">
        <v>1.356721851135952</v>
      </c>
      <c r="U1962">
        <v>0.21010519427286187</v>
      </c>
      <c r="V1962">
        <v>0.23909915115472968</v>
      </c>
      <c r="W1962">
        <v>9.643082853567303E-2</v>
      </c>
      <c r="X1962">
        <v>1.7209490152057565E-2</v>
      </c>
      <c r="Y1962">
        <v>4.0745683296862165E-3</v>
      </c>
    </row>
    <row r="1963" spans="1:25" x14ac:dyDescent="0.2">
      <c r="A1963" s="1077"/>
      <c r="B1963" s="1444">
        <v>1713</v>
      </c>
      <c r="C1963" s="1081">
        <v>0.99798551121929979</v>
      </c>
      <c r="D1963" s="1081">
        <v>0.99319165975578627</v>
      </c>
      <c r="E1963" s="1081">
        <v>0.99767401555924129</v>
      </c>
      <c r="F1963" s="1081">
        <v>0.98301829902929549</v>
      </c>
      <c r="G1963" s="1081">
        <v>0.98569496636178044</v>
      </c>
      <c r="H1963" s="1081">
        <v>0.95909684649152405</v>
      </c>
      <c r="I1963" s="1081">
        <v>0.95475697455615927</v>
      </c>
      <c r="K1963">
        <v>2.3614443997655399</v>
      </c>
      <c r="L1963">
        <v>0</v>
      </c>
      <c r="M1963">
        <v>1.5878646703761576E-3</v>
      </c>
      <c r="N1963">
        <v>0.14341547486045894</v>
      </c>
      <c r="O1963">
        <v>2.1058035165585895E-2</v>
      </c>
      <c r="P1963">
        <v>2.790953604899795E-2</v>
      </c>
      <c r="Q1963">
        <v>5.4975852682286209E-3</v>
      </c>
      <c r="R1963">
        <v>1.5660113596334423E-3</v>
      </c>
      <c r="S1963">
        <v>0.24491492920570446</v>
      </c>
      <c r="T1963">
        <v>1.3482964018653387</v>
      </c>
      <c r="U1963">
        <v>0.21239329955406064</v>
      </c>
      <c r="V1963">
        <v>0.243222356393553</v>
      </c>
      <c r="W1963">
        <v>9.4344672931667303E-2</v>
      </c>
      <c r="X1963">
        <v>1.6151795097270188E-2</v>
      </c>
      <c r="Y1963">
        <v>4.2621666854162684E-3</v>
      </c>
    </row>
    <row r="1964" spans="1:25" x14ac:dyDescent="0.2">
      <c r="A1964" s="1077"/>
      <c r="B1964" s="1444">
        <v>1714</v>
      </c>
      <c r="C1964" s="1081">
        <v>0.95895216775611469</v>
      </c>
      <c r="D1964" s="1081">
        <v>1.0316422712173956</v>
      </c>
      <c r="E1964" s="1081">
        <v>0.98409260826203937</v>
      </c>
      <c r="F1964" s="1081">
        <v>0.97244568589185698</v>
      </c>
      <c r="G1964" s="1081">
        <v>0.97368603989358715</v>
      </c>
      <c r="H1964" s="1081">
        <v>0.99809211529245234</v>
      </c>
      <c r="I1964" s="1081">
        <v>1.0212873653952392</v>
      </c>
      <c r="K1964">
        <v>2.3980450279403862</v>
      </c>
      <c r="L1964">
        <v>0</v>
      </c>
      <c r="M1964">
        <v>1.7540312156083379E-3</v>
      </c>
      <c r="N1964">
        <v>0.15213337366252433</v>
      </c>
      <c r="O1964">
        <v>2.1723494199659021E-2</v>
      </c>
      <c r="P1964">
        <v>2.7900117148409211E-2</v>
      </c>
      <c r="Q1964">
        <v>5.5940311654964405E-3</v>
      </c>
      <c r="R1964">
        <v>1.7308341574330574E-3</v>
      </c>
      <c r="S1964">
        <v>0.27087691898389771</v>
      </c>
      <c r="T1964">
        <v>1.3335100119734022</v>
      </c>
      <c r="U1964">
        <v>0.22099024911127688</v>
      </c>
      <c r="V1964">
        <v>0.24376298152015194</v>
      </c>
      <c r="W1964">
        <v>0.10089668000563913</v>
      </c>
      <c r="X1964">
        <v>1.5969607220899854E-2</v>
      </c>
      <c r="Y1964">
        <v>4.7107600072061285E-3</v>
      </c>
    </row>
    <row r="1965" spans="1:25" x14ac:dyDescent="0.2">
      <c r="A1965" s="1077"/>
      <c r="B1965" s="1444">
        <v>1715</v>
      </c>
      <c r="C1965" s="1081">
        <v>1.0351529382063154</v>
      </c>
      <c r="D1965" s="1081">
        <v>0.97347593407258926</v>
      </c>
      <c r="E1965" s="1081">
        <v>1.0123109677059174</v>
      </c>
      <c r="F1965" s="1081">
        <v>0.96545557450973318</v>
      </c>
      <c r="G1965" s="1081">
        <v>1.0046566870401012</v>
      </c>
      <c r="H1965" s="1081">
        <v>1.0163735862649625</v>
      </c>
      <c r="I1965" s="1081">
        <v>1.0154711908339906</v>
      </c>
      <c r="K1965">
        <v>2.3533370674963026</v>
      </c>
      <c r="L1965">
        <v>0</v>
      </c>
      <c r="M1965">
        <v>1.5806795423522185E-3</v>
      </c>
      <c r="N1965">
        <v>0.1493364507614211</v>
      </c>
      <c r="O1965">
        <v>2.0401140571086284E-2</v>
      </c>
      <c r="P1965">
        <v>2.7984243122404613E-2</v>
      </c>
      <c r="Q1965">
        <v>5.4048127538197811E-3</v>
      </c>
      <c r="R1965">
        <v>1.560151067689818E-3</v>
      </c>
      <c r="S1965">
        <v>0.25862883181956753</v>
      </c>
      <c r="T1965">
        <v>1.3245135149261364</v>
      </c>
      <c r="U1965">
        <v>0.20481563549435508</v>
      </c>
      <c r="V1965">
        <v>0.24416297837375259</v>
      </c>
      <c r="W1965">
        <v>9.7392142354758474E-2</v>
      </c>
      <c r="X1965">
        <v>1.6471628891073349E-2</v>
      </c>
      <c r="Y1965">
        <v>4.2462169025904439E-3</v>
      </c>
    </row>
    <row r="1966" spans="1:25" x14ac:dyDescent="0.2">
      <c r="A1966" s="1077"/>
      <c r="B1966" s="1444">
        <v>1716</v>
      </c>
      <c r="C1966" s="1081">
        <v>1.0239742908901799</v>
      </c>
      <c r="D1966" s="1081">
        <v>1.0085815080239038</v>
      </c>
      <c r="E1966" s="1081">
        <v>0.97495140498340771</v>
      </c>
      <c r="F1966" s="1081">
        <v>0.98203724327180619</v>
      </c>
      <c r="G1966" s="1081">
        <v>1.0165237752307856</v>
      </c>
      <c r="H1966" s="1081">
        <v>0.99431754517767101</v>
      </c>
      <c r="I1966" s="1081">
        <v>0.99812828136543941</v>
      </c>
      <c r="K1966">
        <v>2.3591856760836962</v>
      </c>
      <c r="L1966">
        <v>0</v>
      </c>
      <c r="M1966">
        <v>1.6759771697422311E-3</v>
      </c>
      <c r="N1966">
        <v>0.14139073928447568</v>
      </c>
      <c r="O1966">
        <v>2.0439597678392814E-2</v>
      </c>
      <c r="P1966">
        <v>2.7460538506066175E-2</v>
      </c>
      <c r="Q1966">
        <v>5.2147247409696749E-3</v>
      </c>
      <c r="R1966">
        <v>1.6537282354232466E-3</v>
      </c>
      <c r="S1966">
        <v>0.2503488157364398</v>
      </c>
      <c r="T1966">
        <v>1.3464695311714165</v>
      </c>
      <c r="U1966">
        <v>0.20692700636422037</v>
      </c>
      <c r="V1966">
        <v>0.24698558801483844</v>
      </c>
      <c r="W1966">
        <v>9.4291256548599489E-2</v>
      </c>
      <c r="X1966">
        <v>1.5179223867138198E-2</v>
      </c>
      <c r="Y1966">
        <v>4.5009031054557827E-3</v>
      </c>
    </row>
    <row r="1967" spans="1:25" x14ac:dyDescent="0.2">
      <c r="A1967" s="1077"/>
      <c r="B1967" s="1444">
        <v>1717</v>
      </c>
      <c r="C1967" s="1081">
        <v>0.97396493474876344</v>
      </c>
      <c r="D1967" s="1081">
        <v>0.97799716369552347</v>
      </c>
      <c r="E1967" s="1081">
        <v>0.95052113228987345</v>
      </c>
      <c r="F1967" s="1081">
        <v>1.0078572122466498</v>
      </c>
      <c r="G1967" s="1081">
        <v>0.9836199498560636</v>
      </c>
      <c r="H1967" s="1081">
        <v>1.0460973203317796</v>
      </c>
      <c r="I1967" s="1081">
        <v>0.986792671215449</v>
      </c>
      <c r="K1967">
        <v>2.4448393170670988</v>
      </c>
      <c r="L1967">
        <v>0</v>
      </c>
      <c r="M1967">
        <v>1.9628213682321774E-3</v>
      </c>
      <c r="N1967">
        <v>0.15387918728072927</v>
      </c>
      <c r="O1967">
        <v>2.1618539204094681E-2</v>
      </c>
      <c r="P1967">
        <v>2.7752429925635577E-2</v>
      </c>
      <c r="Q1967">
        <v>5.3789440589729716E-3</v>
      </c>
      <c r="R1967">
        <v>1.9380542825807538E-3</v>
      </c>
      <c r="S1967">
        <v>0.26854406351105042</v>
      </c>
      <c r="T1967">
        <v>1.3813428895694551</v>
      </c>
      <c r="U1967">
        <v>0.21746669784682857</v>
      </c>
      <c r="V1967">
        <v>0.24457830367056738</v>
      </c>
      <c r="W1967">
        <v>0.10416586218648057</v>
      </c>
      <c r="X1967">
        <v>1.4862422021171275E-2</v>
      </c>
      <c r="Y1967">
        <v>5.2747448777622609E-3</v>
      </c>
    </row>
    <row r="1968" spans="1:25" x14ac:dyDescent="0.2">
      <c r="A1968" s="1077"/>
      <c r="B1968" s="1444">
        <v>1718</v>
      </c>
      <c r="C1968" s="1081">
        <v>0.98110723400702793</v>
      </c>
      <c r="D1968" s="1081">
        <v>0.9636115043996506</v>
      </c>
      <c r="E1968" s="1081">
        <v>0.97292394204972421</v>
      </c>
      <c r="F1968" s="1081">
        <v>1.0069156037332667</v>
      </c>
      <c r="G1968" s="1081">
        <v>1.0091000979269817</v>
      </c>
      <c r="H1968" s="1081">
        <v>1.0233543755726826</v>
      </c>
      <c r="I1968" s="1081">
        <v>0.98041113915893641</v>
      </c>
      <c r="K1968">
        <v>2.4412196903483747</v>
      </c>
      <c r="L1968">
        <v>0</v>
      </c>
      <c r="M1968">
        <v>1.8260747672886398E-3</v>
      </c>
      <c r="N1968">
        <v>0.15316934243441829</v>
      </c>
      <c r="O1968">
        <v>2.1546421505568032E-2</v>
      </c>
      <c r="P1968">
        <v>2.8210028505488812E-2</v>
      </c>
      <c r="Q1968">
        <v>5.4857525856218852E-3</v>
      </c>
      <c r="R1968">
        <v>1.8025210898610781E-3</v>
      </c>
      <c r="S1968">
        <v>0.26507705427340494</v>
      </c>
      <c r="T1968">
        <v>1.3805362924635838</v>
      </c>
      <c r="U1968">
        <v>0.21596113673635714</v>
      </c>
      <c r="V1968">
        <v>0.24838569414813483</v>
      </c>
      <c r="W1968">
        <v>0.10227195187948851</v>
      </c>
      <c r="X1968">
        <v>1.5693701288049953E-2</v>
      </c>
      <c r="Y1968">
        <v>4.9058682056842759E-3</v>
      </c>
    </row>
    <row r="1969" spans="1:25" x14ac:dyDescent="0.2">
      <c r="A1969" s="1077"/>
      <c r="B1969" s="1444">
        <v>1719</v>
      </c>
      <c r="C1969" s="1081">
        <v>0.97868285220796558</v>
      </c>
      <c r="D1969" s="1081">
        <v>0.99000593719180074</v>
      </c>
      <c r="E1969" s="1081">
        <v>0.99338734310274779</v>
      </c>
      <c r="F1969" s="1081">
        <v>0.99693243828649014</v>
      </c>
      <c r="G1969" s="1081">
        <v>0.99122569923799497</v>
      </c>
      <c r="H1969" s="1081">
        <v>0.95939187806262427</v>
      </c>
      <c r="I1969" s="1081">
        <v>0.99619756585735475</v>
      </c>
      <c r="K1969">
        <v>2.4083671242521882</v>
      </c>
      <c r="L1969">
        <v>0</v>
      </c>
      <c r="M1969">
        <v>1.6352918794954514E-3</v>
      </c>
      <c r="N1969">
        <v>0.14579858039685165</v>
      </c>
      <c r="O1969">
        <v>2.1485636246920549E-2</v>
      </c>
      <c r="P1969">
        <v>2.8382930102742107E-2</v>
      </c>
      <c r="Q1969">
        <v>5.5850412870725678E-3</v>
      </c>
      <c r="R1969">
        <v>1.6127927631753027E-3</v>
      </c>
      <c r="S1969">
        <v>0.26099941376635538</v>
      </c>
      <c r="T1969">
        <v>1.3672885272666566</v>
      </c>
      <c r="U1969">
        <v>0.2165673922160759</v>
      </c>
      <c r="V1969">
        <v>0.24541510069553063</v>
      </c>
      <c r="W1969">
        <v>9.6157919101535386E-2</v>
      </c>
      <c r="X1969">
        <v>1.6319592044396064E-2</v>
      </c>
      <c r="Y1969">
        <v>4.3894902443716802E-3</v>
      </c>
    </row>
    <row r="1970" spans="1:25" x14ac:dyDescent="0.2">
      <c r="A1970" s="1077"/>
      <c r="B1970" s="1444">
        <v>1720</v>
      </c>
      <c r="C1970" s="1081">
        <v>1.038119926199276</v>
      </c>
      <c r="D1970" s="1081">
        <v>1.0120175818980506</v>
      </c>
      <c r="E1970" s="1081">
        <v>0.99188478916977985</v>
      </c>
      <c r="F1970" s="1081">
        <v>1.0162803584118103</v>
      </c>
      <c r="G1970" s="1081">
        <v>0.98820738444478706</v>
      </c>
      <c r="H1970" s="1081">
        <v>0.95859711175299211</v>
      </c>
      <c r="I1970" s="1081">
        <v>0.96252645866078157</v>
      </c>
      <c r="K1970">
        <v>2.3742392494045599</v>
      </c>
      <c r="L1970">
        <v>0</v>
      </c>
      <c r="M1970">
        <v>1.5377324879765738E-3</v>
      </c>
      <c r="N1970">
        <v>0.13647755022115837</v>
      </c>
      <c r="O1970">
        <v>2.0156772574256097E-2</v>
      </c>
      <c r="P1970">
        <v>2.8133627875321029E-2</v>
      </c>
      <c r="Q1970">
        <v>5.2316725390270736E-3</v>
      </c>
      <c r="R1970">
        <v>1.5165580987422627E-3</v>
      </c>
      <c r="S1970">
        <v>0.23504286235849939</v>
      </c>
      <c r="T1970">
        <v>1.3937911387213531</v>
      </c>
      <c r="U1970">
        <v>0.20416298508617675</v>
      </c>
      <c r="V1970">
        <v>0.2412552107969472</v>
      </c>
      <c r="W1970">
        <v>9.0091347539453706E-2</v>
      </c>
      <c r="X1970">
        <v>1.578968487006811E-2</v>
      </c>
      <c r="Y1970">
        <v>4.1275712115335485E-3</v>
      </c>
    </row>
    <row r="1971" spans="1:25" x14ac:dyDescent="0.2">
      <c r="A1971" s="1077"/>
      <c r="B1971" s="1444">
        <v>1721</v>
      </c>
      <c r="C1971" s="1081">
        <v>0.98060172832232295</v>
      </c>
      <c r="D1971" s="1081">
        <v>1.0089130425282153</v>
      </c>
      <c r="E1971" s="1081">
        <v>1.0005030600374034</v>
      </c>
      <c r="F1971" s="1081">
        <v>0.97180761084786893</v>
      </c>
      <c r="G1971" s="1081">
        <v>0.99484102056358403</v>
      </c>
      <c r="H1971" s="1081">
        <v>1.0167507728440657</v>
      </c>
      <c r="I1971" s="1081">
        <v>0.9634013315157447</v>
      </c>
      <c r="K1971">
        <v>2.3816226517453938</v>
      </c>
      <c r="L1971">
        <v>0</v>
      </c>
      <c r="M1971">
        <v>1.6972599224356053E-3</v>
      </c>
      <c r="N1971">
        <v>0.15473431379278429</v>
      </c>
      <c r="O1971">
        <v>2.1359335250723612E-2</v>
      </c>
      <c r="P1971">
        <v>2.7976197114466063E-2</v>
      </c>
      <c r="Q1971">
        <v>5.5921329120146171E-3</v>
      </c>
      <c r="R1971">
        <v>1.6752255815728841E-3</v>
      </c>
      <c r="S1971">
        <v>0.25435981167138838</v>
      </c>
      <c r="T1971">
        <v>1.3329794044841305</v>
      </c>
      <c r="U1971">
        <v>0.21616839789772549</v>
      </c>
      <c r="V1971">
        <v>0.2458826071641787</v>
      </c>
      <c r="W1971">
        <v>0.10161954358931874</v>
      </c>
      <c r="X1971">
        <v>1.6413530414450171E-2</v>
      </c>
      <c r="Y1971">
        <v>4.5594117950768422E-3</v>
      </c>
    </row>
    <row r="1972" spans="1:25" x14ac:dyDescent="0.2">
      <c r="A1972" s="1077"/>
      <c r="B1972" s="1444">
        <v>1722</v>
      </c>
      <c r="C1972" s="1081">
        <v>0.99563074612825453</v>
      </c>
      <c r="D1972" s="1081">
        <v>0.99872919858477149</v>
      </c>
      <c r="E1972" s="1081">
        <v>0.98528169465345994</v>
      </c>
      <c r="F1972" s="1081">
        <v>0.97692893890788635</v>
      </c>
      <c r="G1972" s="1081">
        <v>1.0071452175498219</v>
      </c>
      <c r="H1972" s="1081">
        <v>1.0101285824433202</v>
      </c>
      <c r="I1972" s="1081">
        <v>0.96953560535291139</v>
      </c>
      <c r="K1972">
        <v>2.3755550775205179</v>
      </c>
      <c r="L1972">
        <v>0</v>
      </c>
      <c r="M1972">
        <v>1.7177947591983686E-3</v>
      </c>
      <c r="N1972">
        <v>0.14955114956644067</v>
      </c>
      <c r="O1972">
        <v>2.1073784357287833E-2</v>
      </c>
      <c r="P1972">
        <v>2.7698368685813279E-2</v>
      </c>
      <c r="Q1972">
        <v>5.4332694886911103E-3</v>
      </c>
      <c r="R1972">
        <v>1.6953476286777278E-3</v>
      </c>
      <c r="S1972">
        <v>0.25272411400745859</v>
      </c>
      <c r="T1972">
        <v>1.3396829205593406</v>
      </c>
      <c r="U1972">
        <v>0.21285314248701595</v>
      </c>
      <c r="V1972">
        <v>0.24707870790969164</v>
      </c>
      <c r="W1972">
        <v>9.9113193299246533E-2</v>
      </c>
      <c r="X1972">
        <v>1.5754696915984402E-2</v>
      </c>
      <c r="Y1972">
        <v>4.6141773740651804E-3</v>
      </c>
    </row>
    <row r="1973" spans="1:25" x14ac:dyDescent="0.2">
      <c r="A1973" s="1077"/>
      <c r="B1973" s="1444">
        <v>1723</v>
      </c>
      <c r="C1973" s="1081">
        <v>1.0416831165438916</v>
      </c>
      <c r="D1973" s="1081">
        <v>1.0422306490584976</v>
      </c>
      <c r="E1973" s="1081">
        <v>0.98197778371180067</v>
      </c>
      <c r="F1973" s="1081">
        <v>0.99015720214848335</v>
      </c>
      <c r="G1973" s="1081">
        <v>1.0307527331874657</v>
      </c>
      <c r="H1973" s="1081">
        <v>0.96699061928775421</v>
      </c>
      <c r="I1973" s="1081">
        <v>1.0040462761088664</v>
      </c>
      <c r="K1973">
        <v>2.3477994665799753</v>
      </c>
      <c r="L1973">
        <v>0</v>
      </c>
      <c r="M1973">
        <v>1.5677424847986088E-3</v>
      </c>
      <c r="N1973">
        <v>0.13505054516035786</v>
      </c>
      <c r="O1973">
        <v>1.995199753735594E-2</v>
      </c>
      <c r="P1973">
        <v>2.7609974277503127E-2</v>
      </c>
      <c r="Q1973">
        <v>5.1268385231787797E-3</v>
      </c>
      <c r="R1973">
        <v>1.546342242776161E-3</v>
      </c>
      <c r="S1973">
        <v>0.24137301210983794</v>
      </c>
      <c r="T1973">
        <v>1.3577525956366889</v>
      </c>
      <c r="U1973">
        <v>0.20343218176607253</v>
      </c>
      <c r="V1973">
        <v>0.24835467654412813</v>
      </c>
      <c r="W1973">
        <v>8.9681316501505584E-2</v>
      </c>
      <c r="X1973">
        <v>1.5279094932113857E-2</v>
      </c>
      <c r="Y1973">
        <v>4.2086338332533767E-3</v>
      </c>
    </row>
    <row r="1974" spans="1:25" x14ac:dyDescent="0.2">
      <c r="A1974" s="1077"/>
      <c r="B1974" s="1444">
        <v>1724</v>
      </c>
      <c r="C1974" s="1081">
        <v>0.99397388704208323</v>
      </c>
      <c r="D1974" s="1081">
        <v>1.0248679684974806</v>
      </c>
      <c r="E1974" s="1081">
        <v>1.0104400960410305</v>
      </c>
      <c r="F1974" s="1081">
        <v>0.95332784398917381</v>
      </c>
      <c r="G1974" s="1081">
        <v>0.97537082897174432</v>
      </c>
      <c r="H1974" s="1081">
        <v>1.0166616936981272</v>
      </c>
      <c r="I1974" s="1081">
        <v>1.0235543798529201</v>
      </c>
      <c r="K1974">
        <v>2.356592966900827</v>
      </c>
      <c r="L1974">
        <v>0</v>
      </c>
      <c r="M1974">
        <v>1.6344416466296319E-3</v>
      </c>
      <c r="N1974">
        <v>0.15354663948899433</v>
      </c>
      <c r="O1974">
        <v>2.1005976074049609E-2</v>
      </c>
      <c r="P1974">
        <v>2.7880888763103573E-2</v>
      </c>
      <c r="Q1974">
        <v>5.5546598774151067E-3</v>
      </c>
      <c r="R1974">
        <v>1.6132209724168127E-3</v>
      </c>
      <c r="S1974">
        <v>0.26460996270457576</v>
      </c>
      <c r="T1974">
        <v>1.3078367560375215</v>
      </c>
      <c r="U1974">
        <v>0.21329443693282263</v>
      </c>
      <c r="V1974">
        <v>0.24166752200192762</v>
      </c>
      <c r="W1974">
        <v>0.10024829806160802</v>
      </c>
      <c r="X1974">
        <v>1.6578391944252271E-2</v>
      </c>
      <c r="Y1974">
        <v>4.3906556887679318E-3</v>
      </c>
    </row>
    <row r="1975" spans="1:25" x14ac:dyDescent="0.2">
      <c r="A1975" s="1077"/>
      <c r="B1975" s="1444">
        <v>1725</v>
      </c>
      <c r="C1975" s="1081">
        <v>0.96248681273583037</v>
      </c>
      <c r="D1975" s="1081">
        <v>1.0093534078402733</v>
      </c>
      <c r="E1975" s="1081">
        <v>0.98935542221050066</v>
      </c>
      <c r="F1975" s="1081">
        <v>1.0084716642758873</v>
      </c>
      <c r="G1975" s="1081">
        <v>0.99713672596500269</v>
      </c>
      <c r="H1975" s="1081">
        <v>0.99141215720833287</v>
      </c>
      <c r="I1975" s="1081">
        <v>1.0148265504430996</v>
      </c>
      <c r="K1975">
        <v>2.4509679341242157</v>
      </c>
      <c r="L1975">
        <v>0</v>
      </c>
      <c r="M1975">
        <v>1.7253562371660153E-3</v>
      </c>
      <c r="N1975">
        <v>0.15203332733866351</v>
      </c>
      <c r="O1975">
        <v>2.1751584217283137E-2</v>
      </c>
      <c r="P1975">
        <v>2.8717094923064561E-2</v>
      </c>
      <c r="Q1975">
        <v>5.6311943453070668E-3</v>
      </c>
      <c r="R1975">
        <v>1.7023846630293204E-3</v>
      </c>
      <c r="S1975">
        <v>0.27055736648722234</v>
      </c>
      <c r="T1975">
        <v>1.3830267379612489</v>
      </c>
      <c r="U1975">
        <v>0.22019733371703257</v>
      </c>
      <c r="V1975">
        <v>0.2475117564240977</v>
      </c>
      <c r="W1975">
        <v>0.10051211343612702</v>
      </c>
      <c r="X1975">
        <v>1.6419066986489456E-2</v>
      </c>
      <c r="Y1975">
        <v>4.6333298618124663E-3</v>
      </c>
    </row>
    <row r="1976" spans="1:25" x14ac:dyDescent="0.2">
      <c r="A1976" s="1077"/>
      <c r="B1976" s="1444">
        <v>1726</v>
      </c>
      <c r="C1976" s="1081">
        <v>1.0001358173171868</v>
      </c>
      <c r="D1976" s="1081">
        <v>0.9872980367801415</v>
      </c>
      <c r="E1976" s="1081">
        <v>1.0246467520021625</v>
      </c>
      <c r="F1976" s="1081">
        <v>1.0199393921670878</v>
      </c>
      <c r="G1976" s="1081">
        <v>1.0102275340095723</v>
      </c>
      <c r="H1976" s="1081">
        <v>0.96764927857047078</v>
      </c>
      <c r="I1976" s="1081">
        <v>0.97781794112083986</v>
      </c>
      <c r="K1976">
        <v>2.4325898545773899</v>
      </c>
      <c r="L1976">
        <v>0</v>
      </c>
      <c r="M1976">
        <v>1.5134309556700341E-3</v>
      </c>
      <c r="N1976">
        <v>0.14830663440716124</v>
      </c>
      <c r="O1976">
        <v>2.1058271627034539E-2</v>
      </c>
      <c r="P1976">
        <v>2.933066149542481E-2</v>
      </c>
      <c r="Q1976">
        <v>5.6478011232898966E-3</v>
      </c>
      <c r="R1976">
        <v>1.4927861473950554E-3</v>
      </c>
      <c r="S1976">
        <v>0.25197438913265385</v>
      </c>
      <c r="T1976">
        <v>1.3995332592444043</v>
      </c>
      <c r="U1976">
        <v>0.21202899537947981</v>
      </c>
      <c r="V1976">
        <v>0.24718082710183803</v>
      </c>
      <c r="W1976">
        <v>9.6024170532979444E-2</v>
      </c>
      <c r="X1976">
        <v>1.7462617545008451E-2</v>
      </c>
      <c r="Y1976">
        <v>4.0628717963881057E-3</v>
      </c>
    </row>
    <row r="1977" spans="1:25" x14ac:dyDescent="0.2">
      <c r="A1977" s="1077"/>
      <c r="B1977" s="1444">
        <v>1727</v>
      </c>
      <c r="C1977" s="1081">
        <v>1.0043256252029007</v>
      </c>
      <c r="D1977" s="1081">
        <v>1.0008972625864883</v>
      </c>
      <c r="E1977" s="1081">
        <v>1.0353868934091064</v>
      </c>
      <c r="F1977" s="1081">
        <v>1.0004187639391573</v>
      </c>
      <c r="G1977" s="1081">
        <v>1.0379607665162727</v>
      </c>
      <c r="H1977" s="1081">
        <v>1.0147510872014878</v>
      </c>
      <c r="I1977" s="1081">
        <v>1.017713991050595</v>
      </c>
      <c r="K1977">
        <v>2.4337357085054032</v>
      </c>
      <c r="L1977">
        <v>0</v>
      </c>
      <c r="M1977">
        <v>1.5408556738754676E-3</v>
      </c>
      <c r="N1977">
        <v>0.15606292319411999</v>
      </c>
      <c r="O1977">
        <v>2.0914530979073288E-2</v>
      </c>
      <c r="P1977">
        <v>2.9400174318045039E-2</v>
      </c>
      <c r="Q1977">
        <v>5.669130058280924E-3</v>
      </c>
      <c r="R1977">
        <v>1.5208124002673972E-3</v>
      </c>
      <c r="S1977">
        <v>0.26351688592394396</v>
      </c>
      <c r="T1977">
        <v>1.372981324760802</v>
      </c>
      <c r="U1977">
        <v>0.21118118031991648</v>
      </c>
      <c r="V1977">
        <v>0.25161401603410194</v>
      </c>
      <c r="W1977">
        <v>0.10041814316459199</v>
      </c>
      <c r="X1977">
        <v>1.7858293008277477E-2</v>
      </c>
      <c r="Y1977">
        <v>4.1391500178548429E-3</v>
      </c>
    </row>
    <row r="1978" spans="1:25" x14ac:dyDescent="0.2">
      <c r="A1978" s="1077"/>
      <c r="B1978" s="1444">
        <v>1728</v>
      </c>
      <c r="C1978" s="1081">
        <v>1.015636894798992</v>
      </c>
      <c r="D1978" s="1081">
        <v>1.0046678381389029</v>
      </c>
      <c r="E1978" s="1081">
        <v>1.0042432218880497</v>
      </c>
      <c r="F1978" s="1081">
        <v>1.0091902983619394</v>
      </c>
      <c r="G1978" s="1081">
        <v>1.0293280123529573</v>
      </c>
      <c r="H1978" s="1081">
        <v>0.97904079582363401</v>
      </c>
      <c r="I1978" s="1081">
        <v>0.99450934658859425</v>
      </c>
      <c r="K1978">
        <v>2.4080417475876721</v>
      </c>
      <c r="L1978">
        <v>0</v>
      </c>
      <c r="M1978">
        <v>1.5671879767027834E-3</v>
      </c>
      <c r="N1978">
        <v>0.14442616874972972</v>
      </c>
      <c r="O1978">
        <v>2.0644110509923191E-2</v>
      </c>
      <c r="P1978">
        <v>2.8658786680725936E-2</v>
      </c>
      <c r="Q1978">
        <v>5.425209708791413E-3</v>
      </c>
      <c r="R1978">
        <v>1.5460586080415764E-3</v>
      </c>
      <c r="S1978">
        <v>0.25094049652982475</v>
      </c>
      <c r="T1978">
        <v>1.3843370239880115</v>
      </c>
      <c r="U1978">
        <v>0.20872409732012201</v>
      </c>
      <c r="V1978">
        <v>0.2495630387415626</v>
      </c>
      <c r="W1978">
        <v>9.4639598651965431E-2</v>
      </c>
      <c r="X1978">
        <v>1.6496484202667982E-2</v>
      </c>
      <c r="Y1978">
        <v>4.2078618730060045E-3</v>
      </c>
    </row>
    <row r="1979" spans="1:25" x14ac:dyDescent="0.2">
      <c r="A1979" s="1077"/>
      <c r="B1979" s="1444">
        <v>1729</v>
      </c>
      <c r="C1979" s="1081">
        <v>0.96806604732982138</v>
      </c>
      <c r="D1979" s="1081">
        <v>0.98503066354136293</v>
      </c>
      <c r="E1979" s="1081">
        <v>0.97624379713624243</v>
      </c>
      <c r="F1979" s="1081">
        <v>1.0158519130223482</v>
      </c>
      <c r="G1979" s="1081">
        <v>1.0399358167140209</v>
      </c>
      <c r="H1979" s="1081">
        <v>1.0354950212748661</v>
      </c>
      <c r="I1979" s="1081">
        <v>1.0151868741513401</v>
      </c>
      <c r="K1979">
        <v>2.480815731137711</v>
      </c>
      <c r="L1979">
        <v>0</v>
      </c>
      <c r="M1979">
        <v>1.8508565679429491E-3</v>
      </c>
      <c r="N1979">
        <v>0.1568399543760145</v>
      </c>
      <c r="O1979">
        <v>2.1733595362319346E-2</v>
      </c>
      <c r="P1979">
        <v>2.8717445884405026E-2</v>
      </c>
      <c r="Q1979">
        <v>5.5521668105147975E-3</v>
      </c>
      <c r="R1979">
        <v>1.8272631442049145E-3</v>
      </c>
      <c r="S1979">
        <v>0.27623862029333129</v>
      </c>
      <c r="T1979">
        <v>1.3928610168985829</v>
      </c>
      <c r="U1979">
        <v>0.21888210568821426</v>
      </c>
      <c r="V1979">
        <v>0.25449917770544789</v>
      </c>
      <c r="W1979">
        <v>0.10451221853763626</v>
      </c>
      <c r="X1979">
        <v>1.602981508358765E-2</v>
      </c>
      <c r="Y1979">
        <v>4.9732079213921764E-3</v>
      </c>
    </row>
    <row r="1980" spans="1:25" x14ac:dyDescent="0.2">
      <c r="A1980" s="1077"/>
      <c r="B1980" s="1444">
        <v>1730</v>
      </c>
      <c r="C1980" s="1081">
        <v>0.99319434478947088</v>
      </c>
      <c r="D1980" s="1081">
        <v>0.99923302269851288</v>
      </c>
      <c r="E1980" s="1081">
        <v>1.0141610665156406</v>
      </c>
      <c r="F1980" s="1081">
        <v>1.0189578014863854</v>
      </c>
      <c r="G1980" s="1081">
        <v>0.97938819091847029</v>
      </c>
      <c r="H1980" s="1081">
        <v>1.014624499100462</v>
      </c>
      <c r="I1980" s="1081">
        <v>0.98595706365310609</v>
      </c>
      <c r="K1980">
        <v>2.4449727825819192</v>
      </c>
      <c r="L1980">
        <v>0</v>
      </c>
      <c r="M1980">
        <v>1.6289241832153614E-3</v>
      </c>
      <c r="N1980">
        <v>0.15475267484136185</v>
      </c>
      <c r="O1980">
        <v>2.1142436668939814E-2</v>
      </c>
      <c r="P1980">
        <v>2.912401467108143E-2</v>
      </c>
      <c r="Q1980">
        <v>5.611552205021424E-3</v>
      </c>
      <c r="R1980">
        <v>1.6077326809580935E-3</v>
      </c>
      <c r="S1980">
        <v>0.258185345884412</v>
      </c>
      <c r="T1980">
        <v>1.3979543779495773</v>
      </c>
      <c r="U1980">
        <v>0.21347467889809776</v>
      </c>
      <c r="V1980">
        <v>0.2423898752403299</v>
      </c>
      <c r="W1980">
        <v>0.10081465464743145</v>
      </c>
      <c r="X1980">
        <v>1.7168644709288645E-2</v>
      </c>
      <c r="Y1980">
        <v>4.3757183686320899E-3</v>
      </c>
    </row>
    <row r="1981" spans="1:25" x14ac:dyDescent="0.2">
      <c r="A1981" s="1077"/>
      <c r="B1981" s="1444">
        <v>1731</v>
      </c>
      <c r="C1981" s="1081">
        <v>0.99207996916163244</v>
      </c>
      <c r="D1981" s="1081">
        <v>1.0325892438229514</v>
      </c>
      <c r="E1981" s="1081">
        <v>1.0099200686712271</v>
      </c>
      <c r="F1981" s="1081">
        <v>1.0388374313495288</v>
      </c>
      <c r="G1981" s="1081">
        <v>1.0217148655261208</v>
      </c>
      <c r="H1981" s="1081">
        <v>1.0154487617449739</v>
      </c>
      <c r="I1981" s="1081">
        <v>0.98551384234583472</v>
      </c>
      <c r="K1981">
        <v>2.4736992268316342</v>
      </c>
      <c r="L1981">
        <v>0</v>
      </c>
      <c r="M1981">
        <v>1.6346747192218861E-3</v>
      </c>
      <c r="N1981">
        <v>0.15332522184265635</v>
      </c>
      <c r="O1981">
        <v>2.1011007618335666E-2</v>
      </c>
      <c r="P1981">
        <v>2.9455579751742619E-2</v>
      </c>
      <c r="Q1981">
        <v>5.5531031946324284E-3</v>
      </c>
      <c r="R1981">
        <v>1.6134256676664704E-3</v>
      </c>
      <c r="S1981">
        <v>0.25420825783627499</v>
      </c>
      <c r="T1981">
        <v>1.4251326272186431</v>
      </c>
      <c r="U1981">
        <v>0.21369982942801335</v>
      </c>
      <c r="V1981">
        <v>0.2497011837448716</v>
      </c>
      <c r="W1981">
        <v>0.10013443473484591</v>
      </c>
      <c r="X1981">
        <v>1.7108017711411329E-2</v>
      </c>
      <c r="Y1981">
        <v>4.3912128017597292E-3</v>
      </c>
    </row>
    <row r="1982" spans="1:25" x14ac:dyDescent="0.2">
      <c r="A1982" s="1077"/>
      <c r="B1982" s="1444">
        <v>1732</v>
      </c>
      <c r="C1982" s="1081">
        <v>0.98495446463881731</v>
      </c>
      <c r="D1982" s="1081">
        <v>0.99092149695125531</v>
      </c>
      <c r="E1982" s="1081">
        <v>0.98414084932963042</v>
      </c>
      <c r="F1982" s="1081">
        <v>0.95675592456500425</v>
      </c>
      <c r="G1982" s="1081">
        <v>0.96518630927487836</v>
      </c>
      <c r="H1982" s="1081">
        <v>0.98914258081951312</v>
      </c>
      <c r="I1982" s="1081">
        <v>0.98053402097828213</v>
      </c>
      <c r="K1982">
        <v>2.3459824236896796</v>
      </c>
      <c r="L1982">
        <v>0</v>
      </c>
      <c r="M1982">
        <v>1.7073037976239776E-3</v>
      </c>
      <c r="N1982">
        <v>0.14808418840010654</v>
      </c>
      <c r="O1982">
        <v>2.1338255402888764E-2</v>
      </c>
      <c r="P1982">
        <v>2.7310416994624543E-2</v>
      </c>
      <c r="Q1982">
        <v>5.495096885105747E-3</v>
      </c>
      <c r="R1982">
        <v>1.6845204190330037E-3</v>
      </c>
      <c r="S1982">
        <v>0.25758923859767202</v>
      </c>
      <c r="T1982">
        <v>1.3119957140163685</v>
      </c>
      <c r="U1982">
        <v>0.21515638593145719</v>
      </c>
      <c r="V1982">
        <v>0.24059342434468228</v>
      </c>
      <c r="W1982">
        <v>9.8208360277802928E-2</v>
      </c>
      <c r="X1982">
        <v>1.564941693896129E-2</v>
      </c>
      <c r="Y1982">
        <v>4.5847092786009428E-3</v>
      </c>
    </row>
    <row r="1983" spans="1:25" x14ac:dyDescent="0.2">
      <c r="A1983" s="1077"/>
      <c r="B1983" s="1444">
        <v>1733</v>
      </c>
      <c r="C1983" s="1081">
        <v>0.98136086832221436</v>
      </c>
      <c r="D1983" s="1081">
        <v>0.98140448597172347</v>
      </c>
      <c r="E1983" s="1081">
        <v>1.0075636977707023</v>
      </c>
      <c r="F1983" s="1081">
        <v>0.97990695225355717</v>
      </c>
      <c r="G1983" s="1081">
        <v>1.0242027060370071</v>
      </c>
      <c r="H1983" s="1081">
        <v>1.0099940686357154</v>
      </c>
      <c r="I1983" s="1081">
        <v>0.97811793885052511</v>
      </c>
      <c r="K1983">
        <v>2.4063431570254892</v>
      </c>
      <c r="L1983">
        <v>0</v>
      </c>
      <c r="M1983">
        <v>1.6702951731179174E-3</v>
      </c>
      <c r="N1983">
        <v>0.15554454549914076</v>
      </c>
      <c r="O1983">
        <v>2.1477806648556367E-2</v>
      </c>
      <c r="P1983">
        <v>2.8436348372864805E-2</v>
      </c>
      <c r="Q1983">
        <v>5.6631112358540561E-3</v>
      </c>
      <c r="R1983">
        <v>1.6484658323167414E-3</v>
      </c>
      <c r="S1983">
        <v>0.26111946110623235</v>
      </c>
      <c r="T1983">
        <v>1.344238623831377</v>
      </c>
      <c r="U1983">
        <v>0.21602578775666131</v>
      </c>
      <c r="V1983">
        <v>0.25082156881110368</v>
      </c>
      <c r="W1983">
        <v>0.1017252308305016</v>
      </c>
      <c r="X1983">
        <v>1.6825921695047687E-2</v>
      </c>
      <c r="Y1983">
        <v>4.4865805789505928E-3</v>
      </c>
    </row>
    <row r="1984" spans="1:25" x14ac:dyDescent="0.2">
      <c r="A1984" s="1077"/>
      <c r="B1984" s="1444">
        <v>1734</v>
      </c>
      <c r="C1984" s="1081">
        <v>0.99759951841688022</v>
      </c>
      <c r="D1984" s="1081">
        <v>0.97168286852158225</v>
      </c>
      <c r="E1984" s="1081">
        <v>0.9604794073235301</v>
      </c>
      <c r="F1984" s="1081">
        <v>1.0170143258282687</v>
      </c>
      <c r="G1984" s="1081">
        <v>1.0421142570128701</v>
      </c>
      <c r="H1984" s="1081">
        <v>1.0062879573101269</v>
      </c>
      <c r="I1984" s="1081">
        <v>0.95903969174080717</v>
      </c>
      <c r="K1984">
        <v>2.4306316388380598</v>
      </c>
      <c r="L1984">
        <v>0</v>
      </c>
      <c r="M1984">
        <v>1.8085463920199361E-3</v>
      </c>
      <c r="N1984">
        <v>0.14605560086921557</v>
      </c>
      <c r="O1984">
        <v>2.1143080457225197E-2</v>
      </c>
      <c r="P1984">
        <v>2.7967610062059643E-2</v>
      </c>
      <c r="Q1984">
        <v>5.3149015535123691E-3</v>
      </c>
      <c r="R1984">
        <v>1.7848231741891037E-3</v>
      </c>
      <c r="S1984">
        <v>0.25244245595545062</v>
      </c>
      <c r="T1984">
        <v>1.3941103682024498</v>
      </c>
      <c r="U1984">
        <v>0.21234846536581101</v>
      </c>
      <c r="V1984">
        <v>0.25302566181839359</v>
      </c>
      <c r="W1984">
        <v>9.8265478819958771E-2</v>
      </c>
      <c r="X1984">
        <v>1.5124038638469908E-2</v>
      </c>
      <c r="Y1984">
        <v>4.8577003133414972E-3</v>
      </c>
    </row>
    <row r="1985" spans="1:25" x14ac:dyDescent="0.2">
      <c r="A1985" s="1077"/>
      <c r="B1985" s="1444">
        <v>1735</v>
      </c>
      <c r="C1985" s="1081">
        <v>1.0340646142139944</v>
      </c>
      <c r="D1985" s="1081">
        <v>0.98917671843256028</v>
      </c>
      <c r="E1985" s="1081">
        <v>1.0283960739380262</v>
      </c>
      <c r="F1985" s="1081">
        <v>1.0315967132260564</v>
      </c>
      <c r="G1985" s="1081">
        <v>1.0156992050691251</v>
      </c>
      <c r="H1985" s="1081">
        <v>1.0059738521256474</v>
      </c>
      <c r="I1985" s="1081">
        <v>0.99895178059609224</v>
      </c>
      <c r="K1985">
        <v>2.4418888855683187</v>
      </c>
      <c r="L1985">
        <v>0</v>
      </c>
      <c r="M1985">
        <v>1.5092796492066816E-3</v>
      </c>
      <c r="N1985">
        <v>0.1496602098426614</v>
      </c>
      <c r="O1985">
        <v>2.0361231975393558E-2</v>
      </c>
      <c r="P1985">
        <v>2.9521700999998679E-2</v>
      </c>
      <c r="Q1985">
        <v>5.4811754491026782E-3</v>
      </c>
      <c r="R1985">
        <v>1.4894758168115818E-3</v>
      </c>
      <c r="S1985">
        <v>0.25192442562457512</v>
      </c>
      <c r="T1985">
        <v>1.4156132067827316</v>
      </c>
      <c r="U1985">
        <v>0.20508453456497913</v>
      </c>
      <c r="V1985">
        <v>0.24605337874389979</v>
      </c>
      <c r="W1985">
        <v>9.6689331111413576E-2</v>
      </c>
      <c r="X1985">
        <v>1.7465632138166064E-2</v>
      </c>
      <c r="Y1985">
        <v>4.0538621677900736E-3</v>
      </c>
    </row>
    <row r="1986" spans="1:25" x14ac:dyDescent="0.2">
      <c r="A1986" s="1077"/>
      <c r="B1986" s="1444">
        <v>1736</v>
      </c>
      <c r="C1986" s="1081">
        <v>1.0078647928433391</v>
      </c>
      <c r="D1986" s="1081">
        <v>1.003056744904947</v>
      </c>
      <c r="E1986" s="1081">
        <v>1.0287239920378133</v>
      </c>
      <c r="F1986" s="1081">
        <v>0.99177266487968763</v>
      </c>
      <c r="G1986" s="1081">
        <v>1.027077550020473</v>
      </c>
      <c r="H1986" s="1081">
        <v>0.99419194607790351</v>
      </c>
      <c r="I1986" s="1081">
        <v>0.98430845494480346</v>
      </c>
      <c r="K1986">
        <v>2.3987364743782869</v>
      </c>
      <c r="L1986">
        <v>0</v>
      </c>
      <c r="M1986">
        <v>1.5246516115364755E-3</v>
      </c>
      <c r="N1986">
        <v>0.15131018955638059</v>
      </c>
      <c r="O1986">
        <v>2.0826803414451516E-2</v>
      </c>
      <c r="P1986">
        <v>2.889057605464972E-2</v>
      </c>
      <c r="Q1986">
        <v>5.6083251436556082E-3</v>
      </c>
      <c r="R1986">
        <v>1.5044089974819445E-3</v>
      </c>
      <c r="S1986">
        <v>0.25193704759126073</v>
      </c>
      <c r="T1986">
        <v>1.3609715512818534</v>
      </c>
      <c r="U1986">
        <v>0.21041690051857309</v>
      </c>
      <c r="V1986">
        <v>0.24956299425890238</v>
      </c>
      <c r="W1986">
        <v>9.7736688577502964E-2</v>
      </c>
      <c r="X1986">
        <v>1.7401135232257912E-2</v>
      </c>
      <c r="Y1986">
        <v>4.0945053628531165E-3</v>
      </c>
    </row>
    <row r="1987" spans="1:25" x14ac:dyDescent="0.2">
      <c r="A1987" s="1077"/>
      <c r="B1987" s="1444">
        <v>1737</v>
      </c>
      <c r="C1987" s="1081">
        <v>0.99819421840827927</v>
      </c>
      <c r="D1987" s="1081">
        <v>1.0036944586231042</v>
      </c>
      <c r="E1987" s="1081">
        <v>0.99024256291073243</v>
      </c>
      <c r="F1987" s="1081">
        <v>0.98870562475572399</v>
      </c>
      <c r="G1987" s="1081">
        <v>0.97306635010967457</v>
      </c>
      <c r="H1987" s="1081">
        <v>1.0155275920762101</v>
      </c>
      <c r="I1987" s="1081">
        <v>0.96083580013129666</v>
      </c>
      <c r="K1987">
        <v>2.3838393437941869</v>
      </c>
      <c r="L1987">
        <v>0</v>
      </c>
      <c r="M1987">
        <v>1.7030808578629088E-3</v>
      </c>
      <c r="N1987">
        <v>0.15052177021215088</v>
      </c>
      <c r="O1987">
        <v>2.1000033121863642E-2</v>
      </c>
      <c r="P1987">
        <v>2.7892584737960285E-2</v>
      </c>
      <c r="Q1987">
        <v>5.4415055217155901E-3</v>
      </c>
      <c r="R1987">
        <v>1.6809443169557264E-3</v>
      </c>
      <c r="S1987">
        <v>0.24967546241012525</v>
      </c>
      <c r="T1987">
        <v>1.3559383520598196</v>
      </c>
      <c r="U1987">
        <v>0.21232346725524631</v>
      </c>
      <c r="V1987">
        <v>0.24107836075425226</v>
      </c>
      <c r="W1987">
        <v>9.9459913823725349E-2</v>
      </c>
      <c r="X1987">
        <v>1.5955054130623047E-2</v>
      </c>
      <c r="Y1987">
        <v>4.5749763076083274E-3</v>
      </c>
    </row>
    <row r="1988" spans="1:25" x14ac:dyDescent="0.2">
      <c r="A1988" s="1077"/>
      <c r="B1988" s="1444">
        <v>1738</v>
      </c>
      <c r="C1988" s="1081">
        <v>0.99829050212858039</v>
      </c>
      <c r="D1988" s="1081">
        <v>0.98051016150497039</v>
      </c>
      <c r="E1988" s="1081">
        <v>0.99295414488832567</v>
      </c>
      <c r="F1988" s="1081">
        <v>0.97347849060702529</v>
      </c>
      <c r="G1988" s="1081">
        <v>0.99413854333798246</v>
      </c>
      <c r="H1988" s="1081">
        <v>0.98476606143630796</v>
      </c>
      <c r="I1988" s="1081">
        <v>0.96557215530472629</v>
      </c>
      <c r="K1988">
        <v>2.3621380215289096</v>
      </c>
      <c r="L1988">
        <v>0</v>
      </c>
      <c r="M1988">
        <v>1.6505475670081315E-3</v>
      </c>
      <c r="N1988">
        <v>0.14701899794523937</v>
      </c>
      <c r="O1988">
        <v>2.1108052609635719E-2</v>
      </c>
      <c r="P1988">
        <v>2.7737457210242452E-2</v>
      </c>
      <c r="Q1988">
        <v>5.484493300083995E-3</v>
      </c>
      <c r="R1988">
        <v>1.6284236922999996E-3</v>
      </c>
      <c r="S1988">
        <v>0.25131353158778835</v>
      </c>
      <c r="T1988">
        <v>1.3351124312694413</v>
      </c>
      <c r="U1988">
        <v>0.21231226129344982</v>
      </c>
      <c r="V1988">
        <v>0.24466212313704225</v>
      </c>
      <c r="W1988">
        <v>9.6987919163400299E-2</v>
      </c>
      <c r="X1988">
        <v>1.5990845406579173E-2</v>
      </c>
      <c r="Y1988">
        <v>4.4320324807147031E-3</v>
      </c>
    </row>
    <row r="1989" spans="1:25" x14ac:dyDescent="0.2">
      <c r="A1989" s="1077"/>
      <c r="B1989" s="1444">
        <v>1739</v>
      </c>
      <c r="C1989" s="1081">
        <v>0.99262185785365242</v>
      </c>
      <c r="D1989" s="1081">
        <v>1.0090160956102192</v>
      </c>
      <c r="E1989" s="1081">
        <v>0.99405150843285939</v>
      </c>
      <c r="F1989" s="1081">
        <v>1.0151154462384562</v>
      </c>
      <c r="G1989" s="1081">
        <v>0.96762843138985422</v>
      </c>
      <c r="H1989" s="1081">
        <v>0.97218356875329826</v>
      </c>
      <c r="I1989" s="1081">
        <v>0.98650252009525219</v>
      </c>
      <c r="K1989">
        <v>2.4163560432944298</v>
      </c>
      <c r="L1989">
        <v>0</v>
      </c>
      <c r="M1989">
        <v>1.6247654100864351E-3</v>
      </c>
      <c r="N1989">
        <v>0.14517781016124406</v>
      </c>
      <c r="O1989">
        <v>2.1095907550824713E-2</v>
      </c>
      <c r="P1989">
        <v>2.8525668962480887E-2</v>
      </c>
      <c r="Q1989">
        <v>5.4874089896735116E-3</v>
      </c>
      <c r="R1989">
        <v>1.6027052527027067E-3</v>
      </c>
      <c r="S1989">
        <v>0.25347985588417871</v>
      </c>
      <c r="T1989">
        <v>1.3922410073286888</v>
      </c>
      <c r="U1989">
        <v>0.21352850479042151</v>
      </c>
      <c r="V1989">
        <v>0.2404871725177819</v>
      </c>
      <c r="W1989">
        <v>9.5710528581331458E-2</v>
      </c>
      <c r="X1989">
        <v>1.6282203318974755E-2</v>
      </c>
      <c r="Y1989">
        <v>4.3620353662122066E-3</v>
      </c>
    </row>
    <row r="1990" spans="1:25" x14ac:dyDescent="0.2">
      <c r="A1990" s="1077"/>
      <c r="B1990" s="1444">
        <v>1740</v>
      </c>
      <c r="C1990" s="1081">
        <v>1.0218741548083126</v>
      </c>
      <c r="D1990" s="1081">
        <v>0.98463372540660909</v>
      </c>
      <c r="E1990" s="1081">
        <v>1.033238638568279</v>
      </c>
      <c r="F1990" s="1081">
        <v>1.0188321921300085</v>
      </c>
      <c r="G1990" s="1081">
        <v>1.0269133949177789</v>
      </c>
      <c r="H1990" s="1081">
        <v>1.0207665597437967</v>
      </c>
      <c r="I1990" s="1081">
        <v>1.0102417572000524</v>
      </c>
      <c r="K1990">
        <v>2.4458695435618982</v>
      </c>
      <c r="L1990">
        <v>0</v>
      </c>
      <c r="M1990">
        <v>1.5357361658342172E-3</v>
      </c>
      <c r="N1990">
        <v>0.15455265967109189</v>
      </c>
      <c r="O1990">
        <v>2.0628178833967736E-2</v>
      </c>
      <c r="P1990">
        <v>2.956183847956181E-2</v>
      </c>
      <c r="Q1990">
        <v>5.5796753524246121E-3</v>
      </c>
      <c r="R1990">
        <v>1.5158772106349655E-3</v>
      </c>
      <c r="S1990">
        <v>0.25969662561079893</v>
      </c>
      <c r="T1990">
        <v>1.3982043830677398</v>
      </c>
      <c r="U1990">
        <v>0.20754736671753474</v>
      </c>
      <c r="V1990">
        <v>0.24866955502966612</v>
      </c>
      <c r="W1990">
        <v>9.9570038042876674E-2</v>
      </c>
      <c r="X1990">
        <v>1.7753363652871095E-2</v>
      </c>
      <c r="Y1990">
        <v>4.1257180585601901E-3</v>
      </c>
    </row>
    <row r="1991" spans="1:25" x14ac:dyDescent="0.2">
      <c r="A1991" s="1077"/>
      <c r="B1991" s="1444">
        <v>1741</v>
      </c>
      <c r="C1991" s="1081">
        <v>0.97017137173436496</v>
      </c>
      <c r="D1991" s="1081">
        <v>1.0028299118972641</v>
      </c>
      <c r="E1991" s="1081">
        <v>1.0029400340446777</v>
      </c>
      <c r="F1991" s="1081">
        <v>1.0356640151130152</v>
      </c>
      <c r="G1991" s="1081">
        <v>1.038062875607902</v>
      </c>
      <c r="H1991" s="1081">
        <v>0.96554671395008806</v>
      </c>
      <c r="I1991" s="1081">
        <v>1.0034408098214525</v>
      </c>
      <c r="K1991">
        <v>2.4819836870771077</v>
      </c>
      <c r="L1991">
        <v>0</v>
      </c>
      <c r="M1991">
        <v>1.623054851756345E-3</v>
      </c>
      <c r="N1991">
        <v>0.14895859969457548</v>
      </c>
      <c r="O1991">
        <v>2.1619379775165939E-2</v>
      </c>
      <c r="P1991">
        <v>2.9500915100828334E-2</v>
      </c>
      <c r="Q1991">
        <v>5.6740847241018013E-3</v>
      </c>
      <c r="R1991">
        <v>1.6008664446559144E-3</v>
      </c>
      <c r="S1991">
        <v>0.2641060108205161</v>
      </c>
      <c r="T1991">
        <v>1.4206226144223493</v>
      </c>
      <c r="U1991">
        <v>0.2185010227593121</v>
      </c>
      <c r="V1991">
        <v>0.25393853580412146</v>
      </c>
      <c r="W1991">
        <v>9.7685028608499078E-2</v>
      </c>
      <c r="X1991">
        <v>1.7042653037866676E-2</v>
      </c>
      <c r="Y1991">
        <v>4.3570307368717472E-3</v>
      </c>
    </row>
    <row r="1992" spans="1:25" x14ac:dyDescent="0.2">
      <c r="A1992" s="1077"/>
      <c r="B1992" s="1444">
        <v>1742</v>
      </c>
      <c r="C1992" s="1081">
        <v>1.0172575881569801</v>
      </c>
      <c r="D1992" s="1081">
        <v>1.0241874170418523</v>
      </c>
      <c r="E1992" s="1081">
        <v>0.99112894973590426</v>
      </c>
      <c r="F1992" s="1081">
        <v>0.99563880866955379</v>
      </c>
      <c r="G1992" s="1081">
        <v>0.9756811368377829</v>
      </c>
      <c r="H1992" s="1081">
        <v>1.0254271998726838</v>
      </c>
      <c r="I1992" s="1081">
        <v>1.0320948006366621</v>
      </c>
      <c r="K1992">
        <v>2.3967142393785554</v>
      </c>
      <c r="L1992">
        <v>0</v>
      </c>
      <c r="M1992">
        <v>1.6768877638014602E-3</v>
      </c>
      <c r="N1992">
        <v>0.1486233609691355</v>
      </c>
      <c r="O1992">
        <v>2.0515641977951155E-2</v>
      </c>
      <c r="P1992">
        <v>2.8135373886031934E-2</v>
      </c>
      <c r="Q1992">
        <v>5.320753692369719E-3</v>
      </c>
      <c r="R1992">
        <v>1.6553021013714613E-3</v>
      </c>
      <c r="S1992">
        <v>0.26138976045224888</v>
      </c>
      <c r="T1992">
        <v>1.3654657642365484</v>
      </c>
      <c r="U1992">
        <v>0.20834750737391136</v>
      </c>
      <c r="V1992">
        <v>0.24035070713364057</v>
      </c>
      <c r="W1992">
        <v>9.8153401459719042E-2</v>
      </c>
      <c r="X1992">
        <v>1.5928367209685771E-2</v>
      </c>
      <c r="Y1992">
        <v>4.5051866497420523E-3</v>
      </c>
    </row>
    <row r="1993" spans="1:25" x14ac:dyDescent="0.2">
      <c r="A1993" s="1077"/>
      <c r="B1993" s="1444">
        <v>1743</v>
      </c>
      <c r="C1993" s="1081">
        <v>1.0073842660044441</v>
      </c>
      <c r="D1993" s="1081">
        <v>0.99522901344675563</v>
      </c>
      <c r="E1993" s="1081">
        <v>0.98344276398674535</v>
      </c>
      <c r="F1993" s="1081">
        <v>0.96260014713783026</v>
      </c>
      <c r="G1993" s="1081">
        <v>0.97598942765689445</v>
      </c>
      <c r="H1993" s="1081">
        <v>0.981896569462125</v>
      </c>
      <c r="I1993" s="1081">
        <v>1.0048972396225371</v>
      </c>
      <c r="K1993">
        <v>2.3404545217079131</v>
      </c>
      <c r="L1993">
        <v>0</v>
      </c>
      <c r="M1993">
        <v>1.6578738764662019E-3</v>
      </c>
      <c r="N1993">
        <v>0.1434792093104906</v>
      </c>
      <c r="O1993">
        <v>2.0842792231838235E-2</v>
      </c>
      <c r="P1993">
        <v>2.7336204121636499E-2</v>
      </c>
      <c r="Q1993">
        <v>5.3637045486548849E-3</v>
      </c>
      <c r="R1993">
        <v>1.6355868584563278E-3</v>
      </c>
      <c r="S1993">
        <v>0.25692862789477211</v>
      </c>
      <c r="T1993">
        <v>1.319995388569539</v>
      </c>
      <c r="U1993">
        <v>0.2103634829698168</v>
      </c>
      <c r="V1993">
        <v>0.2410314951318196</v>
      </c>
      <c r="W1993">
        <v>9.5194369100828666E-2</v>
      </c>
      <c r="X1993">
        <v>1.5490006588872351E-2</v>
      </c>
      <c r="Y1993">
        <v>4.4515282576551374E-3</v>
      </c>
    </row>
    <row r="1994" spans="1:25" x14ac:dyDescent="0.2">
      <c r="A1994" s="1077"/>
      <c r="B1994" s="1444">
        <v>1744</v>
      </c>
      <c r="C1994" s="1081">
        <v>1.005818974059179</v>
      </c>
      <c r="D1994" s="1081">
        <v>1.0240594411477584</v>
      </c>
      <c r="E1994" s="1081">
        <v>0.99009602710594935</v>
      </c>
      <c r="F1994" s="1081">
        <v>0.96923841959150692</v>
      </c>
      <c r="G1994" s="1081">
        <v>0.99811161479231947</v>
      </c>
      <c r="H1994" s="1081">
        <v>0.98253124524505653</v>
      </c>
      <c r="I1994" s="1081">
        <v>0.99591437922059778</v>
      </c>
      <c r="K1994">
        <v>2.3489811083350602</v>
      </c>
      <c r="L1994">
        <v>0</v>
      </c>
      <c r="M1994">
        <v>1.6285374157989539E-3</v>
      </c>
      <c r="N1994">
        <v>0.14380608714091991</v>
      </c>
      <c r="O1994">
        <v>2.0748848277244013E-2</v>
      </c>
      <c r="P1994">
        <v>2.758239309365013E-2</v>
      </c>
      <c r="Q1994">
        <v>5.375622595060468E-3</v>
      </c>
      <c r="R1994">
        <v>1.6066589134838692E-3</v>
      </c>
      <c r="S1994">
        <v>0.25150950964039687</v>
      </c>
      <c r="T1994">
        <v>1.3292374205847284</v>
      </c>
      <c r="U1994">
        <v>0.21071342140109406</v>
      </c>
      <c r="V1994">
        <v>0.24488330646184303</v>
      </c>
      <c r="W1994">
        <v>9.5030748499377357E-2</v>
      </c>
      <c r="X1994">
        <v>1.5742833215528166E-2</v>
      </c>
      <c r="Y1994">
        <v>4.3727959275346052E-3</v>
      </c>
    </row>
    <row r="1995" spans="1:25" x14ac:dyDescent="0.2">
      <c r="A1995" s="1077"/>
      <c r="B1995" s="1444">
        <v>1745</v>
      </c>
      <c r="C1995" s="1081">
        <v>1.009057778832835</v>
      </c>
      <c r="D1995" s="1081">
        <v>0.97774573224506722</v>
      </c>
      <c r="E1995" s="1081">
        <v>0.97374727100682656</v>
      </c>
      <c r="F1995" s="1081">
        <v>0.99028524364226533</v>
      </c>
      <c r="G1995" s="1081">
        <v>1.0080374104571175</v>
      </c>
      <c r="H1995" s="1081">
        <v>1.0139209816439088</v>
      </c>
      <c r="I1995" s="1081">
        <v>0.97832981392247254</v>
      </c>
      <c r="K1995">
        <v>2.3880250871917061</v>
      </c>
      <c r="L1995">
        <v>0</v>
      </c>
      <c r="M1995">
        <v>1.7505205213096348E-3</v>
      </c>
      <c r="N1995">
        <v>0.14718044240369141</v>
      </c>
      <c r="O1995">
        <v>2.0883130094880301E-2</v>
      </c>
      <c r="P1995">
        <v>2.7675914167487593E-2</v>
      </c>
      <c r="Q1995">
        <v>5.3213452982473833E-3</v>
      </c>
      <c r="R1995">
        <v>1.7277313089949769E-3</v>
      </c>
      <c r="S1995">
        <v>0.25453791843758222</v>
      </c>
      <c r="T1995">
        <v>1.3577526968853866</v>
      </c>
      <c r="U1995">
        <v>0.20998186638079125</v>
      </c>
      <c r="V1995">
        <v>0.24644020786456103</v>
      </c>
      <c r="W1995">
        <v>9.8224030071314361E-2</v>
      </c>
      <c r="X1995">
        <v>1.5348009723464855E-2</v>
      </c>
      <c r="Y1995">
        <v>4.7023150766113868E-3</v>
      </c>
    </row>
    <row r="1996" spans="1:25" x14ac:dyDescent="0.2">
      <c r="A1996" s="1077"/>
      <c r="B1996" s="1444">
        <v>1746</v>
      </c>
      <c r="C1996" s="1081">
        <v>0.99847571079186892</v>
      </c>
      <c r="D1996" s="1081">
        <v>1.0017033132564548</v>
      </c>
      <c r="E1996" s="1081">
        <v>0.98991050750736909</v>
      </c>
      <c r="F1996" s="1081">
        <v>0.99767484789641403</v>
      </c>
      <c r="G1996" s="1081">
        <v>0.97376977588350222</v>
      </c>
      <c r="H1996" s="1081">
        <v>1.043649903301644</v>
      </c>
      <c r="I1996" s="1081">
        <v>0.97900820066797445</v>
      </c>
      <c r="K1996">
        <v>2.4109063297037521</v>
      </c>
      <c r="L1996">
        <v>0</v>
      </c>
      <c r="M1996">
        <v>1.751718537507898E-3</v>
      </c>
      <c r="N1996">
        <v>0.15471999886395249</v>
      </c>
      <c r="O1996">
        <v>2.1003066229301513E-2</v>
      </c>
      <c r="P1996">
        <v>2.8150812366525911E-2</v>
      </c>
      <c r="Q1996">
        <v>5.4404652441577619E-3</v>
      </c>
      <c r="R1996">
        <v>1.729563335863365E-3</v>
      </c>
      <c r="S1996">
        <v>0.25691933606539363</v>
      </c>
      <c r="T1996">
        <v>1.3682318431688867</v>
      </c>
      <c r="U1996">
        <v>0.21226247358851513</v>
      </c>
      <c r="V1996">
        <v>0.24118205886751654</v>
      </c>
      <c r="W1996">
        <v>0.10225430474686018</v>
      </c>
      <c r="X1996">
        <v>1.6056824514464607E-2</v>
      </c>
      <c r="Y1996">
        <v>4.7073012498196455E-3</v>
      </c>
    </row>
    <row r="1997" spans="1:25" x14ac:dyDescent="0.2">
      <c r="A1997" s="1077"/>
      <c r="B1997" s="1444">
        <v>1747</v>
      </c>
      <c r="C1997" s="1081">
        <v>0.97580246354203326</v>
      </c>
      <c r="D1997" s="1081">
        <v>1.0285943086246392</v>
      </c>
      <c r="E1997" s="1081">
        <v>1.0460114334869179</v>
      </c>
      <c r="F1997" s="1081">
        <v>0.98321784881019314</v>
      </c>
      <c r="G1997" s="1081">
        <v>1.0121309103332554</v>
      </c>
      <c r="H1997" s="1081">
        <v>0.96980974183319779</v>
      </c>
      <c r="I1997" s="1081">
        <v>0.97854781882830222</v>
      </c>
      <c r="K1997">
        <v>2.4006325389541789</v>
      </c>
      <c r="L1997">
        <v>0</v>
      </c>
      <c r="M1997">
        <v>1.4735452938808469E-3</v>
      </c>
      <c r="N1997">
        <v>0.15400500220119925</v>
      </c>
      <c r="O1997">
        <v>2.1404218061878481E-2</v>
      </c>
      <c r="P1997">
        <v>2.9205412728342196E-2</v>
      </c>
      <c r="Q1997">
        <v>5.8627720479461423E-3</v>
      </c>
      <c r="R1997">
        <v>1.4534893472255815E-3</v>
      </c>
      <c r="S1997">
        <v>0.25353512249839893</v>
      </c>
      <c r="T1997">
        <v>1.3496023740890954</v>
      </c>
      <c r="U1997">
        <v>0.21739154769650768</v>
      </c>
      <c r="V1997">
        <v>0.24898753030225615</v>
      </c>
      <c r="W1997">
        <v>9.8489790788705053E-2</v>
      </c>
      <c r="X1997">
        <v>1.8212905625989484E-2</v>
      </c>
      <c r="Y1997">
        <v>3.9559188605134913E-3</v>
      </c>
    </row>
    <row r="1998" spans="1:25" x14ac:dyDescent="0.2">
      <c r="A1998" s="1077"/>
      <c r="B1998" s="1444">
        <v>1748</v>
      </c>
      <c r="C1998" s="1081">
        <v>1.0025670938987241</v>
      </c>
      <c r="D1998" s="1081">
        <v>1.0160685918112002</v>
      </c>
      <c r="E1998" s="1081">
        <v>1.0283885234977739</v>
      </c>
      <c r="F1998" s="1081">
        <v>1.0029970664481898</v>
      </c>
      <c r="G1998" s="1081">
        <v>1.0266635780547413</v>
      </c>
      <c r="H1998" s="1081">
        <v>0.98412852746399482</v>
      </c>
      <c r="I1998" s="1081">
        <v>1.001426551028352</v>
      </c>
      <c r="K1998">
        <v>2.4171007583963857</v>
      </c>
      <c r="L1998">
        <v>0</v>
      </c>
      <c r="M1998">
        <v>1.5139554504005422E-3</v>
      </c>
      <c r="N1998">
        <v>0.15007613905019601</v>
      </c>
      <c r="O1998">
        <v>2.0877349779386007E-2</v>
      </c>
      <c r="P1998">
        <v>2.9162066206957164E-2</v>
      </c>
      <c r="Q1998">
        <v>5.6200706417580126E-3</v>
      </c>
      <c r="R1998">
        <v>1.4936493049293863E-3</v>
      </c>
      <c r="S1998">
        <v>0.25516170306547148</v>
      </c>
      <c r="T1998">
        <v>1.3763670487916002</v>
      </c>
      <c r="U1998">
        <v>0.21152762292609931</v>
      </c>
      <c r="V1998">
        <v>0.24982084159098483</v>
      </c>
      <c r="W1998">
        <v>9.695847142455892E-2</v>
      </c>
      <c r="X1998">
        <v>1.7484530038185654E-2</v>
      </c>
      <c r="Y1998">
        <v>4.0652210266567497E-3</v>
      </c>
    </row>
    <row r="1999" spans="1:25" x14ac:dyDescent="0.2">
      <c r="A1999" s="1077"/>
      <c r="B1999" s="1444">
        <v>1749</v>
      </c>
      <c r="C1999" s="1081">
        <v>1.0067770271755059</v>
      </c>
      <c r="D1999" s="1081">
        <v>1.0077885151365109</v>
      </c>
      <c r="E1999" s="1081">
        <v>0.95340843448933543</v>
      </c>
      <c r="F1999" s="1081">
        <v>0.99755058706272237</v>
      </c>
      <c r="G1999" s="1081">
        <v>1.0030337969054282</v>
      </c>
      <c r="H1999" s="1081">
        <v>0.97052273231474628</v>
      </c>
      <c r="I1999" s="1081">
        <v>1.0412697099275039</v>
      </c>
      <c r="K1999">
        <v>2.3900278146166398</v>
      </c>
      <c r="L1999">
        <v>0</v>
      </c>
      <c r="M1999">
        <v>1.73970800820254E-3</v>
      </c>
      <c r="N1999">
        <v>0.13745005252842726</v>
      </c>
      <c r="O1999">
        <v>2.0778240550472556E-2</v>
      </c>
      <c r="P1999">
        <v>2.7485665935708448E-2</v>
      </c>
      <c r="Q1999">
        <v>5.1853021225927451E-3</v>
      </c>
      <c r="R1999">
        <v>1.7160468026294615E-3</v>
      </c>
      <c r="S1999">
        <v>0.26346824408542474</v>
      </c>
      <c r="T1999">
        <v>1.3672785541769845</v>
      </c>
      <c r="U1999">
        <v>0.21038891732224793</v>
      </c>
      <c r="V1999">
        <v>0.24580119835855951</v>
      </c>
      <c r="W1999">
        <v>9.2878719720007386E-2</v>
      </c>
      <c r="X1999">
        <v>1.4666067319707413E-2</v>
      </c>
      <c r="Y1999">
        <v>4.6705137020809423E-3</v>
      </c>
    </row>
    <row r="2000" spans="1:25" x14ac:dyDescent="0.2">
      <c r="A2000" s="1077"/>
      <c r="B2000" s="1444">
        <v>1750</v>
      </c>
      <c r="C2000" s="1081">
        <v>0.95850702525404796</v>
      </c>
      <c r="D2000" s="1081">
        <v>0.98582344001628242</v>
      </c>
      <c r="E2000" s="1081">
        <v>0.9985647062955274</v>
      </c>
      <c r="F2000" s="1081">
        <v>1.0015177316576651</v>
      </c>
      <c r="G2000" s="1081">
        <v>0.98462183324744812</v>
      </c>
      <c r="H2000" s="1081">
        <v>0.98235702274255199</v>
      </c>
      <c r="I2000" s="1081">
        <v>1.0014157923857869</v>
      </c>
      <c r="K2000">
        <v>2.4429981539921473</v>
      </c>
      <c r="L2000">
        <v>0</v>
      </c>
      <c r="M2000">
        <v>1.693006490736044E-3</v>
      </c>
      <c r="N2000">
        <v>0.15337460685856757</v>
      </c>
      <c r="O2000">
        <v>2.1961928649612973E-2</v>
      </c>
      <c r="P2000">
        <v>2.8775662331687997E-2</v>
      </c>
      <c r="Q2000">
        <v>5.7387041276635645E-3</v>
      </c>
      <c r="R2000">
        <v>1.670257848152357E-3</v>
      </c>
      <c r="S2000">
        <v>0.27055513407789888</v>
      </c>
      <c r="T2000">
        <v>1.3736892933163678</v>
      </c>
      <c r="U2000">
        <v>0.22114441912295191</v>
      </c>
      <c r="V2000">
        <v>0.24561092422243519</v>
      </c>
      <c r="W2000">
        <v>0.10084272736851209</v>
      </c>
      <c r="X2000">
        <v>1.6781611296709881E-2</v>
      </c>
      <c r="Y2000">
        <v>4.5458912623190509E-3</v>
      </c>
    </row>
    <row r="2001" spans="1:25" x14ac:dyDescent="0.2">
      <c r="A2001" s="1077"/>
      <c r="B2001" s="1444">
        <v>1751</v>
      </c>
      <c r="C2001" s="1081">
        <v>1.0011266130281793</v>
      </c>
      <c r="D2001" s="1081">
        <v>0.98544307161390254</v>
      </c>
      <c r="E2001" s="1081">
        <v>1.007058380529428</v>
      </c>
      <c r="F2001" s="1081">
        <v>1.0080430961041369</v>
      </c>
      <c r="G2001" s="1081">
        <v>1.0232867473050129</v>
      </c>
      <c r="H2001" s="1081">
        <v>0.99646132050087521</v>
      </c>
      <c r="I2001" s="1081">
        <v>1.0317131865196587</v>
      </c>
      <c r="K2001">
        <v>2.4373933505295247</v>
      </c>
      <c r="L2001">
        <v>0</v>
      </c>
      <c r="M2001">
        <v>1.6156152431700188E-3</v>
      </c>
      <c r="N2001">
        <v>0.15019612293301152</v>
      </c>
      <c r="O2001">
        <v>2.1034410318482289E-2</v>
      </c>
      <c r="P2001">
        <v>2.8974820611808279E-2</v>
      </c>
      <c r="Q2001">
        <v>5.5433946978885569E-3</v>
      </c>
      <c r="R2001">
        <v>1.5942137677333649E-3</v>
      </c>
      <c r="S2001">
        <v>0.26823861023084916</v>
      </c>
      <c r="T2001">
        <v>1.3828248179167724</v>
      </c>
      <c r="U2001">
        <v>0.21175895500257302</v>
      </c>
      <c r="V2001">
        <v>0.2494116141200379</v>
      </c>
      <c r="W2001">
        <v>9.8256729118633049E-2</v>
      </c>
      <c r="X2001">
        <v>1.6836352711562794E-2</v>
      </c>
      <c r="Y2001">
        <v>4.3389243433429254E-3</v>
      </c>
    </row>
    <row r="2002" spans="1:25" x14ac:dyDescent="0.2">
      <c r="A2002" s="1077"/>
      <c r="B2002" s="1444">
        <v>1752</v>
      </c>
      <c r="C2002" s="1081">
        <v>0.99188736879205985</v>
      </c>
      <c r="D2002" s="1081">
        <v>0.95397830924014326</v>
      </c>
      <c r="E2002" s="1081">
        <v>1.000406833504484</v>
      </c>
      <c r="F2002" s="1081">
        <v>0.97350844226687738</v>
      </c>
      <c r="G2002" s="1081">
        <v>0.97549940385839851</v>
      </c>
      <c r="H2002" s="1081">
        <v>1.023055707583135</v>
      </c>
      <c r="I2002" s="1081">
        <v>1.0067373602116552</v>
      </c>
      <c r="K2002">
        <v>2.3960275963975031</v>
      </c>
      <c r="L2002">
        <v>0</v>
      </c>
      <c r="M2002">
        <v>1.7096195167475476E-3</v>
      </c>
      <c r="N2002">
        <v>0.15582842898104518</v>
      </c>
      <c r="O2002">
        <v>2.1377950010301117E-2</v>
      </c>
      <c r="P2002">
        <v>2.8142094471967333E-2</v>
      </c>
      <c r="Q2002">
        <v>5.5964652742533892E-3</v>
      </c>
      <c r="R2002">
        <v>1.6875615030132311E-3</v>
      </c>
      <c r="S2002">
        <v>0.27081233845458674</v>
      </c>
      <c r="T2002">
        <v>1.3353103227508563</v>
      </c>
      <c r="U2002">
        <v>0.21370851399900814</v>
      </c>
      <c r="V2002">
        <v>0.24185603466537037</v>
      </c>
      <c r="W2002">
        <v>0.10234393902598153</v>
      </c>
      <c r="X2002">
        <v>1.6480580671163998E-2</v>
      </c>
      <c r="Y2002">
        <v>4.5929861067020581E-3</v>
      </c>
    </row>
    <row r="2003" spans="1:25" x14ac:dyDescent="0.2">
      <c r="A2003" s="1077"/>
      <c r="B2003" s="1444">
        <v>1753</v>
      </c>
      <c r="C2003" s="1081">
        <v>0.97908699080162898</v>
      </c>
      <c r="D2003" s="1081">
        <v>0.98393840894906315</v>
      </c>
      <c r="E2003" s="1081">
        <v>1.0082103848030044</v>
      </c>
      <c r="F2003" s="1081">
        <v>1.0255457985315826</v>
      </c>
      <c r="G2003" s="1081">
        <v>1.0013390771913948</v>
      </c>
      <c r="H2003" s="1081">
        <v>1.0272713645636156</v>
      </c>
      <c r="I2003" s="1081">
        <v>1.0181933329145181</v>
      </c>
      <c r="K2003">
        <v>2.4848005284882757</v>
      </c>
      <c r="L2003">
        <v>0</v>
      </c>
      <c r="M2003">
        <v>1.699563458598529E-3</v>
      </c>
      <c r="N2003">
        <v>0.15861479112974644</v>
      </c>
      <c r="O2003">
        <v>2.1515919117041864E-2</v>
      </c>
      <c r="P2003">
        <v>2.9436943292851396E-2</v>
      </c>
      <c r="Q2003">
        <v>5.6768333567197423E-3</v>
      </c>
      <c r="R2003">
        <v>1.6777251790430945E-3</v>
      </c>
      <c r="S2003">
        <v>0.27363660370223725</v>
      </c>
      <c r="T2003">
        <v>1.4068604653375139</v>
      </c>
      <c r="U2003">
        <v>0.21652975667779642</v>
      </c>
      <c r="V2003">
        <v>0.24706333556368235</v>
      </c>
      <c r="W2003">
        <v>0.10369353813777751</v>
      </c>
      <c r="X2003">
        <v>1.7227965577063901E-2</v>
      </c>
      <c r="Y2003">
        <v>4.5662148753986701E-3</v>
      </c>
    </row>
    <row r="2004" spans="1:25" x14ac:dyDescent="0.2">
      <c r="A2004" s="1077"/>
      <c r="B2004" s="1444">
        <v>1754</v>
      </c>
      <c r="C2004" s="1081">
        <v>1.0071594201586402</v>
      </c>
      <c r="D2004" s="1081">
        <v>0.99306194594068842</v>
      </c>
      <c r="E2004" s="1081">
        <v>1.0261558544378939</v>
      </c>
      <c r="F2004" s="1081">
        <v>1.0003007026238431</v>
      </c>
      <c r="G2004" s="1081">
        <v>1.0022829406168074</v>
      </c>
      <c r="H2004" s="1081">
        <v>0.97659741578275572</v>
      </c>
      <c r="I2004" s="1081">
        <v>1.0083166094888614</v>
      </c>
      <c r="K2004">
        <v>2.4083628779169781</v>
      </c>
      <c r="L2004">
        <v>0</v>
      </c>
      <c r="M2004">
        <v>1.5100802610866723E-3</v>
      </c>
      <c r="N2004">
        <v>0.14867208341061072</v>
      </c>
      <c r="O2004">
        <v>2.0885655030885963E-2</v>
      </c>
      <c r="P2004">
        <v>2.9027422513899045E-2</v>
      </c>
      <c r="Q2004">
        <v>5.6098906606519118E-3</v>
      </c>
      <c r="R2004">
        <v>1.4896699004525431E-3</v>
      </c>
      <c r="S2004">
        <v>0.25804024305103901</v>
      </c>
      <c r="T2004">
        <v>1.3726183916335286</v>
      </c>
      <c r="U2004">
        <v>0.21055551552224541</v>
      </c>
      <c r="V2004">
        <v>0.2453845292036067</v>
      </c>
      <c r="W2004">
        <v>9.6176196012695961E-2</v>
      </c>
      <c r="X2004">
        <v>1.7358970838965461E-2</v>
      </c>
      <c r="Y2004">
        <v>4.0543903994811163E-3</v>
      </c>
    </row>
    <row r="2005" spans="1:25" x14ac:dyDescent="0.2">
      <c r="A2005" s="1077"/>
      <c r="B2005" s="1444">
        <v>1755</v>
      </c>
      <c r="C2005" s="1081">
        <v>1.0182445537823013</v>
      </c>
      <c r="D2005" s="1081">
        <v>0.98218908134080529</v>
      </c>
      <c r="E2005" s="1081">
        <v>1.0444077090704378</v>
      </c>
      <c r="F2005" s="1081">
        <v>1.0306681249821381</v>
      </c>
      <c r="G2005" s="1081">
        <v>0.98849401592012964</v>
      </c>
      <c r="H2005" s="1081">
        <v>1.021222869722002</v>
      </c>
      <c r="I2005" s="1081">
        <v>1.0199957529469423</v>
      </c>
      <c r="K2005">
        <v>2.4649313540296682</v>
      </c>
      <c r="L2005">
        <v>0</v>
      </c>
      <c r="M2005">
        <v>1.5072061387126146E-3</v>
      </c>
      <c r="N2005">
        <v>0.15687303710451397</v>
      </c>
      <c r="O2005">
        <v>2.0720385077308352E-2</v>
      </c>
      <c r="P2005">
        <v>3.0009231992352739E-2</v>
      </c>
      <c r="Q2005">
        <v>5.6665478715175509E-3</v>
      </c>
      <c r="R2005">
        <v>1.4877248204825211E-3</v>
      </c>
      <c r="S2005">
        <v>0.26359921569061728</v>
      </c>
      <c r="T2005">
        <v>1.4146983774066115</v>
      </c>
      <c r="U2005">
        <v>0.20832489451958358</v>
      </c>
      <c r="V2005">
        <v>0.24229442331932782</v>
      </c>
      <c r="W2005">
        <v>0.10041629613651513</v>
      </c>
      <c r="X2005">
        <v>1.8299329696552936E-2</v>
      </c>
      <c r="Y2005">
        <v>4.0490965329981555E-3</v>
      </c>
    </row>
    <row r="2006" spans="1:25" x14ac:dyDescent="0.2">
      <c r="A2006" s="1077"/>
      <c r="B2006" s="1444">
        <v>1756</v>
      </c>
      <c r="C2006" s="1081">
        <v>0.98302382304419189</v>
      </c>
      <c r="D2006" s="1081">
        <v>1.0073065949145443</v>
      </c>
      <c r="E2006" s="1081">
        <v>1.0071730031191988</v>
      </c>
      <c r="F2006" s="1081">
        <v>1.0100198135031515</v>
      </c>
      <c r="G2006" s="1081">
        <v>1.0170351245601212</v>
      </c>
      <c r="H2006" s="1081">
        <v>0.9654678442334419</v>
      </c>
      <c r="I2006" s="1081">
        <v>0.98624010239023252</v>
      </c>
      <c r="K2006">
        <v>2.4271562826802167</v>
      </c>
      <c r="L2006">
        <v>0</v>
      </c>
      <c r="M2006">
        <v>1.5861354492226849E-3</v>
      </c>
      <c r="N2006">
        <v>0.14744300322299217</v>
      </c>
      <c r="O2006">
        <v>2.1318677047682612E-2</v>
      </c>
      <c r="P2006">
        <v>2.8896247179443248E-2</v>
      </c>
      <c r="Q2006">
        <v>5.6189549809639045E-3</v>
      </c>
      <c r="R2006">
        <v>1.5644499873712831E-3</v>
      </c>
      <c r="S2006">
        <v>0.25563870783743403</v>
      </c>
      <c r="T2006">
        <v>1.3855389692706981</v>
      </c>
      <c r="U2006">
        <v>0.21565898269209971</v>
      </c>
      <c r="V2006">
        <v>0.24949165832011883</v>
      </c>
      <c r="W2006">
        <v>9.6449132991614964E-2</v>
      </c>
      <c r="X2006">
        <v>1.6865717454195139E-2</v>
      </c>
      <c r="Y2006">
        <v>4.2579171448249003E-3</v>
      </c>
    </row>
    <row r="2007" spans="1:25" x14ac:dyDescent="0.2">
      <c r="A2007" s="1077"/>
      <c r="B2007" s="1444">
        <v>1757</v>
      </c>
      <c r="C2007" s="1081">
        <v>0.99978435203989313</v>
      </c>
      <c r="D2007" s="1081">
        <v>0.97906741781939166</v>
      </c>
      <c r="E2007" s="1081">
        <v>0.99134836289863693</v>
      </c>
      <c r="F2007" s="1081">
        <v>1.0091839942230476</v>
      </c>
      <c r="G2007" s="1081">
        <v>0.99311615638616146</v>
      </c>
      <c r="H2007" s="1081">
        <v>0.97715152722565612</v>
      </c>
      <c r="I2007" s="1081">
        <v>0.97719949572283782</v>
      </c>
      <c r="K2007">
        <v>2.4109504613635862</v>
      </c>
      <c r="L2007">
        <v>0</v>
      </c>
      <c r="M2007">
        <v>1.6413189918474398E-3</v>
      </c>
      <c r="N2007">
        <v>0.14547362789166648</v>
      </c>
      <c r="O2007">
        <v>2.10822728153288E-2</v>
      </c>
      <c r="P2007">
        <v>2.8389213555346526E-2</v>
      </c>
      <c r="Q2007">
        <v>5.4689219101122935E-3</v>
      </c>
      <c r="R2007">
        <v>1.6191473784101585E-3</v>
      </c>
      <c r="S2007">
        <v>0.25349988699816817</v>
      </c>
      <c r="T2007">
        <v>1.3840470476363176</v>
      </c>
      <c r="U2007">
        <v>0.21198954692748961</v>
      </c>
      <c r="V2007">
        <v>0.24439986550082513</v>
      </c>
      <c r="W2007">
        <v>9.606064918427637E-2</v>
      </c>
      <c r="X2007">
        <v>1.6154815145249871E-2</v>
      </c>
      <c r="Y2007">
        <v>4.4067854122426088E-3</v>
      </c>
    </row>
    <row r="2008" spans="1:25" x14ac:dyDescent="0.2">
      <c r="A2008" s="1077"/>
      <c r="B2008" s="1444">
        <v>1758</v>
      </c>
      <c r="C2008" s="1081">
        <v>1.0319589447298454</v>
      </c>
      <c r="D2008" s="1081">
        <v>1.0314869037095336</v>
      </c>
      <c r="E2008" s="1081">
        <v>0.99735018588540625</v>
      </c>
      <c r="F2008" s="1081">
        <v>1.0395511923881282</v>
      </c>
      <c r="G2008" s="1081">
        <v>0.95920544290578724</v>
      </c>
      <c r="H2008" s="1081">
        <v>1.000845271979498</v>
      </c>
      <c r="I2008" s="1081">
        <v>1.0194609075888277</v>
      </c>
      <c r="K2008">
        <v>2.4323528745397547</v>
      </c>
      <c r="L2008">
        <v>0</v>
      </c>
      <c r="M2008">
        <v>1.5902179435077267E-3</v>
      </c>
      <c r="N2008">
        <v>0.14357106876328626</v>
      </c>
      <c r="O2008">
        <v>2.0195772637271205E-2</v>
      </c>
      <c r="P2008">
        <v>2.8865142698693391E-2</v>
      </c>
      <c r="Q2008">
        <v>5.2707575503421998E-3</v>
      </c>
      <c r="R2008">
        <v>1.5692451671355107E-3</v>
      </c>
      <c r="S2008">
        <v>0.25161718105206099</v>
      </c>
      <c r="T2008">
        <v>1.4258289799734414</v>
      </c>
      <c r="U2008">
        <v>0.20539996307484357</v>
      </c>
      <c r="V2008">
        <v>0.23664137230649987</v>
      </c>
      <c r="W2008">
        <v>9.446524448717003E-2</v>
      </c>
      <c r="X2008">
        <v>1.624739672910239E-2</v>
      </c>
      <c r="Y2008">
        <v>4.2709680434125426E-3</v>
      </c>
    </row>
    <row r="2009" spans="1:25" x14ac:dyDescent="0.2">
      <c r="A2009" s="1077"/>
      <c r="B2009" s="1444">
        <v>1759</v>
      </c>
      <c r="C2009" s="1081">
        <v>0.98474039399455204</v>
      </c>
      <c r="D2009" s="1081">
        <v>1.0102760839544316</v>
      </c>
      <c r="E2009" s="1081">
        <v>1.0183936828880011</v>
      </c>
      <c r="F2009" s="1081">
        <v>0.99638193235658867</v>
      </c>
      <c r="G2009" s="1081">
        <v>1.004361841765351</v>
      </c>
      <c r="H2009" s="1081">
        <v>0.95959297719710812</v>
      </c>
      <c r="I2009" s="1081">
        <v>1.042335802046523</v>
      </c>
      <c r="K2009">
        <v>2.419490166996181</v>
      </c>
      <c r="L2009">
        <v>0</v>
      </c>
      <c r="M2009">
        <v>1.5364641154896803E-3</v>
      </c>
      <c r="N2009">
        <v>0.14773325746024693</v>
      </c>
      <c r="O2009">
        <v>2.127529780212277E-2</v>
      </c>
      <c r="P2009">
        <v>2.9027202915097933E-2</v>
      </c>
      <c r="Q2009">
        <v>5.6706756244042523E-3</v>
      </c>
      <c r="R2009">
        <v>1.5153291482425349E-3</v>
      </c>
      <c r="S2009">
        <v>0.2688767105954239</v>
      </c>
      <c r="T2009">
        <v>1.367073026528665</v>
      </c>
      <c r="U2009">
        <v>0.2153220781190813</v>
      </c>
      <c r="V2009">
        <v>0.24717747857434538</v>
      </c>
      <c r="W2009">
        <v>9.6003082188107741E-2</v>
      </c>
      <c r="X2009">
        <v>1.7228265742537534E-2</v>
      </c>
      <c r="Y2009">
        <v>4.1242264133967144E-3</v>
      </c>
    </row>
    <row r="2010" spans="1:25" x14ac:dyDescent="0.2">
      <c r="A2010" s="1077"/>
      <c r="B2010" s="1444">
        <v>1760</v>
      </c>
      <c r="C2010" s="1081">
        <v>1.0299172253835163</v>
      </c>
      <c r="D2010" s="1081">
        <v>0.98502003581100162</v>
      </c>
      <c r="E2010" s="1081">
        <v>1.0343604304806862</v>
      </c>
      <c r="F2010" s="1081">
        <v>0.95300392630751185</v>
      </c>
      <c r="G2010" s="1081">
        <v>1.0361301384838337</v>
      </c>
      <c r="H2010" s="1081">
        <v>1.0095431232370393</v>
      </c>
      <c r="I2010" s="1081">
        <v>0.9896717558604301</v>
      </c>
      <c r="K2010">
        <v>2.34000429864841</v>
      </c>
      <c r="L2010">
        <v>0</v>
      </c>
      <c r="M2010">
        <v>1.5033389256409733E-3</v>
      </c>
      <c r="N2010">
        <v>0.15178252452332505</v>
      </c>
      <c r="O2010">
        <v>2.0466047212342405E-2</v>
      </c>
      <c r="P2010">
        <v>2.8199243307941171E-2</v>
      </c>
      <c r="Q2010">
        <v>5.5419511292276232E-3</v>
      </c>
      <c r="R2010">
        <v>1.4836827852085668E-3</v>
      </c>
      <c r="S2010">
        <v>0.25145996341350818</v>
      </c>
      <c r="T2010">
        <v>1.3078875882486791</v>
      </c>
      <c r="U2010">
        <v>0.20593028129724358</v>
      </c>
      <c r="V2010">
        <v>0.24976087241879957</v>
      </c>
      <c r="W2010">
        <v>9.7721922555056157E-2</v>
      </c>
      <c r="X2010">
        <v>1.723546523728002E-2</v>
      </c>
      <c r="Y2010">
        <v>4.0380954454390227E-3</v>
      </c>
    </row>
    <row r="2011" spans="1:25" x14ac:dyDescent="0.2">
      <c r="A2011" s="1077"/>
      <c r="B2011" s="1444">
        <v>1761</v>
      </c>
      <c r="C2011" s="1081">
        <v>0.99161984468938846</v>
      </c>
      <c r="D2011" s="1081">
        <v>0.99543597267562245</v>
      </c>
      <c r="E2011" s="1081">
        <v>1.0130454469696262</v>
      </c>
      <c r="F2011" s="1081">
        <v>1.0003311076497552</v>
      </c>
      <c r="G2011" s="1081">
        <v>0.97521750262834261</v>
      </c>
      <c r="H2011" s="1081">
        <v>0.99709027933740957</v>
      </c>
      <c r="I2011" s="1081">
        <v>0.99295583859749714</v>
      </c>
      <c r="K2011">
        <v>2.4157627579543561</v>
      </c>
      <c r="L2011">
        <v>0</v>
      </c>
      <c r="M2011">
        <v>1.608384635852072E-3</v>
      </c>
      <c r="N2011">
        <v>0.15225241537532319</v>
      </c>
      <c r="O2011">
        <v>2.1193001899189434E-2</v>
      </c>
      <c r="P2011">
        <v>2.8760941185436022E-2</v>
      </c>
      <c r="Q2011">
        <v>5.6187159300969082E-3</v>
      </c>
      <c r="R2011">
        <v>1.5870923811860259E-3</v>
      </c>
      <c r="S2011">
        <v>0.25942205946846442</v>
      </c>
      <c r="T2011">
        <v>1.3723753706668016</v>
      </c>
      <c r="U2011">
        <v>0.21380978157791211</v>
      </c>
      <c r="V2011">
        <v>0.24178149490567008</v>
      </c>
      <c r="W2011">
        <v>9.925093032408161E-2</v>
      </c>
      <c r="X2011">
        <v>1.6999796599319109E-2</v>
      </c>
      <c r="Y2011">
        <v>4.319542276725514E-3</v>
      </c>
    </row>
    <row r="2012" spans="1:25" x14ac:dyDescent="0.2">
      <c r="A2012" s="1077"/>
      <c r="B2012" s="1444">
        <v>1762</v>
      </c>
      <c r="C2012" s="1081">
        <v>0.99401312297395328</v>
      </c>
      <c r="D2012" s="1081">
        <v>1.0127552379838414</v>
      </c>
      <c r="E2012" s="1081">
        <v>1.0115316370434553</v>
      </c>
      <c r="F2012" s="1081">
        <v>0.99124841216913218</v>
      </c>
      <c r="G2012" s="1081">
        <v>1.0093494539653982</v>
      </c>
      <c r="H2012" s="1081">
        <v>1.0083446064592057</v>
      </c>
      <c r="I2012" s="1081">
        <v>0.95570491311782069</v>
      </c>
      <c r="K2012">
        <v>2.3972856055770779</v>
      </c>
      <c r="L2012">
        <v>0</v>
      </c>
      <c r="M2012">
        <v>1.6215702157895391E-3</v>
      </c>
      <c r="N2012">
        <v>0.15282365589116337</v>
      </c>
      <c r="O2012">
        <v>2.1060888486977892E-2</v>
      </c>
      <c r="P2012">
        <v>2.8468667355038429E-2</v>
      </c>
      <c r="Q2012">
        <v>5.5752572971870243E-3</v>
      </c>
      <c r="R2012">
        <v>1.6003430018194675E-3</v>
      </c>
      <c r="S2012">
        <v>0.24785357803842886</v>
      </c>
      <c r="T2012">
        <v>1.359882095183393</v>
      </c>
      <c r="U2012">
        <v>0.213289777707697</v>
      </c>
      <c r="V2012">
        <v>0.24746201042590091</v>
      </c>
      <c r="W2012">
        <v>9.9712121840676085E-2</v>
      </c>
      <c r="X2012">
        <v>1.6823174466562462E-2</v>
      </c>
      <c r="Y2012">
        <v>4.3556060980238231E-3</v>
      </c>
    </row>
    <row r="2013" spans="1:25" x14ac:dyDescent="0.2">
      <c r="A2013" s="1077"/>
      <c r="B2013" s="1444">
        <v>1763</v>
      </c>
      <c r="C2013" s="1081">
        <v>0.96294559076839414</v>
      </c>
      <c r="D2013" s="1081">
        <v>0.99408017189731523</v>
      </c>
      <c r="E2013" s="1081">
        <v>1.0035081666185004</v>
      </c>
      <c r="F2013" s="1081">
        <v>0.99981499179793043</v>
      </c>
      <c r="G2013" s="1081">
        <v>0.96449231039639061</v>
      </c>
      <c r="H2013" s="1081">
        <v>0.9774026036138429</v>
      </c>
      <c r="I2013" s="1081">
        <v>1.0034557068644834</v>
      </c>
      <c r="K2013">
        <v>2.4315790400340451</v>
      </c>
      <c r="L2013">
        <v>0</v>
      </c>
      <c r="M2013">
        <v>1.6565529889608804E-3</v>
      </c>
      <c r="N2013">
        <v>0.15231967149104672</v>
      </c>
      <c r="O2013">
        <v>2.1824034225577358E-2</v>
      </c>
      <c r="P2013">
        <v>2.8755753103204738E-2</v>
      </c>
      <c r="Q2013">
        <v>5.7310631314478246E-3</v>
      </c>
      <c r="R2013">
        <v>1.6341813367459555E-3</v>
      </c>
      <c r="S2013">
        <v>0.26832741235111429</v>
      </c>
      <c r="T2013">
        <v>1.3714607234567417</v>
      </c>
      <c r="U2013">
        <v>0.22014263525902886</v>
      </c>
      <c r="V2013">
        <v>0.24185654356228981</v>
      </c>
      <c r="W2013">
        <v>9.9855536005452009E-2</v>
      </c>
      <c r="X2013">
        <v>1.6880336209463484E-2</v>
      </c>
      <c r="Y2013">
        <v>4.4477028908896142E-3</v>
      </c>
    </row>
    <row r="2014" spans="1:25" x14ac:dyDescent="0.2">
      <c r="A2014" s="1077"/>
      <c r="B2014" s="1444">
        <v>1764</v>
      </c>
      <c r="C2014" s="1081">
        <v>0.99653559145220649</v>
      </c>
      <c r="D2014" s="1081">
        <v>1.0115923143777732</v>
      </c>
      <c r="E2014" s="1081">
        <v>1.0281462845748364</v>
      </c>
      <c r="F2014" s="1081">
        <v>1.0029742417208936</v>
      </c>
      <c r="G2014" s="1081">
        <v>0.99459345060980464</v>
      </c>
      <c r="H2014" s="1081">
        <v>1.0244861077403538</v>
      </c>
      <c r="I2014" s="1081">
        <v>0.96421950947439605</v>
      </c>
      <c r="K2014">
        <v>2.4214961142445461</v>
      </c>
      <c r="L2014">
        <v>0</v>
      </c>
      <c r="M2014">
        <v>1.587921375849475E-3</v>
      </c>
      <c r="N2014">
        <v>0.15737758910842506</v>
      </c>
      <c r="O2014">
        <v>2.1023959552485434E-2</v>
      </c>
      <c r="P2014">
        <v>2.9045725945762681E-2</v>
      </c>
      <c r="Q2014">
        <v>5.6581806185280192E-3</v>
      </c>
      <c r="R2014">
        <v>1.5674621526747235E-3</v>
      </c>
      <c r="S2014">
        <v>0.25102955056408427</v>
      </c>
      <c r="T2014">
        <v>1.3763304437264661</v>
      </c>
      <c r="U2014">
        <v>0.21280705320478377</v>
      </c>
      <c r="V2014">
        <v>0.2447261826255126</v>
      </c>
      <c r="W2014">
        <v>0.10168997738367118</v>
      </c>
      <c r="X2014">
        <v>1.7561795472176903E-2</v>
      </c>
      <c r="Y2014">
        <v>4.2661152658208384E-3</v>
      </c>
    </row>
    <row r="2015" spans="1:25" x14ac:dyDescent="0.2">
      <c r="A2015" s="1077"/>
      <c r="B2015" s="1444">
        <v>1765</v>
      </c>
      <c r="C2015" s="1081">
        <v>0.98792203495935671</v>
      </c>
      <c r="D2015" s="1081">
        <v>0.99399360266147085</v>
      </c>
      <c r="E2015" s="1081">
        <v>1.0215363891594809</v>
      </c>
      <c r="F2015" s="1081">
        <v>1.0342237341579634</v>
      </c>
      <c r="G2015" s="1081">
        <v>0.99901970501691939</v>
      </c>
      <c r="H2015" s="1081">
        <v>1.0035715421166935</v>
      </c>
      <c r="I2015" s="1081">
        <v>1.0074426711597169</v>
      </c>
      <c r="K2015">
        <v>2.47911708867584</v>
      </c>
      <c r="L2015">
        <v>0</v>
      </c>
      <c r="M2015">
        <v>1.5969650334990988E-3</v>
      </c>
      <c r="N2015">
        <v>0.15510797200726179</v>
      </c>
      <c r="O2015">
        <v>2.1284841646492234E-2</v>
      </c>
      <c r="P2015">
        <v>2.9736330654990002E-2</v>
      </c>
      <c r="Q2015">
        <v>5.6909723385804014E-3</v>
      </c>
      <c r="R2015">
        <v>1.575960488039214E-3</v>
      </c>
      <c r="S2015">
        <v>0.26501890927719618</v>
      </c>
      <c r="T2015">
        <v>1.4190639581166788</v>
      </c>
      <c r="U2015">
        <v>0.21463953206485506</v>
      </c>
      <c r="V2015">
        <v>0.24605057301814212</v>
      </c>
      <c r="W2015">
        <v>0.10061030932794943</v>
      </c>
      <c r="X2015">
        <v>1.7645449835941966E-2</v>
      </c>
      <c r="Y2015">
        <v>4.289244933207482E-3</v>
      </c>
    </row>
    <row r="2016" spans="1:25" x14ac:dyDescent="0.2">
      <c r="A2016" s="1077"/>
      <c r="B2016" s="1444">
        <v>1766</v>
      </c>
      <c r="C2016" s="1081">
        <v>0.98917926401552136</v>
      </c>
      <c r="D2016" s="1081">
        <v>1.0156270241043357</v>
      </c>
      <c r="E2016" s="1081">
        <v>0.97895376782818422</v>
      </c>
      <c r="F2016" s="1081">
        <v>1.0134304317893144</v>
      </c>
      <c r="G2016" s="1081">
        <v>0.9982980595343639</v>
      </c>
      <c r="H2016" s="1081">
        <v>0.99768364294753231</v>
      </c>
      <c r="I2016" s="1081">
        <v>0.99118585580876062</v>
      </c>
      <c r="K2016">
        <v>2.4269555578367745</v>
      </c>
      <c r="L2016">
        <v>0</v>
      </c>
      <c r="M2016">
        <v>1.723821536641378E-3</v>
      </c>
      <c r="N2016">
        <v>0.14720592013312458</v>
      </c>
      <c r="O2016">
        <v>2.1128860945249878E-2</v>
      </c>
      <c r="P2016">
        <v>2.8294691518283545E-2</v>
      </c>
      <c r="Q2016">
        <v>5.4125863503420397E-3</v>
      </c>
      <c r="R2016">
        <v>1.701014667607272E-3</v>
      </c>
      <c r="S2016">
        <v>0.2567767587750816</v>
      </c>
      <c r="T2016">
        <v>1.3895999849595948</v>
      </c>
      <c r="U2016">
        <v>0.21421957824600518</v>
      </c>
      <c r="V2016">
        <v>0.24599884069191758</v>
      </c>
      <c r="W2016">
        <v>9.793177506962561E-2</v>
      </c>
      <c r="X2016">
        <v>1.5779766830688716E-2</v>
      </c>
      <c r="Y2016">
        <v>4.6296011858925198E-3</v>
      </c>
    </row>
    <row r="2017" spans="1:25" x14ac:dyDescent="0.2">
      <c r="A2017" s="1077"/>
      <c r="B2017" s="1444">
        <v>1767</v>
      </c>
      <c r="C2017" s="1081">
        <v>1.0081734526347728</v>
      </c>
      <c r="D2017" s="1081">
        <v>0.99664093566737666</v>
      </c>
      <c r="E2017" s="1081">
        <v>1.0153447864242497</v>
      </c>
      <c r="F2017" s="1081">
        <v>1.0118169314072745</v>
      </c>
      <c r="G2017" s="1081">
        <v>1.0236372441966102</v>
      </c>
      <c r="H2017" s="1081">
        <v>0.98526576275692479</v>
      </c>
      <c r="I2017" s="1081">
        <v>0.97549522474798034</v>
      </c>
      <c r="K2017">
        <v>2.4182740098315212</v>
      </c>
      <c r="L2017">
        <v>0</v>
      </c>
      <c r="M2017">
        <v>1.5553469680003337E-3</v>
      </c>
      <c r="N2017">
        <v>0.14823318696875254</v>
      </c>
      <c r="O2017">
        <v>2.0840996418154071E-2</v>
      </c>
      <c r="P2017">
        <v>2.8943107857318386E-2</v>
      </c>
      <c r="Q2017">
        <v>5.5380771303243578E-3</v>
      </c>
      <c r="R2017">
        <v>1.5345097318491539E-3</v>
      </c>
      <c r="S2017">
        <v>0.24956734219233329</v>
      </c>
      <c r="T2017">
        <v>1.3881834747469255</v>
      </c>
      <c r="U2017">
        <v>0.21030696522747394</v>
      </c>
      <c r="V2017">
        <v>0.2490054392880777</v>
      </c>
      <c r="W2017">
        <v>9.6500361067107007E-2</v>
      </c>
      <c r="X2017">
        <v>1.6999466532108598E-2</v>
      </c>
      <c r="Y2017">
        <v>4.1764296390962444E-3</v>
      </c>
    </row>
    <row r="2018" spans="1:25" x14ac:dyDescent="0.2">
      <c r="A2018" s="1077"/>
      <c r="B2018" s="1444">
        <v>1768</v>
      </c>
      <c r="C2018" s="1081">
        <v>0.97565911852610121</v>
      </c>
      <c r="D2018" s="1081">
        <v>0.98128978107532783</v>
      </c>
      <c r="E2018" s="1081">
        <v>1.0010150088314926</v>
      </c>
      <c r="F2018" s="1081">
        <v>1.0273959407678392</v>
      </c>
      <c r="G2018" s="1081">
        <v>1.0169602951301626</v>
      </c>
      <c r="H2018" s="1081">
        <v>1.0283069973403507</v>
      </c>
      <c r="I2018" s="1081">
        <v>1.0095665189188654</v>
      </c>
      <c r="K2018">
        <v>2.4897010831398547</v>
      </c>
      <c r="L2018">
        <v>0</v>
      </c>
      <c r="M2018">
        <v>1.7339730990571546E-3</v>
      </c>
      <c r="N2018">
        <v>0.15834943288536221</v>
      </c>
      <c r="O2018">
        <v>2.1599402240152811E-2</v>
      </c>
      <c r="P2018">
        <v>2.9349266532669175E-2</v>
      </c>
      <c r="Q2018">
        <v>5.6578949434241852E-3</v>
      </c>
      <c r="R2018">
        <v>1.711715117262309E-3</v>
      </c>
      <c r="S2018">
        <v>0.27266849504437157</v>
      </c>
      <c r="T2018">
        <v>1.4092384859896068</v>
      </c>
      <c r="U2018">
        <v>0.21726528326419065</v>
      </c>
      <c r="V2018">
        <v>0.24998036230222404</v>
      </c>
      <c r="W2018">
        <v>0.10396210240002209</v>
      </c>
      <c r="X2018">
        <v>1.6993891237174E-2</v>
      </c>
      <c r="Y2018">
        <v>4.6587242824512494E-3</v>
      </c>
    </row>
    <row r="2019" spans="1:25" x14ac:dyDescent="0.2">
      <c r="A2019" s="1077"/>
      <c r="B2019" s="1444">
        <v>1769</v>
      </c>
      <c r="C2019" s="1081">
        <v>0.98561194436662802</v>
      </c>
      <c r="D2019" s="1081">
        <v>1.0037177218641797</v>
      </c>
      <c r="E2019" s="1081">
        <v>1.0128686796676205</v>
      </c>
      <c r="F2019" s="1081">
        <v>1.0285250542203521</v>
      </c>
      <c r="G2019" s="1081">
        <v>0.95416637148350347</v>
      </c>
      <c r="H2019" s="1081">
        <v>0.99186519168229736</v>
      </c>
      <c r="I2019" s="1081">
        <v>0.97358819384052342</v>
      </c>
      <c r="K2019">
        <v>2.447932496965767</v>
      </c>
      <c r="L2019">
        <v>0</v>
      </c>
      <c r="M2019">
        <v>1.6073678489215953E-3</v>
      </c>
      <c r="N2019">
        <v>0.1520642564300867</v>
      </c>
      <c r="O2019">
        <v>2.1283236913325981E-2</v>
      </c>
      <c r="P2019">
        <v>2.9194742549059002E-2</v>
      </c>
      <c r="Q2019">
        <v>5.6416437925427563E-3</v>
      </c>
      <c r="R2019">
        <v>1.5859769593314689E-3</v>
      </c>
      <c r="S2019">
        <v>0.25441184618808893</v>
      </c>
      <c r="T2019">
        <v>1.4110512990038966</v>
      </c>
      <c r="U2019">
        <v>0.21511246710706131</v>
      </c>
      <c r="V2019">
        <v>0.23857208533279775</v>
      </c>
      <c r="W2019">
        <v>9.9138581675901741E-2</v>
      </c>
      <c r="X2019">
        <v>1.7167222396458511E-2</v>
      </c>
      <c r="Y2019">
        <v>4.3165064661361231E-3</v>
      </c>
    </row>
    <row r="2020" spans="1:25" x14ac:dyDescent="0.2">
      <c r="A2020" s="1077"/>
      <c r="B2020" s="1444">
        <v>1770</v>
      </c>
      <c r="C2020" s="1081">
        <v>1.0090903928178669</v>
      </c>
      <c r="D2020" s="1081">
        <v>1.0126906028622513</v>
      </c>
      <c r="E2020" s="1081">
        <v>0.98914788173696355</v>
      </c>
      <c r="F2020" s="1081">
        <v>1.0068019858037638</v>
      </c>
      <c r="G2020" s="1081">
        <v>0.97688967596280829</v>
      </c>
      <c r="H2020" s="1081">
        <v>1.0014258574229553</v>
      </c>
      <c r="I2020" s="1081">
        <v>0.9725890458597658</v>
      </c>
      <c r="K2020">
        <v>2.3972918495329525</v>
      </c>
      <c r="L2020">
        <v>0</v>
      </c>
      <c r="M2020">
        <v>1.6618022033214074E-3</v>
      </c>
      <c r="N2020">
        <v>0.14636101738696308</v>
      </c>
      <c r="O2020">
        <v>2.073181797516534E-2</v>
      </c>
      <c r="P2020">
        <v>2.8147559993644846E-2</v>
      </c>
      <c r="Q2020">
        <v>5.3660642484262746E-3</v>
      </c>
      <c r="R2020">
        <v>1.6398980360199083E-3</v>
      </c>
      <c r="S2020">
        <v>0.24773018990591023</v>
      </c>
      <c r="T2020">
        <v>1.3807324171369908</v>
      </c>
      <c r="U2020">
        <v>0.210027092914507</v>
      </c>
      <c r="V2020">
        <v>0.24106046418227559</v>
      </c>
      <c r="W2020">
        <v>9.6774080084884848E-2</v>
      </c>
      <c r="X2020">
        <v>1.5919788009679095E-2</v>
      </c>
      <c r="Y2020">
        <v>4.4632618618039048E-3</v>
      </c>
    </row>
    <row r="2021" spans="1:25" x14ac:dyDescent="0.2">
      <c r="A2021" s="1077"/>
      <c r="B2021" s="1444">
        <v>1771</v>
      </c>
      <c r="C2021" s="1081">
        <v>1.033278128664018</v>
      </c>
      <c r="D2021" s="1081">
        <v>0.97687003883454415</v>
      </c>
      <c r="E2021" s="1081">
        <v>0.98219453561420389</v>
      </c>
      <c r="F2021" s="1081">
        <v>0.97359475210073743</v>
      </c>
      <c r="G2021" s="1081">
        <v>1.0073436073141937</v>
      </c>
      <c r="H2021" s="1081">
        <v>0.97970608946286997</v>
      </c>
      <c r="I2021" s="1081">
        <v>1.0366462282806368</v>
      </c>
      <c r="K2021">
        <v>2.3514552396455954</v>
      </c>
      <c r="L2021">
        <v>0</v>
      </c>
      <c r="M2021">
        <v>1.6235284357563214E-3</v>
      </c>
      <c r="N2021">
        <v>0.13997300553514083</v>
      </c>
      <c r="O2021">
        <v>2.0403078113564056E-2</v>
      </c>
      <c r="P2021">
        <v>2.7543291163244978E-2</v>
      </c>
      <c r="Q2021">
        <v>5.2439013799992678E-3</v>
      </c>
      <c r="R2021">
        <v>1.6016543298465191E-3</v>
      </c>
      <c r="S2021">
        <v>0.2606437607084201</v>
      </c>
      <c r="T2021">
        <v>1.3350458911996419</v>
      </c>
      <c r="U2021">
        <v>0.20508767388959775</v>
      </c>
      <c r="V2021">
        <v>0.24484131378826718</v>
      </c>
      <c r="W2021">
        <v>9.2937968425725992E-2</v>
      </c>
      <c r="X2021">
        <v>1.5398054447267447E-2</v>
      </c>
      <c r="Y2021">
        <v>4.3591751006342898E-3</v>
      </c>
    </row>
    <row r="2022" spans="1:25" x14ac:dyDescent="0.2">
      <c r="A2022" s="1077"/>
      <c r="B2022" s="1444">
        <v>1772</v>
      </c>
      <c r="C2022" s="1081">
        <v>0.97657508350134348</v>
      </c>
      <c r="D2022" s="1081">
        <v>1.008552495056056</v>
      </c>
      <c r="E2022" s="1081">
        <v>1.0235771453951856</v>
      </c>
      <c r="F2022" s="1081">
        <v>0.99862873223346893</v>
      </c>
      <c r="G2022" s="1081">
        <v>0.99480141378478137</v>
      </c>
      <c r="H2022" s="1081">
        <v>1.0240242309931153</v>
      </c>
      <c r="I2022" s="1081">
        <v>0.96016417536168785</v>
      </c>
      <c r="K2022">
        <v>2.4305722552754805</v>
      </c>
      <c r="L2022">
        <v>0</v>
      </c>
      <c r="M2022">
        <v>1.6362146414336802E-3</v>
      </c>
      <c r="N2022">
        <v>0.15994395191899782</v>
      </c>
      <c r="O2022">
        <v>2.1464771991801503E-2</v>
      </c>
      <c r="P2022">
        <v>2.9004255976119712E-2</v>
      </c>
      <c r="Q2022">
        <v>5.7507195854367482E-3</v>
      </c>
      <c r="R2022">
        <v>1.6151236857231306E-3</v>
      </c>
      <c r="S2022">
        <v>0.25538947959215824</v>
      </c>
      <c r="T2022">
        <v>1.3702681367360026</v>
      </c>
      <c r="U2022">
        <v>0.21714062401809095</v>
      </c>
      <c r="V2022">
        <v>0.24605768017979918</v>
      </c>
      <c r="W2022">
        <v>0.10362360615672393</v>
      </c>
      <c r="X2022">
        <v>1.7554285828901645E-2</v>
      </c>
      <c r="Y2022">
        <v>4.3958342471584547E-3</v>
      </c>
    </row>
    <row r="2023" spans="1:25" x14ac:dyDescent="0.2">
      <c r="A2023" s="1077"/>
      <c r="B2023" s="1444">
        <v>1773</v>
      </c>
      <c r="C2023" s="1081">
        <v>0.9868404311586777</v>
      </c>
      <c r="D2023" s="1081">
        <v>0.98696086303615271</v>
      </c>
      <c r="E2023" s="1081">
        <v>0.99918004896856738</v>
      </c>
      <c r="F2023" s="1081">
        <v>0.97159255725357518</v>
      </c>
      <c r="G2023" s="1081">
        <v>0.99232037134527618</v>
      </c>
      <c r="H2023" s="1081">
        <v>1.0021732377529484</v>
      </c>
      <c r="I2023" s="1081">
        <v>0.98238299377965599</v>
      </c>
      <c r="K2023">
        <v>2.3795625226889467</v>
      </c>
      <c r="L2023">
        <v>0</v>
      </c>
      <c r="M2023">
        <v>1.6750046671006168E-3</v>
      </c>
      <c r="N2023">
        <v>0.1520670988462221</v>
      </c>
      <c r="O2023">
        <v>2.1326378782823032E-2</v>
      </c>
      <c r="P2023">
        <v>2.7982028341212554E-2</v>
      </c>
      <c r="Q2023">
        <v>5.5760834964845608E-3</v>
      </c>
      <c r="R2023">
        <v>1.6529429435232122E-3</v>
      </c>
      <c r="S2023">
        <v>0.25933069718352331</v>
      </c>
      <c r="T2023">
        <v>1.3326566256303727</v>
      </c>
      <c r="U2023">
        <v>0.214797221156904</v>
      </c>
      <c r="V2023">
        <v>0.24505458094966626</v>
      </c>
      <c r="W2023">
        <v>9.9946457755761761E-2</v>
      </c>
      <c r="X2023">
        <v>1.6348646469775224E-2</v>
      </c>
      <c r="Y2023">
        <v>4.4987657997752938E-3</v>
      </c>
    </row>
    <row r="2024" spans="1:25" x14ac:dyDescent="0.2">
      <c r="A2024" s="1077"/>
      <c r="B2024" s="1444">
        <v>1774</v>
      </c>
      <c r="C2024" s="1081">
        <v>1.0252728271336409</v>
      </c>
      <c r="D2024" s="1081">
        <v>0.99725758357860694</v>
      </c>
      <c r="E2024" s="1081">
        <v>1.0069584925178696</v>
      </c>
      <c r="F2024" s="1081">
        <v>1.0075414440625514</v>
      </c>
      <c r="G2024" s="1081">
        <v>1.0389561738021138</v>
      </c>
      <c r="H2024" s="1081">
        <v>0.99401632875120816</v>
      </c>
      <c r="I2024" s="1081">
        <v>0.97281039286408977</v>
      </c>
      <c r="K2024">
        <v>2.4013653922382732</v>
      </c>
      <c r="L2024">
        <v>0</v>
      </c>
      <c r="M2024">
        <v>1.5698999630793661E-3</v>
      </c>
      <c r="N2024">
        <v>0.14589735659146355</v>
      </c>
      <c r="O2024">
        <v>2.0485183084666393E-2</v>
      </c>
      <c r="P2024">
        <v>2.8596594194577229E-2</v>
      </c>
      <c r="Q2024">
        <v>5.3981117829473776E-3</v>
      </c>
      <c r="R2024">
        <v>1.5490529096715262E-3</v>
      </c>
      <c r="S2024">
        <v>0.24529549662724001</v>
      </c>
      <c r="T2024">
        <v>1.3821344762299868</v>
      </c>
      <c r="U2024">
        <v>0.20677148362608277</v>
      </c>
      <c r="V2024">
        <v>0.25061939713158432</v>
      </c>
      <c r="W2024">
        <v>9.5450156511327308E-2</v>
      </c>
      <c r="X2024">
        <v>1.6521972136833082E-2</v>
      </c>
      <c r="Y2024">
        <v>4.2160113749714623E-3</v>
      </c>
    </row>
    <row r="2025" spans="1:25" x14ac:dyDescent="0.2">
      <c r="A2025" s="1077"/>
      <c r="B2025" s="1444">
        <v>1775</v>
      </c>
      <c r="C2025" s="1081">
        <v>1.0095519011658718</v>
      </c>
      <c r="D2025" s="1081">
        <v>0.972078668230966</v>
      </c>
      <c r="E2025" s="1081">
        <v>1.0098806079107898</v>
      </c>
      <c r="F2025" s="1081">
        <v>1.0046745334056313</v>
      </c>
      <c r="G2025" s="1081">
        <v>0.98131639340352428</v>
      </c>
      <c r="H2025" s="1081">
        <v>0.99516680678038016</v>
      </c>
      <c r="I2025" s="1081">
        <v>0.98934163837268563</v>
      </c>
      <c r="K2025">
        <v>2.4102090618953467</v>
      </c>
      <c r="L2025">
        <v>0</v>
      </c>
      <c r="M2025">
        <v>1.5954845651214747E-3</v>
      </c>
      <c r="N2025">
        <v>0.14959136937692594</v>
      </c>
      <c r="O2025">
        <v>2.0923490110988336E-2</v>
      </c>
      <c r="P2025">
        <v>2.8684844451394024E-2</v>
      </c>
      <c r="Q2025">
        <v>5.5297546136565349E-3</v>
      </c>
      <c r="R2025">
        <v>1.5743222613753911E-3</v>
      </c>
      <c r="S2025">
        <v>0.25675101267430361</v>
      </c>
      <c r="T2025">
        <v>1.3782652815240592</v>
      </c>
      <c r="U2025">
        <v>0.21000127368513041</v>
      </c>
      <c r="V2025">
        <v>0.24171572072002703</v>
      </c>
      <c r="W2025">
        <v>9.7698184410187627E-2</v>
      </c>
      <c r="X2025">
        <v>1.6784506412147963E-2</v>
      </c>
      <c r="Y2025">
        <v>4.2847862202698298E-3</v>
      </c>
    </row>
    <row r="2026" spans="1:25" x14ac:dyDescent="0.2">
      <c r="A2026" s="1077"/>
      <c r="B2026" s="1444">
        <v>1776</v>
      </c>
      <c r="C2026" s="1081">
        <v>0.98503965334035803</v>
      </c>
      <c r="D2026" s="1081">
        <v>1.0002760112225135</v>
      </c>
      <c r="E2026" s="1081">
        <v>0.99166263427917611</v>
      </c>
      <c r="F2026" s="1081">
        <v>0.96913414937612918</v>
      </c>
      <c r="G2026" s="1081">
        <v>0.99822710936792314</v>
      </c>
      <c r="H2026" s="1081">
        <v>1.0052672687262292</v>
      </c>
      <c r="I2026" s="1081">
        <v>1.0065084173482766</v>
      </c>
      <c r="K2026">
        <v>2.3815958949731457</v>
      </c>
      <c r="L2026">
        <v>0</v>
      </c>
      <c r="M2026">
        <v>1.7046487644200893E-3</v>
      </c>
      <c r="N2026">
        <v>0.15128821200848488</v>
      </c>
      <c r="O2026">
        <v>2.1297408749158114E-2</v>
      </c>
      <c r="P2026">
        <v>2.7869342044889299E-2</v>
      </c>
      <c r="Q2026">
        <v>5.5264837809097748E-3</v>
      </c>
      <c r="R2026">
        <v>1.6822656979626675E-3</v>
      </c>
      <c r="S2026">
        <v>0.26460843502301129</v>
      </c>
      <c r="T2026">
        <v>1.3291271980580703</v>
      </c>
      <c r="U2026">
        <v>0.21516383010899917</v>
      </c>
      <c r="V2026">
        <v>0.24620577336977459</v>
      </c>
      <c r="W2026">
        <v>9.9881411623206379E-2</v>
      </c>
      <c r="X2026">
        <v>1.607161060198219E-2</v>
      </c>
      <c r="Y2026">
        <v>4.5785726711160876E-3</v>
      </c>
    </row>
    <row r="2027" spans="1:25" x14ac:dyDescent="0.2">
      <c r="A2027" s="1077"/>
      <c r="B2027" s="1444">
        <v>1777</v>
      </c>
      <c r="C2027" s="1081">
        <v>0.96353056354564781</v>
      </c>
      <c r="D2027" s="1081">
        <v>1.0046521007219749</v>
      </c>
      <c r="E2027" s="1081">
        <v>0.99676577311511994</v>
      </c>
      <c r="F2027" s="1081">
        <v>1.0314314143791907</v>
      </c>
      <c r="G2027" s="1081">
        <v>1.0353625016912245</v>
      </c>
      <c r="H2027" s="1081">
        <v>0.99054018761590723</v>
      </c>
      <c r="I2027" s="1081">
        <v>1.0306107859481461</v>
      </c>
      <c r="K2027">
        <v>2.4956713721955435</v>
      </c>
      <c r="L2027">
        <v>0</v>
      </c>
      <c r="M2027">
        <v>1.6974755609447758E-3</v>
      </c>
      <c r="N2027">
        <v>0.15296302119666799</v>
      </c>
      <c r="O2027">
        <v>2.1755443358542043E-2</v>
      </c>
      <c r="P2027">
        <v>2.9454438659945379E-2</v>
      </c>
      <c r="Q2027">
        <v>5.6744655976236581E-3</v>
      </c>
      <c r="R2027">
        <v>1.6748552980223993E-3</v>
      </c>
      <c r="S2027">
        <v>0.27509540482695355</v>
      </c>
      <c r="T2027">
        <v>1.4146790148855786</v>
      </c>
      <c r="U2027">
        <v>0.2199850637087952</v>
      </c>
      <c r="V2027">
        <v>0.25394363609302778</v>
      </c>
      <c r="W2027">
        <v>0.10067989928154246</v>
      </c>
      <c r="X2027">
        <v>1.690520084447171E-2</v>
      </c>
      <c r="Y2027">
        <v>4.5584040053163622E-3</v>
      </c>
    </row>
    <row r="2028" spans="1:25" x14ac:dyDescent="0.2">
      <c r="A2028" s="1077"/>
      <c r="B2028" s="1444">
        <v>1778</v>
      </c>
      <c r="C2028" s="1081">
        <v>0.97032253150835723</v>
      </c>
      <c r="D2028" s="1081">
        <v>1.0035168735629001</v>
      </c>
      <c r="E2028" s="1081">
        <v>0.99456165485845704</v>
      </c>
      <c r="F2028" s="1081">
        <v>1.0003590168094925</v>
      </c>
      <c r="G2028" s="1081">
        <v>0.99600623197059146</v>
      </c>
      <c r="H2028" s="1081">
        <v>0.99850965632126698</v>
      </c>
      <c r="I2028" s="1081">
        <v>0.99846853369376276</v>
      </c>
      <c r="K2028">
        <v>2.4331569131856177</v>
      </c>
      <c r="L2028">
        <v>0</v>
      </c>
      <c r="M2028">
        <v>1.7073610271348628E-3</v>
      </c>
      <c r="N2028">
        <v>0.15284884443200736</v>
      </c>
      <c r="O2028">
        <v>2.1607030486550854E-2</v>
      </c>
      <c r="P2028">
        <v>2.8576936640119444E-2</v>
      </c>
      <c r="Q2028">
        <v>5.6232527744036189E-3</v>
      </c>
      <c r="R2028">
        <v>1.6847906241620745E-3</v>
      </c>
      <c r="S2028">
        <v>0.26547879728720941</v>
      </c>
      <c r="T2028">
        <v>1.3720134412957405</v>
      </c>
      <c r="U2028">
        <v>0.21843747463359117</v>
      </c>
      <c r="V2028">
        <v>0.24677669090255139</v>
      </c>
      <c r="W2028">
        <v>0.10073708047993279</v>
      </c>
      <c r="X2028">
        <v>1.6494489968595961E-2</v>
      </c>
      <c r="Y2028">
        <v>4.5854446878891763E-3</v>
      </c>
    </row>
    <row r="2029" spans="1:25" x14ac:dyDescent="0.2">
      <c r="A2029" s="1077"/>
      <c r="B2029" s="1444">
        <v>1779</v>
      </c>
      <c r="C2029" s="1081">
        <v>0.98679458327310987</v>
      </c>
      <c r="D2029" s="1081">
        <v>1.0000422120676342</v>
      </c>
      <c r="E2029" s="1081">
        <v>1.0279947858202616</v>
      </c>
      <c r="F2029" s="1081">
        <v>1.0067477283837651</v>
      </c>
      <c r="G2029" s="1081">
        <v>0.98829039442083921</v>
      </c>
      <c r="H2029" s="1081">
        <v>1.0158050975373374</v>
      </c>
      <c r="I2029" s="1081">
        <v>0.96223914072589201</v>
      </c>
      <c r="K2029">
        <v>2.4325339930405101</v>
      </c>
      <c r="L2029">
        <v>0</v>
      </c>
      <c r="M2029">
        <v>1.5945333655512036E-3</v>
      </c>
      <c r="N2029">
        <v>0.15794311021027765</v>
      </c>
      <c r="O2029">
        <v>2.1285098461734923E-2</v>
      </c>
      <c r="P2029">
        <v>2.917493402236063E-2</v>
      </c>
      <c r="Q2029">
        <v>5.7276020745399966E-3</v>
      </c>
      <c r="R2029">
        <v>1.5738133803071968E-3</v>
      </c>
      <c r="S2029">
        <v>0.25371536742094802</v>
      </c>
      <c r="T2029">
        <v>1.3815052903766425</v>
      </c>
      <c r="U2029">
        <v>0.21490722199971987</v>
      </c>
      <c r="V2029">
        <v>0.24426949419947849</v>
      </c>
      <c r="W2029">
        <v>0.10206437933828638</v>
      </c>
      <c r="X2029">
        <v>1.767881370801062E-2</v>
      </c>
      <c r="Y2029">
        <v>4.2834012137548056E-3</v>
      </c>
    </row>
    <row r="2030" spans="1:25" x14ac:dyDescent="0.2">
      <c r="A2030" s="1077"/>
      <c r="B2030" s="1444">
        <v>1780</v>
      </c>
      <c r="C2030" s="1081">
        <v>1.0199419258105873</v>
      </c>
      <c r="D2030" s="1081">
        <v>1.0251028424378625</v>
      </c>
      <c r="E2030" s="1081">
        <v>1.0279071460824263</v>
      </c>
      <c r="F2030" s="1081">
        <v>1.0199498121075674</v>
      </c>
      <c r="G2030" s="1081">
        <v>1.0022403426272726</v>
      </c>
      <c r="H2030" s="1081">
        <v>1.0084183212139135</v>
      </c>
      <c r="I2030" s="1081">
        <v>0.98167694830186614</v>
      </c>
      <c r="K2030">
        <v>2.4239276257015998</v>
      </c>
      <c r="L2030">
        <v>0</v>
      </c>
      <c r="M2030">
        <v>1.5234554111186497E-3</v>
      </c>
      <c r="N2030">
        <v>0.15084821702214624</v>
      </c>
      <c r="O2030">
        <v>2.0481462521938124E-2</v>
      </c>
      <c r="P2030">
        <v>2.923570630505784E-2</v>
      </c>
      <c r="Q2030">
        <v>5.5108738013829985E-3</v>
      </c>
      <c r="R2030">
        <v>1.5035140297767562E-3</v>
      </c>
      <c r="S2030">
        <v>0.2467593744670793</v>
      </c>
      <c r="T2030">
        <v>1.3996198497977153</v>
      </c>
      <c r="U2030">
        <v>0.2079226045819251</v>
      </c>
      <c r="V2030">
        <v>0.24459438295809605</v>
      </c>
      <c r="W2030">
        <v>9.7484557275169151E-2</v>
      </c>
      <c r="X2030">
        <v>1.7398468796645968E-2</v>
      </c>
      <c r="Y2030">
        <v>4.09206955578562E-3</v>
      </c>
    </row>
    <row r="2031" spans="1:25" x14ac:dyDescent="0.2">
      <c r="A2031" s="1077"/>
      <c r="B2031" s="1444">
        <v>1781</v>
      </c>
      <c r="C2031" s="1081">
        <v>0.98783286752096433</v>
      </c>
      <c r="D2031" s="1081">
        <v>0.99337035432125398</v>
      </c>
      <c r="E2031" s="1081">
        <v>0.9827978152920045</v>
      </c>
      <c r="F2031" s="1081">
        <v>1.0255223662103867</v>
      </c>
      <c r="G2031" s="1081">
        <v>1.0133452844308575</v>
      </c>
      <c r="H2031" s="1081">
        <v>1.0210976418759574</v>
      </c>
      <c r="I2031" s="1081">
        <v>1.0279863502553797</v>
      </c>
      <c r="K2031">
        <v>2.4708419042753973</v>
      </c>
      <c r="L2031">
        <v>0</v>
      </c>
      <c r="M2031">
        <v>1.7612572078767256E-3</v>
      </c>
      <c r="N2031">
        <v>0.15220892431679245</v>
      </c>
      <c r="O2031">
        <v>2.1263627474755898E-2</v>
      </c>
      <c r="P2031">
        <v>2.8843268795319323E-2</v>
      </c>
      <c r="Q2031">
        <v>5.4684230612792829E-3</v>
      </c>
      <c r="R2031">
        <v>1.738489373231619E-3</v>
      </c>
      <c r="S2031">
        <v>0.27175418357584896</v>
      </c>
      <c r="T2031">
        <v>1.4062651828128572</v>
      </c>
      <c r="U2031">
        <v>0.21452481611481858</v>
      </c>
      <c r="V2031">
        <v>0.24864169334191119</v>
      </c>
      <c r="W2031">
        <v>0.10102552449340629</v>
      </c>
      <c r="X2031">
        <v>1.6137433141984025E-2</v>
      </c>
      <c r="Y2031">
        <v>4.7315949810686035E-3</v>
      </c>
    </row>
    <row r="2032" spans="1:25" x14ac:dyDescent="0.2">
      <c r="A2032" s="1077"/>
      <c r="B2032" s="1444">
        <v>1782</v>
      </c>
      <c r="C2032" s="1081">
        <v>0.99973053777565746</v>
      </c>
      <c r="D2032" s="1081">
        <v>1.0151580186134435</v>
      </c>
      <c r="E2032" s="1081">
        <v>0.97950447506671789</v>
      </c>
      <c r="F2032" s="1081">
        <v>0.9843831981568919</v>
      </c>
      <c r="G2032" s="1081">
        <v>0.97635120798701336</v>
      </c>
      <c r="H2032" s="1081">
        <v>0.97936045375140035</v>
      </c>
      <c r="I2032" s="1081">
        <v>1.0249003512435579</v>
      </c>
      <c r="K2032">
        <v>2.3766705077001351</v>
      </c>
      <c r="L2032">
        <v>0</v>
      </c>
      <c r="M2032">
        <v>1.6725676837382748E-3</v>
      </c>
      <c r="N2032">
        <v>0.143031404710557</v>
      </c>
      <c r="O2032">
        <v>2.0908352126582742E-2</v>
      </c>
      <c r="P2032">
        <v>2.774100187917599E-2</v>
      </c>
      <c r="Q2032">
        <v>5.3590986797368029E-3</v>
      </c>
      <c r="R2032">
        <v>1.6500249097735806E-3</v>
      </c>
      <c r="S2032">
        <v>0.26118213991616485</v>
      </c>
      <c r="T2032">
        <v>1.3497825463097515</v>
      </c>
      <c r="U2032">
        <v>0.21196055626629975</v>
      </c>
      <c r="V2032">
        <v>0.24158128183534069</v>
      </c>
      <c r="W2032">
        <v>9.5122936747278758E-2</v>
      </c>
      <c r="X2032">
        <v>1.5532908129375281E-2</v>
      </c>
      <c r="Y2032">
        <v>4.4908238738383659E-3</v>
      </c>
    </row>
    <row r="2033" spans="1:25" x14ac:dyDescent="0.2">
      <c r="A2033" s="1077"/>
      <c r="B2033" s="1444">
        <v>1783</v>
      </c>
      <c r="C2033" s="1081">
        <v>0.99325136689376581</v>
      </c>
      <c r="D2033" s="1081">
        <v>0.98660578450210468</v>
      </c>
      <c r="E2033" s="1081">
        <v>0.97642164170663648</v>
      </c>
      <c r="F2033" s="1081">
        <v>0.97100178879773724</v>
      </c>
      <c r="G2033" s="1081">
        <v>1.0408639042510384</v>
      </c>
      <c r="H2033" s="1081">
        <v>1.014128078757542</v>
      </c>
      <c r="I2033" s="1081">
        <v>0.95606098924078453</v>
      </c>
      <c r="K2033">
        <v>2.372886859020197</v>
      </c>
      <c r="L2033">
        <v>0</v>
      </c>
      <c r="M2033">
        <v>1.7654324242131895E-3</v>
      </c>
      <c r="N2033">
        <v>0.14964101105626262</v>
      </c>
      <c r="O2033">
        <v>2.117518287562254E-2</v>
      </c>
      <c r="P2033">
        <v>2.7472455214814714E-2</v>
      </c>
      <c r="Q2033">
        <v>5.4104920371681325E-3</v>
      </c>
      <c r="R2033">
        <v>1.7424537742460478E-3</v>
      </c>
      <c r="S2033">
        <v>0.25159938731074699</v>
      </c>
      <c r="T2033">
        <v>1.3313695600314852</v>
      </c>
      <c r="U2033">
        <v>0.21333264422160705</v>
      </c>
      <c r="V2033">
        <v>0.2530234394755056</v>
      </c>
      <c r="W2033">
        <v>9.9704376078403475E-2</v>
      </c>
      <c r="X2033">
        <v>1.5438904594781876E-2</v>
      </c>
      <c r="Y2033">
        <v>4.7423847737654351E-3</v>
      </c>
    </row>
    <row r="2034" spans="1:25" x14ac:dyDescent="0.2">
      <c r="A2034" s="1077"/>
      <c r="B2034" s="1444">
        <v>1784</v>
      </c>
      <c r="C2034" s="1081">
        <v>1.0320229518877646</v>
      </c>
      <c r="D2034" s="1081">
        <v>0.99615937410784705</v>
      </c>
      <c r="E2034" s="1081">
        <v>0.99860243905191315</v>
      </c>
      <c r="F2034" s="1081">
        <v>1.0320104177024014</v>
      </c>
      <c r="G2034" s="1081">
        <v>0.99681262044131314</v>
      </c>
      <c r="H2034" s="1081">
        <v>1.0243759124059262</v>
      </c>
      <c r="I2034" s="1081">
        <v>1.0159976343902275</v>
      </c>
      <c r="K2034">
        <v>2.4422038625464575</v>
      </c>
      <c r="L2034">
        <v>0</v>
      </c>
      <c r="M2034">
        <v>1.6357768425698106E-3</v>
      </c>
      <c r="N2034">
        <v>0.14828969427687783</v>
      </c>
      <c r="O2034">
        <v>2.0350749468837491E-2</v>
      </c>
      <c r="P2034">
        <v>2.8913948182026007E-2</v>
      </c>
      <c r="Q2034">
        <v>5.3179010330002708E-3</v>
      </c>
      <c r="R2034">
        <v>1.6146987689851634E-3</v>
      </c>
      <c r="S2034">
        <v>0.25712752550794687</v>
      </c>
      <c r="T2034">
        <v>1.4155141340310227</v>
      </c>
      <c r="U2034">
        <v>0.20539137030630961</v>
      </c>
      <c r="V2034">
        <v>0.24305580299696369</v>
      </c>
      <c r="W2034">
        <v>9.7497244068322483E-2</v>
      </c>
      <c r="X2034">
        <v>1.6371892984861802E-2</v>
      </c>
      <c r="Y2034">
        <v>4.3946777638714735E-3</v>
      </c>
    </row>
    <row r="2035" spans="1:25" x14ac:dyDescent="0.2">
      <c r="A2035" s="1077"/>
      <c r="B2035" s="1444">
        <v>1785</v>
      </c>
      <c r="C2035" s="1081">
        <v>0.98016819663410204</v>
      </c>
      <c r="D2035" s="1081">
        <v>0.99299558818645017</v>
      </c>
      <c r="E2035" s="1081">
        <v>0.99758522432310637</v>
      </c>
      <c r="F2035" s="1081">
        <v>1.0101016838830157</v>
      </c>
      <c r="G2035" s="1081">
        <v>0.98713074180627602</v>
      </c>
      <c r="H2035" s="1081">
        <v>0.9900159332130295</v>
      </c>
      <c r="I2035" s="1081">
        <v>1.0114237309936527</v>
      </c>
      <c r="K2035">
        <v>2.4400862112598114</v>
      </c>
      <c r="L2035">
        <v>0</v>
      </c>
      <c r="M2035">
        <v>1.6692279927879642E-3</v>
      </c>
      <c r="N2035">
        <v>0.1507894295942144</v>
      </c>
      <c r="O2035">
        <v>2.1441695325749299E-2</v>
      </c>
      <c r="P2035">
        <v>2.8784729918781903E-2</v>
      </c>
      <c r="Q2035">
        <v>5.5972465320432282E-3</v>
      </c>
      <c r="R2035">
        <v>1.6469723729923085E-3</v>
      </c>
      <c r="S2035">
        <v>0.26691100718159988</v>
      </c>
      <c r="T2035">
        <v>1.3854417168993896</v>
      </c>
      <c r="U2035">
        <v>0.2162538357873067</v>
      </c>
      <c r="V2035">
        <v>0.24460430230806976</v>
      </c>
      <c r="W2035">
        <v>9.9200812256113338E-2</v>
      </c>
      <c r="X2035">
        <v>1.6601175201348545E-2</v>
      </c>
      <c r="Y2035">
        <v>4.4825158749882202E-3</v>
      </c>
    </row>
    <row r="2036" spans="1:25" x14ac:dyDescent="0.2">
      <c r="A2036" s="1077"/>
      <c r="B2036" s="1444">
        <v>1786</v>
      </c>
      <c r="C2036" s="1081">
        <v>0.97936483410498931</v>
      </c>
      <c r="D2036" s="1081">
        <v>1.0152073519138867</v>
      </c>
      <c r="E2036" s="1081">
        <v>0.99023212976689701</v>
      </c>
      <c r="F2036" s="1081">
        <v>0.99952043179234262</v>
      </c>
      <c r="G2036" s="1081">
        <v>1.0128808317015294</v>
      </c>
      <c r="H2036" s="1081">
        <v>0.98406365408065266</v>
      </c>
      <c r="I2036" s="1081">
        <v>1.0092062698618436</v>
      </c>
      <c r="K2036">
        <v>2.4214768226793897</v>
      </c>
      <c r="L2036">
        <v>0</v>
      </c>
      <c r="M2036">
        <v>1.6778647500750228E-3</v>
      </c>
      <c r="N2036">
        <v>0.14822600276056966</v>
      </c>
      <c r="O2036">
        <v>2.1350137225944164E-2</v>
      </c>
      <c r="P2036">
        <v>2.8437808330227101E-2</v>
      </c>
      <c r="Q2036">
        <v>5.532165780837108E-3</v>
      </c>
      <c r="R2036">
        <v>1.6553586639281197E-3</v>
      </c>
      <c r="S2036">
        <v>0.2630240733391318</v>
      </c>
      <c r="T2036">
        <v>1.3707698536838624</v>
      </c>
      <c r="U2036">
        <v>0.21640558702781842</v>
      </c>
      <c r="V2036">
        <v>0.24908100035358482</v>
      </c>
      <c r="W2036">
        <v>9.7943557037736467E-2</v>
      </c>
      <c r="X2036">
        <v>1.6223802631447896E-2</v>
      </c>
      <c r="Y2036">
        <v>4.5053405943754352E-3</v>
      </c>
    </row>
    <row r="2037" spans="1:25" x14ac:dyDescent="0.2">
      <c r="A2037" s="1077"/>
      <c r="B2037" s="1444">
        <v>1787</v>
      </c>
      <c r="C2037" s="1081">
        <v>0.99602207966160849</v>
      </c>
      <c r="D2037" s="1081">
        <v>1.0068063791893249</v>
      </c>
      <c r="E2037" s="1081">
        <v>0.9883722938616063</v>
      </c>
      <c r="F2037" s="1081">
        <v>1.0206320944669707</v>
      </c>
      <c r="G2037" s="1081">
        <v>0.98010292446988445</v>
      </c>
      <c r="H2037" s="1081">
        <v>0.97062735779199172</v>
      </c>
      <c r="I2037" s="1081">
        <v>0.97714379599357182</v>
      </c>
      <c r="K2037">
        <v>2.4194228527802184</v>
      </c>
      <c r="L2037">
        <v>0</v>
      </c>
      <c r="M2037">
        <v>1.6365467356088959E-3</v>
      </c>
      <c r="N2037">
        <v>0.14373810332708564</v>
      </c>
      <c r="O2037">
        <v>2.1030259714466273E-2</v>
      </c>
      <c r="P2037">
        <v>2.8478175702216189E-2</v>
      </c>
      <c r="Q2037">
        <v>5.4390421334831966E-3</v>
      </c>
      <c r="R2037">
        <v>1.6142909923576349E-3</v>
      </c>
      <c r="S2037">
        <v>0.25031921267177282</v>
      </c>
      <c r="T2037">
        <v>1.3996820040406543</v>
      </c>
      <c r="U2037">
        <v>0.21278009756450492</v>
      </c>
      <c r="V2037">
        <v>0.24242321715632706</v>
      </c>
      <c r="W2037">
        <v>9.5084017590629247E-2</v>
      </c>
      <c r="X2037">
        <v>1.6077410692012684E-2</v>
      </c>
      <c r="Y2037">
        <v>4.3935679303148704E-3</v>
      </c>
    </row>
    <row r="2038" spans="1:25" x14ac:dyDescent="0.2">
      <c r="A2038" s="1077"/>
      <c r="B2038" s="1444">
        <v>1788</v>
      </c>
      <c r="C2038" s="1081">
        <v>0.98008498764172691</v>
      </c>
      <c r="D2038" s="1081">
        <v>0.97764564718026281</v>
      </c>
      <c r="E2038" s="1081">
        <v>1.0347176282259947</v>
      </c>
      <c r="F2038" s="1081">
        <v>0.9928032675361208</v>
      </c>
      <c r="G2038" s="1081">
        <v>0.97272920879566005</v>
      </c>
      <c r="H2038" s="1081">
        <v>1.0039153278609161</v>
      </c>
      <c r="I2038" s="1081">
        <v>1.0316334002122156</v>
      </c>
      <c r="K2038">
        <v>2.4370972046192292</v>
      </c>
      <c r="L2038">
        <v>0</v>
      </c>
      <c r="M2038">
        <v>1.5723970349754337E-3</v>
      </c>
      <c r="N2038">
        <v>0.15891405970607025</v>
      </c>
      <c r="O2038">
        <v>2.1542468819742731E-2</v>
      </c>
      <c r="P2038">
        <v>2.9352959562132387E-2</v>
      </c>
      <c r="Q2038">
        <v>5.8354880882088714E-3</v>
      </c>
      <c r="R2038">
        <v>1.5517227094806484E-3</v>
      </c>
      <c r="S2038">
        <v>0.27598721250410407</v>
      </c>
      <c r="T2038">
        <v>1.3625152989174261</v>
      </c>
      <c r="U2038">
        <v>0.21640202014712132</v>
      </c>
      <c r="V2038">
        <v>0.24202490325183001</v>
      </c>
      <c r="W2038">
        <v>0.10229227194243219</v>
      </c>
      <c r="X2038">
        <v>1.8027918315703457E-2</v>
      </c>
      <c r="Y2038">
        <v>4.2232776899526203E-3</v>
      </c>
    </row>
    <row r="2039" spans="1:25" x14ac:dyDescent="0.2">
      <c r="A2039" s="1077"/>
      <c r="B2039" s="1444">
        <v>1789</v>
      </c>
      <c r="C2039" s="1081">
        <v>0.99420516833795491</v>
      </c>
      <c r="D2039" s="1081">
        <v>0.98952940318324023</v>
      </c>
      <c r="E2039" s="1081">
        <v>0.98379529665600296</v>
      </c>
      <c r="F2039" s="1081">
        <v>1.0088200065257047</v>
      </c>
      <c r="G2039" s="1081">
        <v>0.98921281992061272</v>
      </c>
      <c r="H2039" s="1081">
        <v>0.98712352581859353</v>
      </c>
      <c r="I2039" s="1081">
        <v>1.0026613572439169</v>
      </c>
      <c r="K2039">
        <v>2.4204897163114172</v>
      </c>
      <c r="L2039">
        <v>0</v>
      </c>
      <c r="M2039">
        <v>1.6896952369569319E-3</v>
      </c>
      <c r="N2039">
        <v>0.14639974328300046</v>
      </c>
      <c r="O2039">
        <v>2.1146019559435691E-2</v>
      </c>
      <c r="P2039">
        <v>2.833147919369005E-2</v>
      </c>
      <c r="Q2039">
        <v>5.4436836409571558E-3</v>
      </c>
      <c r="R2039">
        <v>1.6671007181931373E-3</v>
      </c>
      <c r="S2039">
        <v>0.26095954851748027</v>
      </c>
      <c r="T2039">
        <v>1.3833834742434796</v>
      </c>
      <c r="U2039">
        <v>0.21315325198037699</v>
      </c>
      <c r="V2039">
        <v>0.24411026405073369</v>
      </c>
      <c r="W2039">
        <v>9.7111445353224149E-2</v>
      </c>
      <c r="X2039">
        <v>1.5936102412484544E-2</v>
      </c>
      <c r="Y2039">
        <v>4.5372985953176653E-3</v>
      </c>
    </row>
    <row r="2040" spans="1:25" x14ac:dyDescent="0.2">
      <c r="A2040" s="1077"/>
      <c r="B2040" s="1444">
        <v>1790</v>
      </c>
      <c r="C2040" s="1081">
        <v>0.97830382262329696</v>
      </c>
      <c r="D2040" s="1081">
        <v>0.96561545521366199</v>
      </c>
      <c r="E2040" s="1081">
        <v>1.0039816712213387</v>
      </c>
      <c r="F2040" s="1081">
        <v>1.0129448814476825</v>
      </c>
      <c r="G2040" s="1081">
        <v>0.99291435751397972</v>
      </c>
      <c r="H2040" s="1081">
        <v>0.97030552784894142</v>
      </c>
      <c r="I2040" s="1081">
        <v>1.0169931978652265</v>
      </c>
      <c r="K2040">
        <v>2.448549625023547</v>
      </c>
      <c r="L2040">
        <v>0</v>
      </c>
      <c r="M2040">
        <v>1.6274862232433182E-3</v>
      </c>
      <c r="N2040">
        <v>0.14984615637524437</v>
      </c>
      <c r="O2040">
        <v>2.1619483969573795E-2</v>
      </c>
      <c r="P2040">
        <v>2.9054400102847922E-2</v>
      </c>
      <c r="Q2040">
        <v>5.6800447833915317E-3</v>
      </c>
      <c r="R2040">
        <v>1.6053463549112789E-3</v>
      </c>
      <c r="S2040">
        <v>0.27101004711447185</v>
      </c>
      <c r="T2040">
        <v>1.3894815649489296</v>
      </c>
      <c r="U2040">
        <v>0.21668830741053965</v>
      </c>
      <c r="V2040">
        <v>0.24569080842756158</v>
      </c>
      <c r="W2040">
        <v>9.8206424530131731E-2</v>
      </c>
      <c r="X2040">
        <v>1.6925303653401176E-2</v>
      </c>
      <c r="Y2040">
        <v>4.3692235757848315E-3</v>
      </c>
    </row>
    <row r="2041" spans="1:25" x14ac:dyDescent="0.2">
      <c r="A2041" s="1077"/>
      <c r="B2041" s="1444">
        <v>1791</v>
      </c>
      <c r="C2041" s="1081">
        <v>0.98351375616603254</v>
      </c>
      <c r="D2041" s="1081">
        <v>1.007063982995376</v>
      </c>
      <c r="E2041" s="1081">
        <v>0.99567347300240938</v>
      </c>
      <c r="F2041" s="1081">
        <v>0.97987431431264904</v>
      </c>
      <c r="G2041" s="1081">
        <v>0.98022013517704309</v>
      </c>
      <c r="H2041" s="1081">
        <v>1.0137203323082253</v>
      </c>
      <c r="I2041" s="1081">
        <v>0.96112284061402165</v>
      </c>
      <c r="K2041">
        <v>2.3852715525445403</v>
      </c>
      <c r="L2041">
        <v>0</v>
      </c>
      <c r="M2041">
        <v>1.7048609908794205E-3</v>
      </c>
      <c r="N2041">
        <v>0.15316953587646936</v>
      </c>
      <c r="O2041">
        <v>2.1301436834494567E-2</v>
      </c>
      <c r="P2041">
        <v>2.7960192645393903E-2</v>
      </c>
      <c r="Q2041">
        <v>5.5499374907232134E-3</v>
      </c>
      <c r="R2041">
        <v>1.6826618056547909E-3</v>
      </c>
      <c r="S2041">
        <v>0.25294809576503158</v>
      </c>
      <c r="T2041">
        <v>1.3439417802291271</v>
      </c>
      <c r="U2041">
        <v>0.21551157730433393</v>
      </c>
      <c r="V2041">
        <v>0.24321422380766361</v>
      </c>
      <c r="W2041">
        <v>0.10088149381478134</v>
      </c>
      <c r="X2041">
        <v>1.6235827216065996E-2</v>
      </c>
      <c r="Y2041">
        <v>4.5796507456771825E-3</v>
      </c>
    </row>
    <row r="2042" spans="1:25" x14ac:dyDescent="0.2">
      <c r="A2042" s="1077"/>
      <c r="B2042" s="1444">
        <v>1792</v>
      </c>
      <c r="C2042" s="1081">
        <v>0.99824056019633622</v>
      </c>
      <c r="D2042" s="1081">
        <v>1.0342289810968919</v>
      </c>
      <c r="E2042" s="1081">
        <v>0.96678630591683534</v>
      </c>
      <c r="F2042" s="1081">
        <v>1.021914511183976</v>
      </c>
      <c r="G2042" s="1081">
        <v>1.0181150267417718</v>
      </c>
      <c r="H2042" s="1081">
        <v>0.97838525741391846</v>
      </c>
      <c r="I2042" s="1081">
        <v>1.0353677911598627</v>
      </c>
      <c r="K2042">
        <v>2.4330813369773869</v>
      </c>
      <c r="L2042">
        <v>0</v>
      </c>
      <c r="M2042">
        <v>1.7109180584742535E-3</v>
      </c>
      <c r="N2042">
        <v>0.14078310612801129</v>
      </c>
      <c r="O2042">
        <v>2.0845638994252572E-2</v>
      </c>
      <c r="P2042">
        <v>2.8260077882078769E-2</v>
      </c>
      <c r="Q2042">
        <v>5.2741401640970893E-3</v>
      </c>
      <c r="R2042">
        <v>1.6878354157994046E-3</v>
      </c>
      <c r="S2042">
        <v>0.26160764464506103</v>
      </c>
      <c r="T2042">
        <v>1.4009658115383941</v>
      </c>
      <c r="U2042">
        <v>0.21223356879036959</v>
      </c>
      <c r="V2042">
        <v>0.24885853585793047</v>
      </c>
      <c r="W2042">
        <v>9.4353445842163139E-2</v>
      </c>
      <c r="X2042">
        <v>1.5328718170690271E-2</v>
      </c>
      <c r="Y2042">
        <v>4.5937316070106963E-3</v>
      </c>
    </row>
    <row r="2043" spans="1:25" x14ac:dyDescent="0.2">
      <c r="A2043" s="1077"/>
      <c r="B2043" s="1444">
        <v>1793</v>
      </c>
      <c r="C2043" s="1081">
        <v>0.98086166363024285</v>
      </c>
      <c r="D2043" s="1081">
        <v>0.96966050066663489</v>
      </c>
      <c r="E2043" s="1081">
        <v>0.9859508667653466</v>
      </c>
      <c r="F2043" s="1081">
        <v>1.0294088643801329</v>
      </c>
      <c r="G2043" s="1081">
        <v>0.99439172204862991</v>
      </c>
      <c r="H2043" s="1081">
        <v>0.99118869561285616</v>
      </c>
      <c r="I2043" s="1081">
        <v>0.98394822198311038</v>
      </c>
      <c r="K2043">
        <v>2.4623423976212839</v>
      </c>
      <c r="L2043">
        <v>0</v>
      </c>
      <c r="M2043">
        <v>1.7197376118706412E-3</v>
      </c>
      <c r="N2043">
        <v>0.14998565648657536</v>
      </c>
      <c r="O2043">
        <v>2.1531010554771912E-2</v>
      </c>
      <c r="P2043">
        <v>2.8844455115702113E-2</v>
      </c>
      <c r="Q2043">
        <v>5.5549172133988198E-3</v>
      </c>
      <c r="R2043">
        <v>1.6968356826688295E-3</v>
      </c>
      <c r="S2043">
        <v>0.26261053004167756</v>
      </c>
      <c r="T2043">
        <v>1.4116645858469756</v>
      </c>
      <c r="U2043">
        <v>0.21606045282925349</v>
      </c>
      <c r="V2043">
        <v>0.24584085137835926</v>
      </c>
      <c r="W2043">
        <v>9.9361179577618919E-2</v>
      </c>
      <c r="X2043">
        <v>1.6293433139658215E-2</v>
      </c>
      <c r="Y2043">
        <v>4.6182273664920927E-3</v>
      </c>
    </row>
    <row r="2044" spans="1:25" x14ac:dyDescent="0.2">
      <c r="A2044" s="1077"/>
      <c r="B2044" s="1444">
        <v>1794</v>
      </c>
      <c r="C2044" s="1081">
        <v>0.99203071641040863</v>
      </c>
      <c r="D2044" s="1081">
        <v>0.98257826969610385</v>
      </c>
      <c r="E2044" s="1081">
        <v>1.0135872286286702</v>
      </c>
      <c r="F2044" s="1081">
        <v>1.0301809460275733</v>
      </c>
      <c r="G2044" s="1081">
        <v>1.027160780555765</v>
      </c>
      <c r="H2044" s="1081">
        <v>1.0149635765167659</v>
      </c>
      <c r="I2044" s="1081">
        <v>0.97047425039248147</v>
      </c>
      <c r="K2044">
        <v>2.4690529317232501</v>
      </c>
      <c r="L2044">
        <v>0</v>
      </c>
      <c r="M2044">
        <v>1.6393778764229486E-3</v>
      </c>
      <c r="N2044">
        <v>0.15547698534713719</v>
      </c>
      <c r="O2044">
        <v>2.1245266295541951E-2</v>
      </c>
      <c r="P2044">
        <v>2.9418791901213649E-2</v>
      </c>
      <c r="Q2044">
        <v>5.6356181031244415E-3</v>
      </c>
      <c r="R2044">
        <v>1.6180575018169985E-3</v>
      </c>
      <c r="S2044">
        <v>0.2566027369688923</v>
      </c>
      <c r="T2044">
        <v>1.4133390976170401</v>
      </c>
      <c r="U2044">
        <v>0.21372309811489085</v>
      </c>
      <c r="V2044">
        <v>0.25062063089466508</v>
      </c>
      <c r="W2044">
        <v>0.10132068604879998</v>
      </c>
      <c r="X2044">
        <v>1.728752167911729E-2</v>
      </c>
      <c r="Y2044">
        <v>4.4038191274337482E-3</v>
      </c>
    </row>
    <row r="2045" spans="1:25" x14ac:dyDescent="0.2">
      <c r="A2045" s="1077"/>
      <c r="B2045" s="1444">
        <v>1795</v>
      </c>
      <c r="C2045" s="1081">
        <v>1.0360525140967518</v>
      </c>
      <c r="D2045" s="1081">
        <v>0.96223213015108466</v>
      </c>
      <c r="E2045" s="1081">
        <v>1.0092515038680843</v>
      </c>
      <c r="F2045" s="1081">
        <v>0.97414018941272329</v>
      </c>
      <c r="G2045" s="1081">
        <v>0.983649674679137</v>
      </c>
      <c r="H2045" s="1081">
        <v>0.99875860644087766</v>
      </c>
      <c r="I2045" s="1081">
        <v>0.99435882634516837</v>
      </c>
      <c r="K2045">
        <v>2.3511737901718628</v>
      </c>
      <c r="L2045">
        <v>0</v>
      </c>
      <c r="M2045">
        <v>1.5658294451006286E-3</v>
      </c>
      <c r="N2045">
        <v>0.1465394354849878</v>
      </c>
      <c r="O2045">
        <v>2.0433610099105815E-2</v>
      </c>
      <c r="P2045">
        <v>2.7954732051315791E-2</v>
      </c>
      <c r="Q2045">
        <v>5.3968910475718449E-3</v>
      </c>
      <c r="R2045">
        <v>1.5451351737548289E-3</v>
      </c>
      <c r="S2045">
        <v>0.25304072619199164</v>
      </c>
      <c r="T2045">
        <v>1.3363633852070018</v>
      </c>
      <c r="U2045">
        <v>0.20462768885053673</v>
      </c>
      <c r="V2045">
        <v>0.24053518468688401</v>
      </c>
      <c r="W2045">
        <v>9.5740487315626066E-2</v>
      </c>
      <c r="X2045">
        <v>1.6356994918896851E-2</v>
      </c>
      <c r="Y2045">
        <v>4.2053485892875088E-3</v>
      </c>
    </row>
    <row r="2046" spans="1:25" x14ac:dyDescent="0.2">
      <c r="A2046" s="1077"/>
      <c r="B2046" s="1444">
        <v>1796</v>
      </c>
      <c r="C2046" s="1081">
        <v>1.0418684300980914</v>
      </c>
      <c r="D2046" s="1081">
        <v>0.97814095328947603</v>
      </c>
      <c r="E2046" s="1081">
        <v>0.9982316867355705</v>
      </c>
      <c r="F2046" s="1081">
        <v>1.0007334651860689</v>
      </c>
      <c r="G2046" s="1081">
        <v>1.0452282979257455</v>
      </c>
      <c r="H2046" s="1081">
        <v>0.98942815403864526</v>
      </c>
      <c r="I2046" s="1081">
        <v>1.0280585453657922</v>
      </c>
      <c r="K2046">
        <v>2.3941200416433532</v>
      </c>
      <c r="L2046">
        <v>0</v>
      </c>
      <c r="M2046">
        <v>1.5725460695191974E-3</v>
      </c>
      <c r="N2046">
        <v>0.14233230485007514</v>
      </c>
      <c r="O2046">
        <v>2.0239315408841264E-2</v>
      </c>
      <c r="P2046">
        <v>2.8399697234428221E-2</v>
      </c>
      <c r="Q2046">
        <v>5.2868095993943562E-3</v>
      </c>
      <c r="R2046">
        <v>1.5515670430040188E-3</v>
      </c>
      <c r="S2046">
        <v>0.25713464931159069</v>
      </c>
      <c r="T2046">
        <v>1.3726063819007046</v>
      </c>
      <c r="U2046">
        <v>0.20344924094936512</v>
      </c>
      <c r="V2046">
        <v>0.2507542494267529</v>
      </c>
      <c r="W2046">
        <v>9.3601039241881637E-2</v>
      </c>
      <c r="X2046">
        <v>1.6114478729715033E-2</v>
      </c>
      <c r="Y2046">
        <v>4.2228540171186744E-3</v>
      </c>
    </row>
    <row r="2047" spans="1:25" x14ac:dyDescent="0.2">
      <c r="A2047" s="1077"/>
      <c r="B2047" s="1444">
        <v>1797</v>
      </c>
      <c r="C2047" s="1081">
        <v>1.0293239951122881</v>
      </c>
      <c r="D2047" s="1081">
        <v>1.0067149345056849</v>
      </c>
      <c r="E2047" s="1081">
        <v>1.0178921976853856</v>
      </c>
      <c r="F2047" s="1081">
        <v>0.97335310337593295</v>
      </c>
      <c r="G2047" s="1081">
        <v>1.0106638635634602</v>
      </c>
      <c r="H2047" s="1081">
        <v>1.0283500033760367</v>
      </c>
      <c r="I2047" s="1081">
        <v>0.98686835895934943</v>
      </c>
      <c r="K2047">
        <v>2.3616559167047395</v>
      </c>
      <c r="L2047">
        <v>0</v>
      </c>
      <c r="M2047">
        <v>1.5781067565050157E-3</v>
      </c>
      <c r="N2047">
        <v>0.15164912931486532</v>
      </c>
      <c r="O2047">
        <v>2.0369284982467449E-2</v>
      </c>
      <c r="P2047">
        <v>2.8160471007293436E-2</v>
      </c>
      <c r="Q2047">
        <v>5.4264799599686451E-3</v>
      </c>
      <c r="R2047">
        <v>1.5578503854497125E-3</v>
      </c>
      <c r="S2047">
        <v>0.24957433002785892</v>
      </c>
      <c r="T2047">
        <v>1.3354660226402448</v>
      </c>
      <c r="U2047">
        <v>0.20599406027164519</v>
      </c>
      <c r="V2047">
        <v>0.24550974846305421</v>
      </c>
      <c r="W2047">
        <v>9.8576735043429856E-2</v>
      </c>
      <c r="X2047">
        <v>1.6709956161013235E-2</v>
      </c>
      <c r="Y2047">
        <v>4.2399552039525711E-3</v>
      </c>
    </row>
    <row r="2048" spans="1:25" x14ac:dyDescent="0.2">
      <c r="A2048" s="1077"/>
      <c r="B2048" s="1444">
        <v>1798</v>
      </c>
      <c r="C2048" s="1081">
        <v>1.0023095249877623</v>
      </c>
      <c r="D2048" s="1081">
        <v>0.97376485446646022</v>
      </c>
      <c r="E2048" s="1081">
        <v>0.99166921287363041</v>
      </c>
      <c r="F2048" s="1081">
        <v>0.98890319814159722</v>
      </c>
      <c r="G2048" s="1081">
        <v>0.98438024244146916</v>
      </c>
      <c r="H2048" s="1081">
        <v>1.0180119992609691</v>
      </c>
      <c r="I2048" s="1081">
        <v>0.99701260983371764</v>
      </c>
      <c r="K2048">
        <v>2.3993979231110236</v>
      </c>
      <c r="L2048">
        <v>0</v>
      </c>
      <c r="M2048">
        <v>1.706548624067318E-3</v>
      </c>
      <c r="N2048">
        <v>0.15148506640214979</v>
      </c>
      <c r="O2048">
        <v>2.1054511972626845E-2</v>
      </c>
      <c r="P2048">
        <v>2.8107046639386315E-2</v>
      </c>
      <c r="Q2048">
        <v>5.4634905729065439E-3</v>
      </c>
      <c r="R2048">
        <v>1.6844211424642539E-3</v>
      </c>
      <c r="S2048">
        <v>0.26217741352271851</v>
      </c>
      <c r="T2048">
        <v>1.3562397670883639</v>
      </c>
      <c r="U2048">
        <v>0.21145656286369102</v>
      </c>
      <c r="V2048">
        <v>0.24274932030637725</v>
      </c>
      <c r="W2048">
        <v>0.10001098248639848</v>
      </c>
      <c r="X2048">
        <v>1.6091449657497838E-2</v>
      </c>
      <c r="Y2048">
        <v>4.5844390805073179E-3</v>
      </c>
    </row>
    <row r="2049" spans="1:25" x14ac:dyDescent="0.2">
      <c r="A2049" s="1077"/>
      <c r="B2049" s="1444">
        <v>1799</v>
      </c>
      <c r="C2049" s="1081">
        <v>1.0085048846737728</v>
      </c>
      <c r="D2049" s="1081">
        <v>1.0257765433800528</v>
      </c>
      <c r="E2049" s="1081">
        <v>0.99683769010073331</v>
      </c>
      <c r="F2049" s="1081">
        <v>0.96547709815294414</v>
      </c>
      <c r="G2049" s="1081">
        <v>0.96517658651302218</v>
      </c>
      <c r="H2049" s="1081">
        <v>0.96524085641032897</v>
      </c>
      <c r="I2049" s="1081">
        <v>1.0029930102013092</v>
      </c>
      <c r="K2049">
        <v>2.3332151949571109</v>
      </c>
      <c r="L2049">
        <v>0</v>
      </c>
      <c r="M2049">
        <v>1.5729021495634646E-3</v>
      </c>
      <c r="N2049">
        <v>0.14171807632920005</v>
      </c>
      <c r="O2049">
        <v>2.0690370140347435E-2</v>
      </c>
      <c r="P2049">
        <v>2.7560598727451285E-2</v>
      </c>
      <c r="Q2049">
        <v>5.3970537052824554E-3</v>
      </c>
      <c r="R2049">
        <v>1.5513925548196561E-3</v>
      </c>
      <c r="S2049">
        <v>0.25101066720328041</v>
      </c>
      <c r="T2049">
        <v>1.3242196417629406</v>
      </c>
      <c r="U2049">
        <v>0.21017506343652712</v>
      </c>
      <c r="V2049">
        <v>0.23906895623335994</v>
      </c>
      <c r="W2049">
        <v>9.3274506079328495E-2</v>
      </c>
      <c r="X2049">
        <v>1.5899391816332542E-2</v>
      </c>
      <c r="Y2049">
        <v>4.2223791178008533E-3</v>
      </c>
    </row>
    <row r="2050" spans="1:25" x14ac:dyDescent="0.2">
      <c r="A2050" s="1077"/>
      <c r="B2050" s="1444">
        <v>1800</v>
      </c>
      <c r="C2050" s="1081">
        <v>1.030651561266303</v>
      </c>
      <c r="D2050" s="1081">
        <v>1.0337416843179108</v>
      </c>
      <c r="E2050" s="1081">
        <v>1.0215992571921597</v>
      </c>
      <c r="F2050" s="1081">
        <v>0.97073614845006706</v>
      </c>
      <c r="G2050" s="1081">
        <v>0.98904384468688167</v>
      </c>
      <c r="H2050" s="1081">
        <v>0.99492958563118705</v>
      </c>
      <c r="I2050" s="1081">
        <v>1.0199976841372924</v>
      </c>
      <c r="K2050">
        <v>2.3463562814773913</v>
      </c>
      <c r="L2050">
        <v>0</v>
      </c>
      <c r="M2050">
        <v>1.5043439457397344E-3</v>
      </c>
      <c r="N2050">
        <v>0.14612278242734428</v>
      </c>
      <c r="O2050">
        <v>2.0227203285677519E-2</v>
      </c>
      <c r="P2050">
        <v>2.8159035056841728E-2</v>
      </c>
      <c r="Q2050">
        <v>5.4085271025937779E-3</v>
      </c>
      <c r="R2050">
        <v>1.484385762045734E-3</v>
      </c>
      <c r="S2050">
        <v>0.25149449806228186</v>
      </c>
      <c r="T2050">
        <v>1.3319536252181503</v>
      </c>
      <c r="U2050">
        <v>0.20574105437119014</v>
      </c>
      <c r="V2050">
        <v>0.24172848220528423</v>
      </c>
      <c r="W2050">
        <v>9.4778611887556208E-2</v>
      </c>
      <c r="X2050">
        <v>1.6722411327509887E-2</v>
      </c>
      <c r="Y2050">
        <v>4.0400087166535398E-3</v>
      </c>
    </row>
    <row r="2051" spans="1:25" x14ac:dyDescent="0.2">
      <c r="A2051" s="1077"/>
      <c r="B2051" s="1444">
        <v>1801</v>
      </c>
      <c r="C2051" s="1081">
        <v>0.99813345310908019</v>
      </c>
      <c r="D2051" s="1081">
        <v>0.99524321746354583</v>
      </c>
      <c r="E2051" s="1081">
        <v>0.95853400370011077</v>
      </c>
      <c r="F2051" s="1081">
        <v>1.0013444689755346</v>
      </c>
      <c r="G2051" s="1081">
        <v>1.0021842525572455</v>
      </c>
      <c r="H2051" s="1081">
        <v>1.0030481088160637</v>
      </c>
      <c r="I2051" s="1081">
        <v>0.97118949856158321</v>
      </c>
      <c r="K2051">
        <v>2.3984639441969646</v>
      </c>
      <c r="L2051">
        <v>0</v>
      </c>
      <c r="M2051">
        <v>1.7994880477803709E-3</v>
      </c>
      <c r="N2051">
        <v>0.14446369202564238</v>
      </c>
      <c r="O2051">
        <v>2.1019398157955192E-2</v>
      </c>
      <c r="P2051">
        <v>2.7545135023951769E-2</v>
      </c>
      <c r="Q2051">
        <v>5.2732532853221941E-3</v>
      </c>
      <c r="R2051">
        <v>1.7758074085542437E-3</v>
      </c>
      <c r="S2051">
        <v>0.25216356822371838</v>
      </c>
      <c r="T2051">
        <v>1.372588554644717</v>
      </c>
      <c r="U2051">
        <v>0.21222825533649903</v>
      </c>
      <c r="V2051">
        <v>0.24617295002085526</v>
      </c>
      <c r="W2051">
        <v>9.7310565721164116E-2</v>
      </c>
      <c r="X2051">
        <v>1.4889090025032197E-2</v>
      </c>
      <c r="Y2051">
        <v>4.8331623713297493E-3</v>
      </c>
    </row>
    <row r="2052" spans="1:25" x14ac:dyDescent="0.2">
      <c r="A2052" s="1077"/>
      <c r="B2052" s="1444">
        <v>1802</v>
      </c>
      <c r="C2052" s="1081">
        <v>0.98729328878024081</v>
      </c>
      <c r="D2052" s="1081">
        <v>1.0080880540435355</v>
      </c>
      <c r="E2052" s="1081">
        <v>0.99631603758773901</v>
      </c>
      <c r="F2052" s="1081">
        <v>1.0295270067853997</v>
      </c>
      <c r="G2052" s="1081">
        <v>1.0034016326155077</v>
      </c>
      <c r="H2052" s="1081">
        <v>0.95413545375462616</v>
      </c>
      <c r="I2052" s="1081">
        <v>1.0002718007727884</v>
      </c>
      <c r="K2052">
        <v>2.4452618856067945</v>
      </c>
      <c r="L2052">
        <v>0</v>
      </c>
      <c r="M2052">
        <v>1.5960242843128588E-3</v>
      </c>
      <c r="N2052">
        <v>0.14355169245220994</v>
      </c>
      <c r="O2052">
        <v>2.121557781880758E-2</v>
      </c>
      <c r="P2052">
        <v>2.899492052792662E-2</v>
      </c>
      <c r="Q2052">
        <v>5.5311468368791118E-3</v>
      </c>
      <c r="R2052">
        <v>1.5739444566248621E-3</v>
      </c>
      <c r="S2052">
        <v>0.25699046386898294</v>
      </c>
      <c r="T2052">
        <v>1.4120569818825113</v>
      </c>
      <c r="U2052">
        <v>0.21468878432711053</v>
      </c>
      <c r="V2052">
        <v>0.24692827928572833</v>
      </c>
      <c r="W2052">
        <v>9.4510713183700412E-2</v>
      </c>
      <c r="X2052">
        <v>1.653164729034301E-2</v>
      </c>
      <c r="Y2052">
        <v>4.2837579602821932E-3</v>
      </c>
    </row>
    <row r="2053" spans="1:25" x14ac:dyDescent="0.2">
      <c r="A2053" s="1077"/>
      <c r="B2053" s="1444">
        <v>1803</v>
      </c>
      <c r="C2053" s="1081">
        <v>0.98466485583527663</v>
      </c>
      <c r="D2053" s="1081">
        <v>0.98676049314920355</v>
      </c>
      <c r="E2053" s="1081">
        <v>0.98802188380788392</v>
      </c>
      <c r="F2053" s="1081">
        <v>1.0087824689412614</v>
      </c>
      <c r="G2053" s="1081">
        <v>0.97122312136182587</v>
      </c>
      <c r="H2053" s="1081">
        <v>1.0292977981773945</v>
      </c>
      <c r="I2053" s="1081">
        <v>1.0049828185261609</v>
      </c>
      <c r="K2053">
        <v>2.4422626825392992</v>
      </c>
      <c r="L2053">
        <v>0</v>
      </c>
      <c r="M2053">
        <v>1.7645504068654063E-3</v>
      </c>
      <c r="N2053">
        <v>0.15493821608188665</v>
      </c>
      <c r="O2053">
        <v>2.1366918033034157E-2</v>
      </c>
      <c r="P2053">
        <v>2.851478917212074E-2</v>
      </c>
      <c r="Q2053">
        <v>5.5241529873024308E-3</v>
      </c>
      <c r="R2053">
        <v>1.7419217256784492E-3</v>
      </c>
      <c r="S2053">
        <v>0.26817715372985307</v>
      </c>
      <c r="T2053">
        <v>1.3834239498903758</v>
      </c>
      <c r="U2053">
        <v>0.21523311053081556</v>
      </c>
      <c r="V2053">
        <v>0.2416299185996188</v>
      </c>
      <c r="W2053">
        <v>0.10251453852441865</v>
      </c>
      <c r="X2053">
        <v>1.6221626958106587E-2</v>
      </c>
      <c r="Y2053">
        <v>4.7409367129541968E-3</v>
      </c>
    </row>
    <row r="2054" spans="1:25" x14ac:dyDescent="0.2">
      <c r="A2054" s="1077"/>
      <c r="B2054" s="1444">
        <v>1804</v>
      </c>
      <c r="C2054" s="1081">
        <v>0.99795824488544749</v>
      </c>
      <c r="D2054" s="1081">
        <v>1.0125090392394822</v>
      </c>
      <c r="E2054" s="1081">
        <v>1.0185643744734481</v>
      </c>
      <c r="F2054" s="1081">
        <v>0.99662273099131005</v>
      </c>
      <c r="G2054" s="1081">
        <v>1.0153269166019847</v>
      </c>
      <c r="H2054" s="1081">
        <v>0.97655945519475951</v>
      </c>
      <c r="I2054" s="1081">
        <v>0.97894682172886727</v>
      </c>
      <c r="K2054">
        <v>2.3996505084542794</v>
      </c>
      <c r="L2054">
        <v>0</v>
      </c>
      <c r="M2054">
        <v>1.5416233630745502E-3</v>
      </c>
      <c r="N2054">
        <v>0.14834162123652697</v>
      </c>
      <c r="O2054">
        <v>2.0983427846203773E-2</v>
      </c>
      <c r="P2054">
        <v>2.8753479967901507E-2</v>
      </c>
      <c r="Q2054">
        <v>5.5938311289626301E-3</v>
      </c>
      <c r="R2054">
        <v>1.5207858534952968E-3</v>
      </c>
      <c r="S2054">
        <v>0.25031791126240388</v>
      </c>
      <c r="T2054">
        <v>1.3674071038996882</v>
      </c>
      <c r="U2054">
        <v>0.21247074638934843</v>
      </c>
      <c r="V2054">
        <v>0.24820897111322429</v>
      </c>
      <c r="W2054">
        <v>9.6388783988792026E-2</v>
      </c>
      <c r="X2054">
        <v>1.7066391364514381E-2</v>
      </c>
      <c r="Y2054">
        <v>4.1390777662923279E-3</v>
      </c>
    </row>
    <row r="2055" spans="1:25" x14ac:dyDescent="0.2">
      <c r="A2055" s="1077"/>
      <c r="B2055" s="1444">
        <v>1805</v>
      </c>
      <c r="C2055" s="1081">
        <v>1.0125059302335366</v>
      </c>
      <c r="D2055" s="1081">
        <v>1.021220900902875</v>
      </c>
      <c r="E2055" s="1081">
        <v>1.0182854454293659</v>
      </c>
      <c r="F2055" s="1081">
        <v>0.96437021093790876</v>
      </c>
      <c r="G2055" s="1081">
        <v>0.95988522686728861</v>
      </c>
      <c r="H2055" s="1081">
        <v>1.008091221073387</v>
      </c>
      <c r="I2055" s="1081">
        <v>1.0375787135492791</v>
      </c>
      <c r="K2055">
        <v>2.3573516971571227</v>
      </c>
      <c r="L2055">
        <v>0</v>
      </c>
      <c r="M2055">
        <v>1.5664900295795198E-3</v>
      </c>
      <c r="N2055">
        <v>0.15067214569107931</v>
      </c>
      <c r="O2055">
        <v>2.0642810150724646E-2</v>
      </c>
      <c r="P2055">
        <v>2.8126962997734227E-2</v>
      </c>
      <c r="Q2055">
        <v>5.501501067152398E-3</v>
      </c>
      <c r="R2055">
        <v>1.5459786901901244E-3</v>
      </c>
      <c r="S2055">
        <v>0.26311382458846583</v>
      </c>
      <c r="T2055">
        <v>1.3231494897716758</v>
      </c>
      <c r="U2055">
        <v>0.20941702235209819</v>
      </c>
      <c r="V2055">
        <v>0.2378483813120249</v>
      </c>
      <c r="W2055">
        <v>9.7919099947009244E-2</v>
      </c>
      <c r="X2055">
        <v>1.6773326255589176E-2</v>
      </c>
      <c r="Y2055">
        <v>4.207644362959265E-3</v>
      </c>
    </row>
    <row r="2056" spans="1:25" x14ac:dyDescent="0.2">
      <c r="A2056" s="1077"/>
      <c r="B2056" s="1444">
        <v>1806</v>
      </c>
      <c r="C2056" s="1081">
        <v>1.0220422667362121</v>
      </c>
      <c r="D2056" s="1081">
        <v>0.98839274625726581</v>
      </c>
      <c r="E2056" s="1081">
        <v>0.9646079999869005</v>
      </c>
      <c r="F2056" s="1081">
        <v>1.0077454274325597</v>
      </c>
      <c r="G2056" s="1081">
        <v>0.98438851640154779</v>
      </c>
      <c r="H2056" s="1081">
        <v>0.97734915346945039</v>
      </c>
      <c r="I2056" s="1081">
        <v>1.0030688395940073</v>
      </c>
      <c r="K2056">
        <v>2.3878548813902531</v>
      </c>
      <c r="L2056">
        <v>0</v>
      </c>
      <c r="M2056">
        <v>1.693628883583949E-3</v>
      </c>
      <c r="N2056">
        <v>0.13844201741392551</v>
      </c>
      <c r="O2056">
        <v>2.0562833496758099E-2</v>
      </c>
      <c r="P2056">
        <v>2.7679931989979534E-2</v>
      </c>
      <c r="Q2056">
        <v>5.190989820669633E-3</v>
      </c>
      <c r="R2056">
        <v>1.670755272694457E-3</v>
      </c>
      <c r="S2056">
        <v>0.25313117811377178</v>
      </c>
      <c r="T2056">
        <v>1.3814939563461108</v>
      </c>
      <c r="U2056">
        <v>0.20728374875753997</v>
      </c>
      <c r="V2056">
        <v>0.24164672284255539</v>
      </c>
      <c r="W2056">
        <v>9.2907954122340819E-2</v>
      </c>
      <c r="X2056">
        <v>1.4991177009544264E-2</v>
      </c>
      <c r="Y2056">
        <v>4.5472450879466891E-3</v>
      </c>
    </row>
    <row r="2057" spans="1:25" x14ac:dyDescent="0.2">
      <c r="A2057" s="1077"/>
      <c r="B2057" s="1444">
        <v>1807</v>
      </c>
      <c r="C2057" s="1081">
        <v>0.9987626090854903</v>
      </c>
      <c r="D2057" s="1081">
        <v>1.0122906055857015</v>
      </c>
      <c r="E2057" s="1081">
        <v>1.0097164703000703</v>
      </c>
      <c r="F2057" s="1081">
        <v>1.0051727227329379</v>
      </c>
      <c r="G2057" s="1081">
        <v>1.0067402608087268</v>
      </c>
      <c r="H2057" s="1081">
        <v>1.0145537088197376</v>
      </c>
      <c r="I2057" s="1081">
        <v>1.0003559728565528</v>
      </c>
      <c r="K2057">
        <v>2.425854441135233</v>
      </c>
      <c r="L2057">
        <v>0</v>
      </c>
      <c r="M2057">
        <v>1.6300968103979169E-3</v>
      </c>
      <c r="N2057">
        <v>0.15280010716085216</v>
      </c>
      <c r="O2057">
        <v>2.0961647438206547E-2</v>
      </c>
      <c r="P2057">
        <v>2.8818484557789608E-2</v>
      </c>
      <c r="Q2057">
        <v>5.5389300107167895E-3</v>
      </c>
      <c r="R2057">
        <v>1.6088885731406525E-3</v>
      </c>
      <c r="S2057">
        <v>0.25877171550029404</v>
      </c>
      <c r="T2057">
        <v>1.3789451484635245</v>
      </c>
      <c r="U2057">
        <v>0.21226928326723582</v>
      </c>
      <c r="V2057">
        <v>0.24672451920923147</v>
      </c>
      <c r="W2057">
        <v>9.9803473214076233E-2</v>
      </c>
      <c r="X2057">
        <v>1.6863476224448681E-2</v>
      </c>
      <c r="Y2057">
        <v>4.3788643261132593E-3</v>
      </c>
    </row>
    <row r="2058" spans="1:25" x14ac:dyDescent="0.2">
      <c r="A2058" s="1077"/>
      <c r="B2058" s="1444">
        <v>1808</v>
      </c>
      <c r="C2058" s="1081">
        <v>1.0166808849848827</v>
      </c>
      <c r="D2058" s="1081">
        <v>1.0237766923041991</v>
      </c>
      <c r="E2058" s="1081">
        <v>0.974941634186683</v>
      </c>
      <c r="F2058" s="1081">
        <v>1.0115517510092478</v>
      </c>
      <c r="G2058" s="1081">
        <v>1.0014848576227771</v>
      </c>
      <c r="H2058" s="1081">
        <v>0.99518901181655017</v>
      </c>
      <c r="I2058" s="1081">
        <v>0.99907737369048422</v>
      </c>
      <c r="K2058">
        <v>2.4012188345763974</v>
      </c>
      <c r="L2058">
        <v>0</v>
      </c>
      <c r="M2058">
        <v>1.6839647550053966E-3</v>
      </c>
      <c r="N2058">
        <v>0.14206206953552636</v>
      </c>
      <c r="O2058">
        <v>2.0518606929195528E-2</v>
      </c>
      <c r="P2058">
        <v>2.7996635076922696E-2</v>
      </c>
      <c r="Q2058">
        <v>5.2348301219431138E-3</v>
      </c>
      <c r="R2058">
        <v>1.6616293596745059E-3</v>
      </c>
      <c r="S2058">
        <v>0.25057958998111751</v>
      </c>
      <c r="T2058">
        <v>1.3869366079877274</v>
      </c>
      <c r="U2058">
        <v>0.20841141450933154</v>
      </c>
      <c r="V2058">
        <v>0.24485253208181651</v>
      </c>
      <c r="W2058">
        <v>9.4739517307243462E-2</v>
      </c>
      <c r="X2058">
        <v>1.5386959079839264E-2</v>
      </c>
      <c r="Y2058">
        <v>4.522407361062802E-3</v>
      </c>
    </row>
    <row r="2059" spans="1:25" x14ac:dyDescent="0.2">
      <c r="A2059" s="1077"/>
      <c r="B2059" s="1444">
        <v>1809</v>
      </c>
      <c r="C2059" s="1081">
        <v>0.9865559419572103</v>
      </c>
      <c r="D2059" s="1081">
        <v>1.004497280541822</v>
      </c>
      <c r="E2059" s="1081">
        <v>0.99577493987507193</v>
      </c>
      <c r="F2059" s="1081">
        <v>1.0092721739560673</v>
      </c>
      <c r="G2059" s="1081">
        <v>1.0214954292488969</v>
      </c>
      <c r="H2059" s="1081">
        <v>0.96236051208967377</v>
      </c>
      <c r="I2059" s="1081">
        <v>1.0069939448142684</v>
      </c>
      <c r="K2059">
        <v>2.425899794934212</v>
      </c>
      <c r="L2059">
        <v>0</v>
      </c>
      <c r="M2059">
        <v>1.614060510230152E-3</v>
      </c>
      <c r="N2059">
        <v>0.14495410624994545</v>
      </c>
      <c r="O2059">
        <v>2.1247744688166058E-2</v>
      </c>
      <c r="P2059">
        <v>2.8692089255502783E-2</v>
      </c>
      <c r="Q2059">
        <v>5.5365143768982949E-3</v>
      </c>
      <c r="R2059">
        <v>1.5919220079783605E-3</v>
      </c>
      <c r="S2059">
        <v>0.26008614516669193</v>
      </c>
      <c r="T2059">
        <v>1.3842644825330257</v>
      </c>
      <c r="U2059">
        <v>0.21484736798121895</v>
      </c>
      <c r="V2059">
        <v>0.25006772197332172</v>
      </c>
      <c r="W2059">
        <v>9.5464818522184205E-2</v>
      </c>
      <c r="X2059">
        <v>1.6428255760741303E-2</v>
      </c>
      <c r="Y2059">
        <v>4.3326869287682044E-3</v>
      </c>
    </row>
    <row r="2060" spans="1:25" x14ac:dyDescent="0.2">
      <c r="A2060" s="1077"/>
      <c r="B2060" s="1444">
        <v>1810</v>
      </c>
      <c r="C2060" s="1081">
        <v>1.0053166249913006</v>
      </c>
      <c r="D2060" s="1081">
        <v>0.99452274175611943</v>
      </c>
      <c r="E2060" s="1081">
        <v>1.0161198219437682</v>
      </c>
      <c r="F2060" s="1081">
        <v>0.98006841926926935</v>
      </c>
      <c r="G2060" s="1081">
        <v>0.99847026658808724</v>
      </c>
      <c r="H2060" s="1081">
        <v>0.98742201331473711</v>
      </c>
      <c r="I2060" s="1081">
        <v>1.0367831438192112</v>
      </c>
      <c r="K2060">
        <v>2.3892342558532569</v>
      </c>
      <c r="L2060">
        <v>0</v>
      </c>
      <c r="M2060">
        <v>1.5613939335399846E-3</v>
      </c>
      <c r="N2060">
        <v>0.1491623691814935</v>
      </c>
      <c r="O2060">
        <v>2.0910519264450811E-2</v>
      </c>
      <c r="P2060">
        <v>2.854329388902602E-2</v>
      </c>
      <c r="Q2060">
        <v>5.560844471559718E-3</v>
      </c>
      <c r="R2060">
        <v>1.5405213647498341E-3</v>
      </c>
      <c r="S2060">
        <v>0.26648149787414854</v>
      </c>
      <c r="T2060">
        <v>1.344641916879058</v>
      </c>
      <c r="U2060">
        <v>0.21090724019505433</v>
      </c>
      <c r="V2060">
        <v>0.24488266707018408</v>
      </c>
      <c r="W2060">
        <v>9.7061093048554092E-2</v>
      </c>
      <c r="X2060">
        <v>1.6910895226398985E-2</v>
      </c>
      <c r="Y2060">
        <v>4.1927913221176429E-3</v>
      </c>
    </row>
    <row r="2061" spans="1:25" x14ac:dyDescent="0.2">
      <c r="A2061" s="1077"/>
      <c r="B2061" s="1444">
        <v>1811</v>
      </c>
      <c r="C2061" s="1081">
        <v>0.96305040995511193</v>
      </c>
      <c r="D2061" s="1081">
        <v>1.0044752228492961</v>
      </c>
      <c r="E2061" s="1081">
        <v>1.0191560961145349</v>
      </c>
      <c r="F2061" s="1081">
        <v>0.99923519429384344</v>
      </c>
      <c r="G2061" s="1081">
        <v>0.99484464094292946</v>
      </c>
      <c r="H2061" s="1081">
        <v>0.99976396841329507</v>
      </c>
      <c r="I2061" s="1081">
        <v>1.0002802704103606</v>
      </c>
      <c r="K2061">
        <v>2.4452403280964061</v>
      </c>
      <c r="L2061">
        <v>0</v>
      </c>
      <c r="M2061">
        <v>1.6363151628819757E-3</v>
      </c>
      <c r="N2061">
        <v>0.15778477928289245</v>
      </c>
      <c r="O2061">
        <v>2.1782567144385718E-2</v>
      </c>
      <c r="P2061">
        <v>2.9152330604605464E-2</v>
      </c>
      <c r="Q2061">
        <v>5.8102873866413413E-3</v>
      </c>
      <c r="R2061">
        <v>1.6147110870757253E-3</v>
      </c>
      <c r="S2061">
        <v>0.26816020792108419</v>
      </c>
      <c r="T2061">
        <v>1.3710043459343961</v>
      </c>
      <c r="U2061">
        <v>0.2201743122077946</v>
      </c>
      <c r="V2061">
        <v>0.24697786062771504</v>
      </c>
      <c r="W2061">
        <v>0.1024892002658765</v>
      </c>
      <c r="X2061">
        <v>1.7531329507168868E-2</v>
      </c>
      <c r="Y2061">
        <v>4.3947112896533256E-3</v>
      </c>
    </row>
    <row r="2062" spans="1:25" x14ac:dyDescent="0.2">
      <c r="A2062" s="1077"/>
      <c r="B2062" s="1444">
        <v>1812</v>
      </c>
      <c r="C2062" s="1081">
        <v>0.99343383209538005</v>
      </c>
      <c r="D2062" s="1081">
        <v>1.013693318045739</v>
      </c>
      <c r="E2062" s="1081">
        <v>1.0181225715712368</v>
      </c>
      <c r="F2062" s="1081">
        <v>0.98413400431153319</v>
      </c>
      <c r="G2062" s="1081">
        <v>0.96335288293640631</v>
      </c>
      <c r="H2062" s="1081">
        <v>0.95433506450784233</v>
      </c>
      <c r="I2062" s="1081">
        <v>0.95965852565845677</v>
      </c>
      <c r="K2062">
        <v>2.3638477128187918</v>
      </c>
      <c r="L2062">
        <v>0</v>
      </c>
      <c r="M2062">
        <v>1.5144025544390426E-3</v>
      </c>
      <c r="N2062">
        <v>0.1454817658424144</v>
      </c>
      <c r="O2062">
        <v>2.1073277702728599E-2</v>
      </c>
      <c r="P2062">
        <v>2.8321736200868714E-2</v>
      </c>
      <c r="Q2062">
        <v>5.6153144715940465E-3</v>
      </c>
      <c r="R2062">
        <v>1.4934562857196756E-3</v>
      </c>
      <c r="S2062">
        <v>0.24453373547512836</v>
      </c>
      <c r="T2062">
        <v>1.3502626228321595</v>
      </c>
      <c r="U2062">
        <v>0.2134368811296368</v>
      </c>
      <c r="V2062">
        <v>0.23962419822524997</v>
      </c>
      <c r="W2062">
        <v>9.4554988477263957E-2</v>
      </c>
      <c r="X2062">
        <v>1.6899443038465939E-2</v>
      </c>
      <c r="Y2062">
        <v>4.0646956919966832E-3</v>
      </c>
    </row>
    <row r="2063" spans="1:25" x14ac:dyDescent="0.2">
      <c r="A2063" s="1077"/>
      <c r="B2063" s="1444">
        <v>1813</v>
      </c>
      <c r="C2063" s="1081">
        <v>1.0254317495317442</v>
      </c>
      <c r="D2063" s="1081">
        <v>0.96502420790748322</v>
      </c>
      <c r="E2063" s="1081">
        <v>0.98970660229220742</v>
      </c>
      <c r="F2063" s="1081">
        <v>1.0050637470607822</v>
      </c>
      <c r="G2063" s="1081">
        <v>1.0170075749938714</v>
      </c>
      <c r="H2063" s="1081">
        <v>0.96815289064854571</v>
      </c>
      <c r="I2063" s="1081">
        <v>0.98357926801412232</v>
      </c>
      <c r="K2063">
        <v>2.3898849843627898</v>
      </c>
      <c r="L2063">
        <v>0</v>
      </c>
      <c r="M2063">
        <v>1.5959959166121803E-3</v>
      </c>
      <c r="N2063">
        <v>0.14073824238328433</v>
      </c>
      <c r="O2063">
        <v>2.0619344180301247E-2</v>
      </c>
      <c r="P2063">
        <v>2.819004776682462E-2</v>
      </c>
      <c r="Q2063">
        <v>5.3399681730367842E-3</v>
      </c>
      <c r="R2063">
        <v>1.5742361592779857E-3</v>
      </c>
      <c r="S2063">
        <v>0.24984770746229693</v>
      </c>
      <c r="T2063">
        <v>1.3783607084864689</v>
      </c>
      <c r="U2063">
        <v>0.20668194486787536</v>
      </c>
      <c r="V2063">
        <v>0.24692626908222454</v>
      </c>
      <c r="W2063">
        <v>9.3025138965500243E-2</v>
      </c>
      <c r="X2063">
        <v>1.5892820873566534E-2</v>
      </c>
      <c r="Y2063">
        <v>4.2845518787442425E-3</v>
      </c>
    </row>
    <row r="2064" spans="1:25" x14ac:dyDescent="0.2">
      <c r="A2064" s="1077"/>
      <c r="B2064" s="1444">
        <v>1814</v>
      </c>
      <c r="C2064" s="1081">
        <v>1.0414725170852102</v>
      </c>
      <c r="D2064" s="1081">
        <v>1.0090178780336465</v>
      </c>
      <c r="E2064" s="1081">
        <v>0.97866145902666457</v>
      </c>
      <c r="F2064" s="1081">
        <v>1.021690224159814</v>
      </c>
      <c r="G2064" s="1081">
        <v>1.0358297728733381</v>
      </c>
      <c r="H2064" s="1081">
        <v>1.0274914177448304</v>
      </c>
      <c r="I2064" s="1081">
        <v>1.0065690183709872</v>
      </c>
      <c r="K2064">
        <v>2.4182246273652415</v>
      </c>
      <c r="L2064">
        <v>0</v>
      </c>
      <c r="M2064">
        <v>1.6896279286631576E-3</v>
      </c>
      <c r="N2064">
        <v>0.14421446060184079</v>
      </c>
      <c r="O2064">
        <v>2.0096621633400747E-2</v>
      </c>
      <c r="P2064">
        <v>2.8260862228919256E-2</v>
      </c>
      <c r="Q2064">
        <v>5.1466269947096589E-3</v>
      </c>
      <c r="R2064">
        <v>1.6679219638371524E-3</v>
      </c>
      <c r="S2064">
        <v>0.25091960223544146</v>
      </c>
      <c r="T2064">
        <v>1.4009192522937481</v>
      </c>
      <c r="U2064">
        <v>0.20346246828333858</v>
      </c>
      <c r="V2064">
        <v>0.24924707367679219</v>
      </c>
      <c r="W2064">
        <v>9.595859639444701E-2</v>
      </c>
      <c r="X2064">
        <v>1.5481235232189397E-2</v>
      </c>
      <c r="Y2064">
        <v>4.5395337552371203E-3</v>
      </c>
    </row>
    <row r="2065" spans="1:25" x14ac:dyDescent="0.2">
      <c r="A2065" s="1077"/>
      <c r="B2065" s="1444">
        <v>1815</v>
      </c>
      <c r="C2065" s="1081">
        <v>0.99675355043756075</v>
      </c>
      <c r="D2065" s="1081">
        <v>1.0046613608542923</v>
      </c>
      <c r="E2065" s="1081">
        <v>1.0239183855576026</v>
      </c>
      <c r="F2065" s="1081">
        <v>1.0264194674767524</v>
      </c>
      <c r="G2065" s="1081">
        <v>0.98873099032155698</v>
      </c>
      <c r="H2065" s="1081">
        <v>1.0442474798919703</v>
      </c>
      <c r="I2065" s="1081">
        <v>0.99730076755074659</v>
      </c>
      <c r="K2065">
        <v>2.4689323139589554</v>
      </c>
      <c r="L2065">
        <v>0</v>
      </c>
      <c r="M2065">
        <v>1.6349788451174622E-3</v>
      </c>
      <c r="N2065">
        <v>0.16002817875907765</v>
      </c>
      <c r="O2065">
        <v>2.1048355285017462E-2</v>
      </c>
      <c r="P2065">
        <v>2.9541305621101792E-2</v>
      </c>
      <c r="Q2065">
        <v>5.6410650111229964E-3</v>
      </c>
      <c r="R2065">
        <v>1.6143119649991951E-3</v>
      </c>
      <c r="S2065">
        <v>0.2621213131760598</v>
      </c>
      <c r="T2065">
        <v>1.4084087970222066</v>
      </c>
      <c r="U2065">
        <v>0.21274596271799134</v>
      </c>
      <c r="V2065">
        <v>0.24372663116979634</v>
      </c>
      <c r="W2065">
        <v>0.1036575388287639</v>
      </c>
      <c r="X2065">
        <v>1.7640208237006801E-2</v>
      </c>
      <c r="Y2065">
        <v>4.3936250109315681E-3</v>
      </c>
    </row>
    <row r="2066" spans="1:25" x14ac:dyDescent="0.2">
      <c r="A2066" s="1077"/>
      <c r="B2066" s="1444">
        <v>1816</v>
      </c>
      <c r="C2066" s="1081">
        <v>0.99819981995583862</v>
      </c>
      <c r="D2066" s="1081">
        <v>1.0072793252905314</v>
      </c>
      <c r="E2066" s="1081">
        <v>1.0348808870699648</v>
      </c>
      <c r="F2066" s="1081">
        <v>1.0212291799704996</v>
      </c>
      <c r="G2066" s="1081">
        <v>1.0097928938688974</v>
      </c>
      <c r="H2066" s="1081">
        <v>1.0049385140653928</v>
      </c>
      <c r="I2066" s="1081">
        <v>0.98249869748327556</v>
      </c>
      <c r="K2066">
        <v>2.4489593117265178</v>
      </c>
      <c r="L2066">
        <v>0</v>
      </c>
      <c r="M2066">
        <v>1.5347935407812336E-3</v>
      </c>
      <c r="N2066">
        <v>0.15519210568489533</v>
      </c>
      <c r="O2066">
        <v>2.1013138139018658E-2</v>
      </c>
      <c r="P2066">
        <v>2.9616630308313345E-2</v>
      </c>
      <c r="Q2066">
        <v>5.6930178556901323E-3</v>
      </c>
      <c r="R2066">
        <v>1.5146341831035555E-3</v>
      </c>
      <c r="S2066">
        <v>0.25432407790817535</v>
      </c>
      <c r="T2066">
        <v>1.4015304250221854</v>
      </c>
      <c r="U2066">
        <v>0.212475426229986</v>
      </c>
      <c r="V2066">
        <v>0.24719170802889093</v>
      </c>
      <c r="W2066">
        <v>9.9887035772070767E-2</v>
      </c>
      <c r="X2066">
        <v>1.7933571187583552E-2</v>
      </c>
      <c r="Y2066">
        <v>4.1223349473836074E-3</v>
      </c>
    </row>
    <row r="2067" spans="1:25" x14ac:dyDescent="0.2">
      <c r="A2067" s="1077"/>
      <c r="B2067" s="1444">
        <v>1817</v>
      </c>
      <c r="C2067" s="1081">
        <v>1.0016422154571019</v>
      </c>
      <c r="D2067" s="1081">
        <v>0.9724066017127817</v>
      </c>
      <c r="E2067" s="1081">
        <v>0.97630328018612011</v>
      </c>
      <c r="F2067" s="1081">
        <v>1.0135620220873012</v>
      </c>
      <c r="G2067" s="1081">
        <v>1.0188862196858697</v>
      </c>
      <c r="H2067" s="1081">
        <v>1.0091083301693062</v>
      </c>
      <c r="I2067" s="1081">
        <v>0.98854048618453427</v>
      </c>
      <c r="K2067">
        <v>2.4312943963889038</v>
      </c>
      <c r="L2067">
        <v>0</v>
      </c>
      <c r="M2067">
        <v>1.7479698231338638E-3</v>
      </c>
      <c r="N2067">
        <v>0.14809807145468193</v>
      </c>
      <c r="O2067">
        <v>2.1064791617595141E-2</v>
      </c>
      <c r="P2067">
        <v>2.8275793510522309E-2</v>
      </c>
      <c r="Q2067">
        <v>5.3816370816968471E-3</v>
      </c>
      <c r="R2067">
        <v>1.7251052889573231E-3</v>
      </c>
      <c r="S2067">
        <v>0.25942755816352797</v>
      </c>
      <c r="T2067">
        <v>1.3897225853516997</v>
      </c>
      <c r="U2067">
        <v>0.21154513474268477</v>
      </c>
      <c r="V2067">
        <v>0.24874219851207904</v>
      </c>
      <c r="W2067">
        <v>9.8683403129235764E-2</v>
      </c>
      <c r="X2067">
        <v>1.5680919443619035E-2</v>
      </c>
      <c r="Y2067">
        <v>4.6951679157361658E-3</v>
      </c>
    </row>
    <row r="2068" spans="1:25" x14ac:dyDescent="0.2">
      <c r="A2068" s="1077"/>
      <c r="B2068" s="1444">
        <v>1818</v>
      </c>
      <c r="C2068" s="1081">
        <v>0.99026905138729293</v>
      </c>
      <c r="D2068" s="1081">
        <v>0.98394402501647837</v>
      </c>
      <c r="E2068" s="1081">
        <v>0.9682853088527561</v>
      </c>
      <c r="F2068" s="1081">
        <v>0.9958519926038284</v>
      </c>
      <c r="G2068" s="1081">
        <v>0.97476199436486122</v>
      </c>
      <c r="H2068" s="1081">
        <v>0.9851724494596743</v>
      </c>
      <c r="I2068" s="1081">
        <v>1.019463204641565</v>
      </c>
      <c r="K2068">
        <v>2.4040462509380593</v>
      </c>
      <c r="L2068">
        <v>0</v>
      </c>
      <c r="M2068">
        <v>1.7503798959266213E-3</v>
      </c>
      <c r="N2068">
        <v>0.14469919141872875</v>
      </c>
      <c r="O2068">
        <v>2.1246133529816066E-2</v>
      </c>
      <c r="P2068">
        <v>2.7817601500208032E-2</v>
      </c>
      <c r="Q2068">
        <v>5.3837223968150084E-3</v>
      </c>
      <c r="R2068">
        <v>1.7269275507950147E-3</v>
      </c>
      <c r="S2068">
        <v>0.26684588871151782</v>
      </c>
      <c r="T2068">
        <v>1.3652681800287669</v>
      </c>
      <c r="U2068">
        <v>0.2139471622291389</v>
      </c>
      <c r="V2068">
        <v>0.24194563504197128</v>
      </c>
      <c r="W2068">
        <v>9.6889413032661617E-2</v>
      </c>
      <c r="X2068">
        <v>1.5326647881816396E-2</v>
      </c>
      <c r="Y2068">
        <v>4.7001275117499082E-3</v>
      </c>
    </row>
    <row r="2069" spans="1:25" x14ac:dyDescent="0.2">
      <c r="A2069" s="1077"/>
      <c r="B2069" s="1444">
        <v>1819</v>
      </c>
      <c r="C2069" s="1081">
        <v>0.98494910667913305</v>
      </c>
      <c r="D2069" s="1081">
        <v>1.0317207869781631</v>
      </c>
      <c r="E2069" s="1081">
        <v>1.0411224131415482</v>
      </c>
      <c r="F2069" s="1081">
        <v>1.0086679799595695</v>
      </c>
      <c r="G2069" s="1081">
        <v>1.0128064082410071</v>
      </c>
      <c r="H2069" s="1081">
        <v>1.0128398205676625</v>
      </c>
      <c r="I2069" s="1081">
        <v>1.0278342472506385</v>
      </c>
      <c r="K2069">
        <v>2.4549252931084626</v>
      </c>
      <c r="L2069">
        <v>0</v>
      </c>
      <c r="M2069">
        <v>1.539249916975011E-3</v>
      </c>
      <c r="N2069">
        <v>0.15861366013107228</v>
      </c>
      <c r="O2069">
        <v>2.1188002857588015E-2</v>
      </c>
      <c r="P2069">
        <v>2.9749861508200703E-2</v>
      </c>
      <c r="Q2069">
        <v>5.7757706377277581E-3</v>
      </c>
      <c r="R2069">
        <v>1.519189747876587E-3</v>
      </c>
      <c r="S2069">
        <v>0.26718961214394071</v>
      </c>
      <c r="T2069">
        <v>1.3844286495595459</v>
      </c>
      <c r="U2069">
        <v>0.21535568356827289</v>
      </c>
      <c r="V2069">
        <v>0.24852545696703873</v>
      </c>
      <c r="W2069">
        <v>0.10172236578176934</v>
      </c>
      <c r="X2069">
        <v>1.8261556429447379E-2</v>
      </c>
      <c r="Y2069">
        <v>4.1347336929542754E-3</v>
      </c>
    </row>
    <row r="2070" spans="1:25" x14ac:dyDescent="0.2">
      <c r="A2070" s="1077"/>
      <c r="B2070" s="1444">
        <v>1820</v>
      </c>
      <c r="C2070" s="1081">
        <v>0.99423075122827864</v>
      </c>
      <c r="D2070" s="1081">
        <v>1.0085281016314602</v>
      </c>
      <c r="E2070" s="1081">
        <v>0.98758180767037473</v>
      </c>
      <c r="F2070" s="1081">
        <v>0.99945808532572866</v>
      </c>
      <c r="G2070" s="1081">
        <v>1.0204260077668492</v>
      </c>
      <c r="H2070" s="1081">
        <v>0.97374681926850248</v>
      </c>
      <c r="I2070" s="1081">
        <v>0.95815177405023211</v>
      </c>
      <c r="K2070">
        <v>2.3939026980819338</v>
      </c>
      <c r="L2070">
        <v>0</v>
      </c>
      <c r="M2070">
        <v>1.6468393622108544E-3</v>
      </c>
      <c r="N2070">
        <v>0.1443031481912895</v>
      </c>
      <c r="O2070">
        <v>2.1059706771318798E-2</v>
      </c>
      <c r="P2070">
        <v>2.8108918123738284E-2</v>
      </c>
      <c r="Q2070">
        <v>5.4423029996758781E-3</v>
      </c>
      <c r="R2070">
        <v>1.6245153934996369E-3</v>
      </c>
      <c r="S2070">
        <v>0.2459341414690045</v>
      </c>
      <c r="T2070">
        <v>1.370627188874471</v>
      </c>
      <c r="U2070">
        <v>0.21316075581724631</v>
      </c>
      <c r="V2070">
        <v>0.24942727489503372</v>
      </c>
      <c r="W2070">
        <v>9.550308685829012E-2</v>
      </c>
      <c r="X2070">
        <v>1.5937102670828467E-2</v>
      </c>
      <c r="Y2070">
        <v>4.4213953797504705E-3</v>
      </c>
    </row>
    <row r="2071" spans="1:25" x14ac:dyDescent="0.2">
      <c r="A2071" s="1077"/>
      <c r="B2071" s="1444">
        <v>1821</v>
      </c>
      <c r="C2071" s="1081">
        <v>1.0278149525558169</v>
      </c>
      <c r="D2071" s="1081">
        <v>0.98505759614366484</v>
      </c>
      <c r="E2071" s="1081">
        <v>1.0150054942305238</v>
      </c>
      <c r="F2071" s="1081">
        <v>1.0277759148979699</v>
      </c>
      <c r="G2071" s="1081">
        <v>0.9812770392259309</v>
      </c>
      <c r="H2071" s="1081">
        <v>1.0222733729192974</v>
      </c>
      <c r="I2071" s="1081">
        <v>0.98229409114044708</v>
      </c>
      <c r="K2071">
        <v>2.4339519574264559</v>
      </c>
      <c r="L2071">
        <v>0</v>
      </c>
      <c r="M2071">
        <v>1.5881246949554816E-3</v>
      </c>
      <c r="N2071">
        <v>0.15127651376430123</v>
      </c>
      <c r="O2071">
        <v>2.0495149822829552E-2</v>
      </c>
      <c r="P2071">
        <v>2.9085834759988369E-2</v>
      </c>
      <c r="Q2071">
        <v>5.4443337278567471E-3</v>
      </c>
      <c r="R2071">
        <v>1.5676185620192731E-3</v>
      </c>
      <c r="S2071">
        <v>0.25097650605054828</v>
      </c>
      <c r="T2071">
        <v>1.4100711723068358</v>
      </c>
      <c r="U2071">
        <v>0.20628687706357982</v>
      </c>
      <c r="V2071">
        <v>0.24059284230829631</v>
      </c>
      <c r="W2071">
        <v>9.8501203510243635E-2</v>
      </c>
      <c r="X2071">
        <v>1.6975489284412996E-2</v>
      </c>
      <c r="Y2071">
        <v>4.2665409604963761E-3</v>
      </c>
    </row>
    <row r="2072" spans="1:25" x14ac:dyDescent="0.2">
      <c r="A2072" s="1077"/>
      <c r="B2072" s="1444">
        <v>1822</v>
      </c>
      <c r="C2072" s="1081">
        <v>0.97568051661977595</v>
      </c>
      <c r="D2072" s="1081">
        <v>0.98026155581099805</v>
      </c>
      <c r="E2072" s="1081">
        <v>0.99166693863082722</v>
      </c>
      <c r="F2072" s="1081">
        <v>0.99202666431187003</v>
      </c>
      <c r="G2072" s="1081">
        <v>1.0045024942795304</v>
      </c>
      <c r="H2072" s="1081">
        <v>1.0297048182251349</v>
      </c>
      <c r="I2072" s="1081">
        <v>0.97150341590546896</v>
      </c>
      <c r="K2072">
        <v>2.4257749254538976</v>
      </c>
      <c r="L2072">
        <v>0</v>
      </c>
      <c r="M2072">
        <v>1.7706774371757394E-3</v>
      </c>
      <c r="N2072">
        <v>0.15719994940824872</v>
      </c>
      <c r="O2072">
        <v>2.1597527736934512E-2</v>
      </c>
      <c r="P2072">
        <v>2.8318200261359176E-2</v>
      </c>
      <c r="Q2072">
        <v>5.6043862877770585E-3</v>
      </c>
      <c r="R2072">
        <v>1.7479791583374742E-3</v>
      </c>
      <c r="S2072">
        <v>0.2625615657285435</v>
      </c>
      <c r="T2072">
        <v>1.3605234228260832</v>
      </c>
      <c r="U2072">
        <v>0.21722778686827954</v>
      </c>
      <c r="V2072">
        <v>0.2478851790956596</v>
      </c>
      <c r="W2072">
        <v>0.10378410989103649</v>
      </c>
      <c r="X2072">
        <v>1.6338072580992478E-2</v>
      </c>
      <c r="Y2072">
        <v>4.7574230478199218E-3</v>
      </c>
    </row>
    <row r="2073" spans="1:25" x14ac:dyDescent="0.2">
      <c r="A2073" s="1077"/>
      <c r="B2073" s="1444">
        <v>1823</v>
      </c>
      <c r="C2073" s="1081">
        <v>0.99799971435504997</v>
      </c>
      <c r="D2073" s="1081">
        <v>0.96224259660966893</v>
      </c>
      <c r="E2073" s="1081">
        <v>1.0048429650147057</v>
      </c>
      <c r="F2073" s="1081">
        <v>1.0018494315515982</v>
      </c>
      <c r="G2073" s="1081">
        <v>0.98308841109638478</v>
      </c>
      <c r="H2073" s="1081">
        <v>1.0177409907311317</v>
      </c>
      <c r="I2073" s="1081">
        <v>0.98526037585452175</v>
      </c>
      <c r="K2073">
        <v>2.4234934884329071</v>
      </c>
      <c r="L2073">
        <v>0</v>
      </c>
      <c r="M2073">
        <v>1.6716574926079425E-3</v>
      </c>
      <c r="N2073">
        <v>0.15441318937145188</v>
      </c>
      <c r="O2073">
        <v>2.1209713977579796E-2</v>
      </c>
      <c r="P2073">
        <v>2.8640629003689261E-2</v>
      </c>
      <c r="Q2073">
        <v>5.5772013524288217E-3</v>
      </c>
      <c r="R2073">
        <v>1.6499766452899277E-3</v>
      </c>
      <c r="S2073">
        <v>0.26185549221780302</v>
      </c>
      <c r="T2073">
        <v>1.3742803409640576</v>
      </c>
      <c r="U2073">
        <v>0.21241483593216937</v>
      </c>
      <c r="V2073">
        <v>0.24275125354869384</v>
      </c>
      <c r="W2073">
        <v>0.10114796282770516</v>
      </c>
      <c r="X2073">
        <v>1.673385757082026E-2</v>
      </c>
      <c r="Y2073">
        <v>4.4906925138242437E-3</v>
      </c>
    </row>
    <row r="2074" spans="1:25" x14ac:dyDescent="0.2">
      <c r="A2074" s="1077"/>
      <c r="B2074" s="1444">
        <v>1824</v>
      </c>
      <c r="C2074" s="1081">
        <v>0.98657228793832819</v>
      </c>
      <c r="D2074" s="1081">
        <v>1.041732662876979</v>
      </c>
      <c r="E2074" s="1081">
        <v>1.0012762966821753</v>
      </c>
      <c r="F2074" s="1081">
        <v>1.0046958467758571</v>
      </c>
      <c r="G2074" s="1081">
        <v>1.0029660347143794</v>
      </c>
      <c r="H2074" s="1081">
        <v>0.98421150771717791</v>
      </c>
      <c r="I2074" s="1081">
        <v>0.98394031641753932</v>
      </c>
      <c r="K2074">
        <v>2.4122243480807239</v>
      </c>
      <c r="L2074">
        <v>0</v>
      </c>
      <c r="M2074">
        <v>1.6189401431409847E-3</v>
      </c>
      <c r="N2074">
        <v>0.14787496925226704</v>
      </c>
      <c r="O2074">
        <v>2.1081598403187986E-2</v>
      </c>
      <c r="P2074">
        <v>2.8564264220075963E-2</v>
      </c>
      <c r="Q2074">
        <v>5.5237075128295567E-3</v>
      </c>
      <c r="R2074">
        <v>1.5972277061222096E-3</v>
      </c>
      <c r="S2074">
        <v>0.25141267869808842</v>
      </c>
      <c r="T2074">
        <v>1.378107341526001</v>
      </c>
      <c r="U2074">
        <v>0.21486286473943358</v>
      </c>
      <c r="V2074">
        <v>0.24688226796100229</v>
      </c>
      <c r="W2074">
        <v>9.7070177928659407E-2</v>
      </c>
      <c r="X2074">
        <v>1.6519062986105504E-2</v>
      </c>
      <c r="Y2074">
        <v>4.3471272900928379E-3</v>
      </c>
    </row>
    <row r="2075" spans="1:25" x14ac:dyDescent="0.2">
      <c r="A2075" s="1077"/>
      <c r="B2075" s="1444">
        <v>1825</v>
      </c>
      <c r="C2075" s="1081">
        <v>0.99590862296398996</v>
      </c>
      <c r="D2075" s="1081">
        <v>0.97566793780722594</v>
      </c>
      <c r="E2075" s="1081">
        <v>0.9787118407524964</v>
      </c>
      <c r="F2075" s="1081">
        <v>1.0096577142049445</v>
      </c>
      <c r="G2075" s="1081">
        <v>1.0120650924125791</v>
      </c>
      <c r="H2075" s="1081">
        <v>0.99053958261775921</v>
      </c>
      <c r="I2075" s="1081">
        <v>0.98601084565125874</v>
      </c>
      <c r="K2075">
        <v>2.4223889395733615</v>
      </c>
      <c r="L2075">
        <v>0</v>
      </c>
      <c r="M2075">
        <v>1.7158491353596135E-3</v>
      </c>
      <c r="N2075">
        <v>0.14640373259393416</v>
      </c>
      <c r="O2075">
        <v>2.1172072354517995E-2</v>
      </c>
      <c r="P2075">
        <v>2.8246337802908011E-2</v>
      </c>
      <c r="Q2075">
        <v>5.4223214816352863E-3</v>
      </c>
      <c r="R2075">
        <v>1.6929840154273996E-3</v>
      </c>
      <c r="S2075">
        <v>0.25826364094770204</v>
      </c>
      <c r="T2075">
        <v>1.3844216336019095</v>
      </c>
      <c r="U2075">
        <v>0.21277126808122304</v>
      </c>
      <c r="V2075">
        <v>0.24792608700150273</v>
      </c>
      <c r="W2075">
        <v>9.7412345506760589E-2</v>
      </c>
      <c r="X2075">
        <v>1.5764620923235072E-2</v>
      </c>
      <c r="Y2075">
        <v>4.6077443979626867E-3</v>
      </c>
    </row>
    <row r="2076" spans="1:25" x14ac:dyDescent="0.2">
      <c r="A2076" s="1077"/>
      <c r="B2076" s="1444">
        <v>1826</v>
      </c>
      <c r="C2076" s="1081">
        <v>1.0280211269627062</v>
      </c>
      <c r="D2076" s="1081">
        <v>0.98568184439205075</v>
      </c>
      <c r="E2076" s="1081">
        <v>1.0090700393163914</v>
      </c>
      <c r="F2076" s="1081">
        <v>1.027738756894373</v>
      </c>
      <c r="G2076" s="1081">
        <v>0.99913151718538673</v>
      </c>
      <c r="H2076" s="1081">
        <v>0.98878496065726329</v>
      </c>
      <c r="I2076" s="1081">
        <v>0.99389645086916689</v>
      </c>
      <c r="K2076">
        <v>2.4269176817019664</v>
      </c>
      <c r="L2076">
        <v>0</v>
      </c>
      <c r="M2076">
        <v>1.5546358868698137E-3</v>
      </c>
      <c r="N2076">
        <v>0.14539254332926366</v>
      </c>
      <c r="O2076">
        <v>2.0484332533098247E-2</v>
      </c>
      <c r="P2076">
        <v>2.899773469849326E-2</v>
      </c>
      <c r="Q2076">
        <v>5.4093059858259821E-3</v>
      </c>
      <c r="R2076">
        <v>1.5338823053707915E-3</v>
      </c>
      <c r="S2076">
        <v>0.25099807850615191</v>
      </c>
      <c r="T2076">
        <v>1.4098879429264872</v>
      </c>
      <c r="U2076">
        <v>0.20622573287530097</v>
      </c>
      <c r="V2076">
        <v>0.2436495584339945</v>
      </c>
      <c r="W2076">
        <v>9.5001345394424813E-2</v>
      </c>
      <c r="X2076">
        <v>1.6717138609370172E-2</v>
      </c>
      <c r="Y2076">
        <v>4.174721991053224E-3</v>
      </c>
    </row>
    <row r="2077" spans="1:25" x14ac:dyDescent="0.2">
      <c r="A2077" s="1077"/>
      <c r="B2077" s="1444">
        <v>1827</v>
      </c>
      <c r="C2077" s="1081">
        <v>0.97885198384975969</v>
      </c>
      <c r="D2077" s="1081">
        <v>0.96445524799827131</v>
      </c>
      <c r="E2077" s="1081">
        <v>0.98246483543193575</v>
      </c>
      <c r="F2077" s="1081">
        <v>0.96836125094975312</v>
      </c>
      <c r="G2077" s="1081">
        <v>1.0056396664654554</v>
      </c>
      <c r="H2077" s="1081">
        <v>0.97242150694459339</v>
      </c>
      <c r="I2077" s="1081">
        <v>1.0017083748041899</v>
      </c>
      <c r="K2077">
        <v>2.3792180163301699</v>
      </c>
      <c r="L2077">
        <v>0</v>
      </c>
      <c r="M2077">
        <v>1.7048966924351739E-3</v>
      </c>
      <c r="N2077">
        <v>0.14709338517732448</v>
      </c>
      <c r="O2077">
        <v>2.1598403172782468E-2</v>
      </c>
      <c r="P2077">
        <v>2.7732230482614775E-2</v>
      </c>
      <c r="Q2077">
        <v>5.5526414042071232E-3</v>
      </c>
      <c r="R2077">
        <v>1.6817542212800888E-3</v>
      </c>
      <c r="S2077">
        <v>0.26695459751597966</v>
      </c>
      <c r="T2077">
        <v>1.327875071360431</v>
      </c>
      <c r="U2077">
        <v>0.21649190349204125</v>
      </c>
      <c r="V2077">
        <v>0.24790572228837676</v>
      </c>
      <c r="W2077">
        <v>9.7649781927006005E-2</v>
      </c>
      <c r="X2077">
        <v>1.5810241380365849E-2</v>
      </c>
      <c r="Y2077">
        <v>4.5771806001943527E-3</v>
      </c>
    </row>
    <row r="2078" spans="1:25" x14ac:dyDescent="0.2">
      <c r="A2078" s="1077"/>
      <c r="B2078" s="1444">
        <v>1828</v>
      </c>
      <c r="C2078" s="1081">
        <v>1.0105726870371448</v>
      </c>
      <c r="D2078" s="1081">
        <v>1.0000405717485257</v>
      </c>
      <c r="E2078" s="1081">
        <v>0.97262351864693841</v>
      </c>
      <c r="F2078" s="1081">
        <v>0.99570593192742163</v>
      </c>
      <c r="G2078" s="1081">
        <v>1.0485995654037941</v>
      </c>
      <c r="H2078" s="1081">
        <v>1.0151148847128126</v>
      </c>
      <c r="I2078" s="1081">
        <v>0.9997010823057273</v>
      </c>
      <c r="K2078">
        <v>2.4028181289034309</v>
      </c>
      <c r="L2078">
        <v>0</v>
      </c>
      <c r="M2078">
        <v>1.7453424690708269E-3</v>
      </c>
      <c r="N2078">
        <v>0.14624900139557537</v>
      </c>
      <c r="O2078">
        <v>2.0747917864474417E-2</v>
      </c>
      <c r="P2078">
        <v>2.7869727056741993E-2</v>
      </c>
      <c r="Q2078">
        <v>5.2808330587240616E-3</v>
      </c>
      <c r="R2078">
        <v>1.7226473911124507E-3</v>
      </c>
      <c r="S2078">
        <v>0.25688271022905029</v>
      </c>
      <c r="T2078">
        <v>1.3651607870092315</v>
      </c>
      <c r="U2078">
        <v>0.2096633066094935</v>
      </c>
      <c r="V2078">
        <v>0.25328396474456621</v>
      </c>
      <c r="W2078">
        <v>9.7669022480959808E-2</v>
      </c>
      <c r="X2078">
        <v>1.534507520452193E-2</v>
      </c>
      <c r="Y2078">
        <v>4.6884783280482295E-3</v>
      </c>
    </row>
    <row r="2079" spans="1:25" x14ac:dyDescent="0.2">
      <c r="A2079" s="1077"/>
      <c r="B2079" s="1444">
        <v>1829</v>
      </c>
      <c r="C2079" s="1081">
        <v>0.99635039192704244</v>
      </c>
      <c r="D2079" s="1081">
        <v>1.0262504873061458</v>
      </c>
      <c r="E2079" s="1081">
        <v>1.0164175274986142</v>
      </c>
      <c r="F2079" s="1081">
        <v>1.0120918365170868</v>
      </c>
      <c r="G2079" s="1081">
        <v>0.96900222538901537</v>
      </c>
      <c r="H2079" s="1081">
        <v>0.97054401390350442</v>
      </c>
      <c r="I2079" s="1081">
        <v>0.98995828965379618</v>
      </c>
      <c r="K2079">
        <v>2.4122014128277978</v>
      </c>
      <c r="L2079">
        <v>0</v>
      </c>
      <c r="M2079">
        <v>1.5369025130983617E-3</v>
      </c>
      <c r="N2079">
        <v>0.1469199991948161</v>
      </c>
      <c r="O2079">
        <v>2.0953625546908654E-2</v>
      </c>
      <c r="P2079">
        <v>2.8911453506904047E-2</v>
      </c>
      <c r="Q2079">
        <v>5.5739607821095188E-3</v>
      </c>
      <c r="R2079">
        <v>1.5160000577756783E-3</v>
      </c>
      <c r="S2079">
        <v>0.25131419376314246</v>
      </c>
      <c r="T2079">
        <v>1.3885841924065792</v>
      </c>
      <c r="U2079">
        <v>0.21280623441784002</v>
      </c>
      <c r="V2079">
        <v>0.24041029675607667</v>
      </c>
      <c r="W2079">
        <v>9.5585266950825476E-2</v>
      </c>
      <c r="X2079">
        <v>1.7037039549934817E-2</v>
      </c>
      <c r="Y2079">
        <v>4.1260524079806621E-3</v>
      </c>
    </row>
    <row r="2080" spans="1:25" x14ac:dyDescent="0.2">
      <c r="A2080" s="1077"/>
      <c r="B2080" s="1444">
        <v>1830</v>
      </c>
      <c r="C2080" s="1081">
        <v>1.0204360130254497</v>
      </c>
      <c r="D2080" s="1081">
        <v>0.9832553849060206</v>
      </c>
      <c r="E2080" s="1081">
        <v>1.0050373153460537</v>
      </c>
      <c r="F2080" s="1081">
        <v>1.0019559569407317</v>
      </c>
      <c r="G2080" s="1081">
        <v>1.0156056009243049</v>
      </c>
      <c r="H2080" s="1081">
        <v>1.004223162864377</v>
      </c>
      <c r="I2080" s="1081">
        <v>1.0317905091715536</v>
      </c>
      <c r="K2080">
        <v>2.4142670118385205</v>
      </c>
      <c r="L2080">
        <v>0</v>
      </c>
      <c r="M2080">
        <v>1.6048916015231232E-3</v>
      </c>
      <c r="N2080">
        <v>0.14830673991237753</v>
      </c>
      <c r="O2080">
        <v>2.064515446139091E-2</v>
      </c>
      <c r="P2080">
        <v>2.8671194838921388E-2</v>
      </c>
      <c r="Q2080">
        <v>5.4298053304339495E-3</v>
      </c>
      <c r="R2080">
        <v>1.5837964966681744E-3</v>
      </c>
      <c r="S2080">
        <v>0.26413035424998815</v>
      </c>
      <c r="T2080">
        <v>1.3744306823153225</v>
      </c>
      <c r="U2080">
        <v>0.20774512828338995</v>
      </c>
      <c r="V2080">
        <v>0.24692807858778446</v>
      </c>
      <c r="W2080">
        <v>9.7136771431579699E-2</v>
      </c>
      <c r="X2080">
        <v>1.6553625566632275E-2</v>
      </c>
      <c r="Y2080">
        <v>4.3105719655559616E-3</v>
      </c>
    </row>
    <row r="2081" spans="1:25" x14ac:dyDescent="0.2">
      <c r="A2081" s="1077"/>
      <c r="B2081" s="1444">
        <v>1831</v>
      </c>
      <c r="C2081" s="1081">
        <v>1.0001497329966129</v>
      </c>
      <c r="D2081" s="1081">
        <v>1.0387008396490762</v>
      </c>
      <c r="E2081" s="1081">
        <v>1.0391966509479384</v>
      </c>
      <c r="F2081" s="1081">
        <v>0.99762660477014786</v>
      </c>
      <c r="G2081" s="1081">
        <v>1.0317127479831132</v>
      </c>
      <c r="H2081" s="1081">
        <v>0.99075577861559039</v>
      </c>
      <c r="I2081" s="1081">
        <v>0.99022372938126491</v>
      </c>
      <c r="K2081">
        <v>2.4104745193666317</v>
      </c>
      <c r="L2081">
        <v>0</v>
      </c>
      <c r="M2081">
        <v>1.4865684283085941E-3</v>
      </c>
      <c r="N2081">
        <v>0.15225415472328094</v>
      </c>
      <c r="O2081">
        <v>2.0833775962505338E-2</v>
      </c>
      <c r="P2081">
        <v>2.9250753654905613E-2</v>
      </c>
      <c r="Q2081">
        <v>5.6684667625306875E-3</v>
      </c>
      <c r="R2081">
        <v>1.466762987661131E-3</v>
      </c>
      <c r="S2081">
        <v>0.2507931918446234</v>
      </c>
      <c r="T2081">
        <v>1.369232140872215</v>
      </c>
      <c r="U2081">
        <v>0.21207601133789283</v>
      </c>
      <c r="V2081">
        <v>0.25079393047290455</v>
      </c>
      <c r="W2081">
        <v>9.775222393552517E-2</v>
      </c>
      <c r="X2081">
        <v>1.7847629906768019E-2</v>
      </c>
      <c r="Y2081">
        <v>3.9920453341246642E-3</v>
      </c>
    </row>
    <row r="2082" spans="1:25" x14ac:dyDescent="0.2">
      <c r="A2082" s="1077"/>
      <c r="B2082" s="1444">
        <v>1832</v>
      </c>
      <c r="C2082" s="1081">
        <v>1.0411479919289799</v>
      </c>
      <c r="D2082" s="1081">
        <v>0.99832492678755858</v>
      </c>
      <c r="E2082" s="1081">
        <v>1.0412126535100847</v>
      </c>
      <c r="F2082" s="1081">
        <v>1.0364039227761481</v>
      </c>
      <c r="G2082" s="1081">
        <v>0.99865963278689884</v>
      </c>
      <c r="H2082" s="1081">
        <v>0.98014164362532064</v>
      </c>
      <c r="I2082" s="1081">
        <v>1.0067293458287201</v>
      </c>
      <c r="K2082">
        <v>2.4349711676690542</v>
      </c>
      <c r="L2082">
        <v>0</v>
      </c>
      <c r="M2082">
        <v>1.4191248218564005E-3</v>
      </c>
      <c r="N2082">
        <v>0.14621055907193747</v>
      </c>
      <c r="O2082">
        <v>2.0190006162313603E-2</v>
      </c>
      <c r="P2082">
        <v>2.9785420934279848E-2</v>
      </c>
      <c r="Q2082">
        <v>5.5042085252975824E-3</v>
      </c>
      <c r="R2082">
        <v>1.4000131811089422E-3</v>
      </c>
      <c r="S2082">
        <v>0.24897191896566595</v>
      </c>
      <c r="T2082">
        <v>1.4224991455656792</v>
      </c>
      <c r="U2082">
        <v>0.20373155415231256</v>
      </c>
      <c r="V2082">
        <v>0.2426904093390406</v>
      </c>
      <c r="W2082">
        <v>9.3763120348616127E-2</v>
      </c>
      <c r="X2082">
        <v>1.7833561879898624E-2</v>
      </c>
      <c r="Y2082">
        <v>3.8103743647574231E-3</v>
      </c>
    </row>
    <row r="2083" spans="1:25" x14ac:dyDescent="0.2">
      <c r="A2083" s="1077"/>
      <c r="B2083" s="1444">
        <v>1833</v>
      </c>
      <c r="C2083" s="1081">
        <v>0.95252607468631922</v>
      </c>
      <c r="D2083" s="1081">
        <v>0.96021104263128121</v>
      </c>
      <c r="E2083" s="1081">
        <v>0.9770079790551911</v>
      </c>
      <c r="F2083" s="1081">
        <v>0.99609432601044068</v>
      </c>
      <c r="G2083" s="1081">
        <v>0.99549455434961331</v>
      </c>
      <c r="H2083" s="1081">
        <v>1.0067568461689926</v>
      </c>
      <c r="I2083" s="1081">
        <v>0.98329342718679491</v>
      </c>
      <c r="K2083">
        <v>2.4459412500194775</v>
      </c>
      <c r="L2083">
        <v>0</v>
      </c>
      <c r="M2083">
        <v>1.8362416852022254E-3</v>
      </c>
      <c r="N2083">
        <v>0.15590429918667736</v>
      </c>
      <c r="O2083">
        <v>2.2213061982719558E-2</v>
      </c>
      <c r="P2083">
        <v>2.8286280744687076E-2</v>
      </c>
      <c r="Q2083">
        <v>5.6790711973423438E-3</v>
      </c>
      <c r="R2083">
        <v>1.8121663984220389E-3</v>
      </c>
      <c r="S2083">
        <v>0.27288730077792184</v>
      </c>
      <c r="T2083">
        <v>1.3657872584680464</v>
      </c>
      <c r="U2083">
        <v>0.22245578658070111</v>
      </c>
      <c r="V2083">
        <v>0.24795314338442428</v>
      </c>
      <c r="W2083">
        <v>0.10384067850314278</v>
      </c>
      <c r="X2083">
        <v>1.6026324924581555E-2</v>
      </c>
      <c r="Y2083">
        <v>4.9321195560121005E-3</v>
      </c>
    </row>
    <row r="2084" spans="1:25" x14ac:dyDescent="0.2">
      <c r="A2084" s="1077"/>
      <c r="B2084" s="1444">
        <v>1834</v>
      </c>
      <c r="C2084" s="1081">
        <v>1.006587835829247</v>
      </c>
      <c r="D2084" s="1081">
        <v>1.011497031972302</v>
      </c>
      <c r="E2084" s="1081">
        <v>0.98929345979841421</v>
      </c>
      <c r="F2084" s="1081">
        <v>1.0108888045316948</v>
      </c>
      <c r="G2084" s="1081">
        <v>0.95668426083867641</v>
      </c>
      <c r="H2084" s="1081">
        <v>1.0011482994830594</v>
      </c>
      <c r="I2084" s="1081">
        <v>0.98669150617261814</v>
      </c>
      <c r="K2084">
        <v>2.4053301983781838</v>
      </c>
      <c r="L2084">
        <v>0</v>
      </c>
      <c r="M2084">
        <v>1.6654020288202241E-3</v>
      </c>
      <c r="N2084">
        <v>0.14674210149417719</v>
      </c>
      <c r="O2084">
        <v>2.0788849453237397E-2</v>
      </c>
      <c r="P2084">
        <v>2.8247807287520767E-2</v>
      </c>
      <c r="Q2084">
        <v>5.3816180013775234E-3</v>
      </c>
      <c r="R2084">
        <v>1.6434443264647415E-3</v>
      </c>
      <c r="S2084">
        <v>0.25207351850207288</v>
      </c>
      <c r="T2084">
        <v>1.3863402731716425</v>
      </c>
      <c r="U2084">
        <v>0.21054975126411166</v>
      </c>
      <c r="V2084">
        <v>0.23776210868633016</v>
      </c>
      <c r="W2084">
        <v>9.7017586850757009E-2</v>
      </c>
      <c r="X2084">
        <v>1.5975627673948702E-2</v>
      </c>
      <c r="Y2084">
        <v>4.472913695360411E-3</v>
      </c>
    </row>
    <row r="2085" spans="1:25" x14ac:dyDescent="0.2">
      <c r="A2085" s="1077"/>
      <c r="B2085" s="1444">
        <v>1835</v>
      </c>
      <c r="C2085" s="1081">
        <v>0.97082930371202414</v>
      </c>
      <c r="D2085" s="1081">
        <v>1.0367060194709927</v>
      </c>
      <c r="E2085" s="1081">
        <v>0.97479773167134109</v>
      </c>
      <c r="F2085" s="1081">
        <v>1.0239158864656117</v>
      </c>
      <c r="G2085" s="1081">
        <v>0.97840441957017865</v>
      </c>
      <c r="H2085" s="1081">
        <v>1.0194347473852903</v>
      </c>
      <c r="I2085" s="1081">
        <v>1.0151506188107937</v>
      </c>
      <c r="K2085">
        <v>2.4625516454332979</v>
      </c>
      <c r="L2085">
        <v>0</v>
      </c>
      <c r="M2085">
        <v>1.8020161444577305E-3</v>
      </c>
      <c r="N2085">
        <v>0.15200345983978156</v>
      </c>
      <c r="O2085">
        <v>2.1428343490881574E-2</v>
      </c>
      <c r="P2085">
        <v>2.8559714939672368E-2</v>
      </c>
      <c r="Q2085">
        <v>5.4661257389019627E-3</v>
      </c>
      <c r="R2085">
        <v>1.7786834194002115E-3</v>
      </c>
      <c r="S2085">
        <v>0.26711344902692652</v>
      </c>
      <c r="T2085">
        <v>1.4038858795056242</v>
      </c>
      <c r="U2085">
        <v>0.21825403357850393</v>
      </c>
      <c r="V2085">
        <v>0.24380607091261824</v>
      </c>
      <c r="W2085">
        <v>0.10137815760250796</v>
      </c>
      <c r="X2085">
        <v>1.5838753598159078E-2</v>
      </c>
      <c r="Y2085">
        <v>4.8409899247757529E-3</v>
      </c>
    </row>
    <row r="2086" spans="1:25" x14ac:dyDescent="0.2">
      <c r="A2086" s="1077"/>
      <c r="B2086" s="1444">
        <v>1836</v>
      </c>
      <c r="C2086" s="1081">
        <v>1.0122434752098346</v>
      </c>
      <c r="D2086" s="1081">
        <v>1.0029911713289072</v>
      </c>
      <c r="E2086" s="1081">
        <v>0.99883712793583845</v>
      </c>
      <c r="F2086" s="1081">
        <v>0.99635459165314522</v>
      </c>
      <c r="G2086" s="1081">
        <v>0.99983383280182203</v>
      </c>
      <c r="H2086" s="1081">
        <v>0.97444061343950616</v>
      </c>
      <c r="I2086" s="1081">
        <v>1.0050055169323928</v>
      </c>
      <c r="K2086">
        <v>2.387768658740578</v>
      </c>
      <c r="L2086">
        <v>0</v>
      </c>
      <c r="M2086">
        <v>1.5832884444913437E-3</v>
      </c>
      <c r="N2086">
        <v>0.14353714464808706</v>
      </c>
      <c r="O2086">
        <v>2.0717386974264895E-2</v>
      </c>
      <c r="P2086">
        <v>2.8290517293732904E-2</v>
      </c>
      <c r="Q2086">
        <v>5.4149860943862203E-3</v>
      </c>
      <c r="R2086">
        <v>1.561841230549739E-3</v>
      </c>
      <c r="S2086">
        <v>0.25422083288033942</v>
      </c>
      <c r="T2086">
        <v>1.36661336044151</v>
      </c>
      <c r="U2086">
        <v>0.20940555857097423</v>
      </c>
      <c r="V2086">
        <v>0.2447522462806892</v>
      </c>
      <c r="W2086">
        <v>9.4359370140503135E-2</v>
      </c>
      <c r="X2086">
        <v>1.6227885661298354E-2</v>
      </c>
      <c r="Y2086">
        <v>4.2508169687331112E-3</v>
      </c>
    </row>
    <row r="2087" spans="1:25" x14ac:dyDescent="0.2">
      <c r="A2087" s="1077"/>
      <c r="B2087" s="1444">
        <v>1837</v>
      </c>
      <c r="C2087" s="1081">
        <v>0.97829236546057763</v>
      </c>
      <c r="D2087" s="1081">
        <v>0.99998176182079668</v>
      </c>
      <c r="E2087" s="1081">
        <v>0.98692771384845157</v>
      </c>
      <c r="F2087" s="1081">
        <v>0.98277659998161671</v>
      </c>
      <c r="G2087" s="1081">
        <v>1.0078913280038995</v>
      </c>
      <c r="H2087" s="1081">
        <v>0.96442187658237244</v>
      </c>
      <c r="I2087" s="1081">
        <v>0.96962872198045502</v>
      </c>
      <c r="K2087">
        <v>2.3828875800562876</v>
      </c>
      <c r="L2087">
        <v>0</v>
      </c>
      <c r="M2087">
        <v>1.662998825282178E-3</v>
      </c>
      <c r="N2087">
        <v>0.14541183744086783</v>
      </c>
      <c r="O2087">
        <v>2.1442478407253593E-2</v>
      </c>
      <c r="P2087">
        <v>2.7916144555710853E-2</v>
      </c>
      <c r="Q2087">
        <v>5.5375519494774827E-3</v>
      </c>
      <c r="R2087">
        <v>1.640237837395636E-3</v>
      </c>
      <c r="S2087">
        <v>0.25322804953813488</v>
      </c>
      <c r="T2087">
        <v>1.3477368273671027</v>
      </c>
      <c r="U2087">
        <v>0.21663130017465057</v>
      </c>
      <c r="V2087">
        <v>0.24831056666432066</v>
      </c>
      <c r="W2087">
        <v>9.6274641538595565E-2</v>
      </c>
      <c r="X2087">
        <v>1.5956756718926057E-2</v>
      </c>
      <c r="Y2087">
        <v>4.4641866891331414E-3</v>
      </c>
    </row>
    <row r="2088" spans="1:25" x14ac:dyDescent="0.2">
      <c r="A2088" s="1077"/>
      <c r="B2088" s="1444">
        <v>1838</v>
      </c>
      <c r="C2088" s="1081">
        <v>0.99664591254799595</v>
      </c>
      <c r="D2088" s="1081">
        <v>0.99635828060656506</v>
      </c>
      <c r="E2088" s="1081">
        <v>0.95332532348837529</v>
      </c>
      <c r="F2088" s="1081">
        <v>0.98401402247152925</v>
      </c>
      <c r="G2088" s="1081">
        <v>1.0111208222961485</v>
      </c>
      <c r="H2088" s="1081">
        <v>1.02390018808531</v>
      </c>
      <c r="I2088" s="1081">
        <v>0.9951261684144227</v>
      </c>
      <c r="K2088">
        <v>2.3888108467140579</v>
      </c>
      <c r="L2088">
        <v>0</v>
      </c>
      <c r="M2088">
        <v>1.8590233515109228E-3</v>
      </c>
      <c r="N2088">
        <v>0.14694541060707761</v>
      </c>
      <c r="O2088">
        <v>2.1042139436564539E-2</v>
      </c>
      <c r="P2088">
        <v>2.7253067231016934E-2</v>
      </c>
      <c r="Q2088">
        <v>5.250709048405044E-3</v>
      </c>
      <c r="R2088">
        <v>1.8350574681858349E-3</v>
      </c>
      <c r="S2088">
        <v>0.26034662828542415</v>
      </c>
      <c r="T2088">
        <v>1.3487231027682105</v>
      </c>
      <c r="U2088">
        <v>0.21252728193057768</v>
      </c>
      <c r="V2088">
        <v>0.24781388546047151</v>
      </c>
      <c r="W2088">
        <v>9.9300079884335382E-2</v>
      </c>
      <c r="X2088">
        <v>1.4638086443428134E-2</v>
      </c>
      <c r="Y2088">
        <v>4.994421501870034E-3</v>
      </c>
    </row>
    <row r="2089" spans="1:25" x14ac:dyDescent="0.2">
      <c r="A2089" s="1077"/>
      <c r="B2089" s="1444">
        <v>1839</v>
      </c>
      <c r="C2089" s="1081">
        <v>1.0279356347394895</v>
      </c>
      <c r="D2089" s="1081">
        <v>0.98785069339930964</v>
      </c>
      <c r="E2089" s="1081">
        <v>0.99618062345026148</v>
      </c>
      <c r="F2089" s="1081">
        <v>1.0218143900898657</v>
      </c>
      <c r="G2089" s="1081">
        <v>1.0427169045868694</v>
      </c>
      <c r="H2089" s="1081">
        <v>1.0049774987516231</v>
      </c>
      <c r="I2089" s="1081">
        <v>0.97416365456916731</v>
      </c>
      <c r="K2089">
        <v>2.4228711160278307</v>
      </c>
      <c r="L2089">
        <v>0</v>
      </c>
      <c r="M2089">
        <v>1.6222790347088947E-3</v>
      </c>
      <c r="N2089">
        <v>0.14595694357664324</v>
      </c>
      <c r="O2089">
        <v>2.0467784876152632E-2</v>
      </c>
      <c r="P2089">
        <v>2.8653476462302103E-2</v>
      </c>
      <c r="Q2089">
        <v>5.3354607577525371E-3</v>
      </c>
      <c r="R2089">
        <v>1.6009713905207913E-3</v>
      </c>
      <c r="S2089">
        <v>0.24697160148602376</v>
      </c>
      <c r="T2089">
        <v>1.4014756830220783</v>
      </c>
      <c r="U2089">
        <v>0.20620000530718136</v>
      </c>
      <c r="V2089">
        <v>0.25114488854796685</v>
      </c>
      <c r="W2089">
        <v>9.6102025368878963E-2</v>
      </c>
      <c r="X2089">
        <v>1.6227237902119492E-2</v>
      </c>
      <c r="Y2089">
        <v>4.3573163649205477E-3</v>
      </c>
    </row>
    <row r="2090" spans="1:25" x14ac:dyDescent="0.2">
      <c r="A2090" s="1077"/>
      <c r="B2090" s="1444">
        <v>1840</v>
      </c>
      <c r="C2090" s="1081">
        <v>1.0188108706561039</v>
      </c>
      <c r="D2090" s="1081">
        <v>0.99912415232354235</v>
      </c>
      <c r="E2090" s="1081">
        <v>1.0378278663319072</v>
      </c>
      <c r="F2090" s="1081">
        <v>0.9961305983163089</v>
      </c>
      <c r="G2090" s="1081">
        <v>0.99821975576513822</v>
      </c>
      <c r="H2090" s="1081">
        <v>1.013915454450202</v>
      </c>
      <c r="I2090" s="1081">
        <v>1.007917347298618</v>
      </c>
      <c r="K2090">
        <v>2.4070212939306583</v>
      </c>
      <c r="L2090">
        <v>0</v>
      </c>
      <c r="M2090">
        <v>1.5105788003841505E-3</v>
      </c>
      <c r="N2090">
        <v>0.15412413381070261</v>
      </c>
      <c r="O2090">
        <v>2.062681547658151E-2</v>
      </c>
      <c r="P2090">
        <v>2.9135399605739454E-2</v>
      </c>
      <c r="Q2090">
        <v>5.6046022869148115E-3</v>
      </c>
      <c r="R2090">
        <v>1.4909131705085762E-3</v>
      </c>
      <c r="S2090">
        <v>0.25744715284053854</v>
      </c>
      <c r="T2090">
        <v>1.3671491790658516</v>
      </c>
      <c r="U2090">
        <v>0.20818688387874518</v>
      </c>
      <c r="V2090">
        <v>0.24394181972306583</v>
      </c>
      <c r="W2090">
        <v>9.9030943099824048E-2</v>
      </c>
      <c r="X2090">
        <v>1.773625560183717E-2</v>
      </c>
      <c r="Y2090">
        <v>4.0577741707297733E-3</v>
      </c>
    </row>
    <row r="2091" spans="1:25" x14ac:dyDescent="0.2">
      <c r="A2091" s="1077"/>
      <c r="B2091" s="1444">
        <v>1841</v>
      </c>
      <c r="C2091" s="1081">
        <v>1.0060605730913046</v>
      </c>
      <c r="D2091" s="1081">
        <v>1.0005528528778231</v>
      </c>
      <c r="E2091" s="1081">
        <v>1.0224378175177939</v>
      </c>
      <c r="F2091" s="1081">
        <v>0.98140177418209451</v>
      </c>
      <c r="G2091" s="1081">
        <v>0.98856694860956651</v>
      </c>
      <c r="H2091" s="1081">
        <v>1.0166801053018286</v>
      </c>
      <c r="I2091" s="1081">
        <v>1.0077946746804567</v>
      </c>
      <c r="K2091">
        <v>2.3917709361210173</v>
      </c>
      <c r="L2091">
        <v>0</v>
      </c>
      <c r="M2091">
        <v>1.5833857294007651E-3</v>
      </c>
      <c r="N2091">
        <v>0.15423428297005232</v>
      </c>
      <c r="O2091">
        <v>2.0871466341810755E-2</v>
      </c>
      <c r="P2091">
        <v>2.8595117442332216E-2</v>
      </c>
      <c r="Q2091">
        <v>5.585445011182002E-3</v>
      </c>
      <c r="R2091">
        <v>1.5628283088917649E-3</v>
      </c>
      <c r="S2091">
        <v>0.26060067310676072</v>
      </c>
      <c r="T2091">
        <v>1.3466058785508346</v>
      </c>
      <c r="U2091">
        <v>0.21077281088661257</v>
      </c>
      <c r="V2091">
        <v>0.24312443725360616</v>
      </c>
      <c r="W2091">
        <v>9.9990928505927307E-2</v>
      </c>
      <c r="X2091">
        <v>1.715695000181882E-2</v>
      </c>
      <c r="Y2091">
        <v>4.2535034705898167E-3</v>
      </c>
    </row>
    <row r="2092" spans="1:25" x14ac:dyDescent="0.2">
      <c r="A2092" s="1077"/>
      <c r="B2092" s="1444">
        <v>1842</v>
      </c>
      <c r="C2092" s="1081">
        <v>1.0018932610692532</v>
      </c>
      <c r="D2092" s="1081">
        <v>0.97624245519586261</v>
      </c>
      <c r="E2092" s="1081">
        <v>0.96456995077716745</v>
      </c>
      <c r="F2092" s="1081">
        <v>0.99236990020318461</v>
      </c>
      <c r="G2092" s="1081">
        <v>0.97575751181644266</v>
      </c>
      <c r="H2092" s="1081">
        <v>1.0130819502799024</v>
      </c>
      <c r="I2092" s="1081">
        <v>0.96763548604397465</v>
      </c>
      <c r="K2092">
        <v>2.3859261231477511</v>
      </c>
      <c r="L2092">
        <v>0</v>
      </c>
      <c r="M2092">
        <v>1.7958761489114644E-3</v>
      </c>
      <c r="N2092">
        <v>0.14685395925314348</v>
      </c>
      <c r="O2092">
        <v>2.103350498626801E-2</v>
      </c>
      <c r="P2092">
        <v>2.7457544434848595E-2</v>
      </c>
      <c r="Q2092">
        <v>5.30960149162207E-3</v>
      </c>
      <c r="R2092">
        <v>1.7724771098046957E-3</v>
      </c>
      <c r="S2092">
        <v>0.25360937150910162</v>
      </c>
      <c r="T2092">
        <v>1.3604152054704424</v>
      </c>
      <c r="U2092">
        <v>0.21145228874502381</v>
      </c>
      <c r="V2092">
        <v>0.24139848789616861</v>
      </c>
      <c r="W2092">
        <v>9.8555471053148769E-2</v>
      </c>
      <c r="X2092">
        <v>1.5039988951124298E-2</v>
      </c>
      <c r="Y2092">
        <v>4.8240983959661667E-3</v>
      </c>
    </row>
    <row r="2093" spans="1:25" x14ac:dyDescent="0.2">
      <c r="A2093" s="1077"/>
      <c r="B2093" s="1444">
        <v>1843</v>
      </c>
      <c r="C2093" s="1081">
        <v>0.99055855472252741</v>
      </c>
      <c r="D2093" s="1081">
        <v>1.0182483695784719</v>
      </c>
      <c r="E2093" s="1081">
        <v>0.98687523394021825</v>
      </c>
      <c r="F2093" s="1081">
        <v>0.96514090964186916</v>
      </c>
      <c r="G2093" s="1081">
        <v>1.0172194289363663</v>
      </c>
      <c r="H2093" s="1081">
        <v>0.97650411347821364</v>
      </c>
      <c r="I2093" s="1081">
        <v>0.98587495270619407</v>
      </c>
      <c r="K2093">
        <v>2.3546280155157224</v>
      </c>
      <c r="L2093">
        <v>0</v>
      </c>
      <c r="M2093">
        <v>1.6565520873389153E-3</v>
      </c>
      <c r="N2093">
        <v>0.14485001703224704</v>
      </c>
      <c r="O2093">
        <v>2.109275029967746E-2</v>
      </c>
      <c r="P2093">
        <v>2.7559697910739343E-2</v>
      </c>
      <c r="Q2093">
        <v>5.4469447077037719E-3</v>
      </c>
      <c r="R2093">
        <v>1.6341598629550076E-3</v>
      </c>
      <c r="S2093">
        <v>0.25299594788336005</v>
      </c>
      <c r="T2093">
        <v>1.3235509207447154</v>
      </c>
      <c r="U2093">
        <v>0.21394855160860246</v>
      </c>
      <c r="V2093">
        <v>0.24911471153644563</v>
      </c>
      <c r="W2093">
        <v>9.5905692544908036E-2</v>
      </c>
      <c r="X2093">
        <v>1.5737529025394548E-2</v>
      </c>
      <c r="Y2093">
        <v>4.4476444463094874E-3</v>
      </c>
    </row>
    <row r="2094" spans="1:25" x14ac:dyDescent="0.2">
      <c r="A2094" s="1077"/>
      <c r="B2094" s="1444">
        <v>1844</v>
      </c>
      <c r="C2094" s="1081">
        <v>1.0127894823367423</v>
      </c>
      <c r="D2094" s="1081">
        <v>1.0274340218891393</v>
      </c>
      <c r="E2094" s="1081">
        <v>0.98004610191706465</v>
      </c>
      <c r="F2094" s="1081">
        <v>1.0087094229260998</v>
      </c>
      <c r="G2094" s="1081">
        <v>1.0069330513929253</v>
      </c>
      <c r="H2094" s="1081">
        <v>0.98166988018459544</v>
      </c>
      <c r="I2094" s="1081">
        <v>0.98806163545450321</v>
      </c>
      <c r="K2094">
        <v>2.394612315549201</v>
      </c>
      <c r="L2094">
        <v>0</v>
      </c>
      <c r="M2094">
        <v>1.6486768383614455E-3</v>
      </c>
      <c r="N2094">
        <v>0.14122413451758245</v>
      </c>
      <c r="O2094">
        <v>2.0584604941083592E-2</v>
      </c>
      <c r="P2094">
        <v>2.8036345264791176E-2</v>
      </c>
      <c r="Q2094">
        <v>5.2790235264443411E-3</v>
      </c>
      <c r="R2094">
        <v>1.6265083393377734E-3</v>
      </c>
      <c r="S2094">
        <v>0.24725292222023526</v>
      </c>
      <c r="T2094">
        <v>1.3831503415950059</v>
      </c>
      <c r="U2094">
        <v>0.20922935119972003</v>
      </c>
      <c r="V2094">
        <v>0.24600033553686362</v>
      </c>
      <c r="W2094">
        <v>9.3890295927528206E-2</v>
      </c>
      <c r="X2094">
        <v>1.5560309797620343E-2</v>
      </c>
      <c r="Y2094">
        <v>4.4268195213474568E-3</v>
      </c>
    </row>
    <row r="2095" spans="1:25" x14ac:dyDescent="0.2">
      <c r="A2095" s="1077"/>
      <c r="B2095" s="1444">
        <v>1845</v>
      </c>
      <c r="C2095" s="1081">
        <v>1.0068871376868067</v>
      </c>
      <c r="D2095" s="1081">
        <v>1.0033257703246337</v>
      </c>
      <c r="E2095" s="1081">
        <v>1.0197639362368611</v>
      </c>
      <c r="F2095" s="1081">
        <v>0.9846856411698639</v>
      </c>
      <c r="G2095" s="1081">
        <v>0.98198840768913609</v>
      </c>
      <c r="H2095" s="1081">
        <v>0.98225548824289266</v>
      </c>
      <c r="I2095" s="1081">
        <v>0.99081286487444076</v>
      </c>
      <c r="K2095">
        <v>2.3769844204351904</v>
      </c>
      <c r="L2095">
        <v>0</v>
      </c>
      <c r="M2095">
        <v>1.5361101225071269E-3</v>
      </c>
      <c r="N2095">
        <v>0.14835880411037555</v>
      </c>
      <c r="O2095">
        <v>2.0839872352268106E-2</v>
      </c>
      <c r="P2095">
        <v>2.8473385106677313E-2</v>
      </c>
      <c r="Q2095">
        <v>5.5621938520645309E-3</v>
      </c>
      <c r="R2095">
        <v>1.5154675363755531E-3</v>
      </c>
      <c r="S2095">
        <v>0.25274282899843331</v>
      </c>
      <c r="T2095">
        <v>1.3510545725328889</v>
      </c>
      <c r="U2095">
        <v>0.21059067855310012</v>
      </c>
      <c r="V2095">
        <v>0.24195994663632103</v>
      </c>
      <c r="W2095">
        <v>9.6332274097611484E-2</v>
      </c>
      <c r="X2095">
        <v>1.6965903721304004E-2</v>
      </c>
      <c r="Y2095">
        <v>4.1246030602751522E-3</v>
      </c>
    </row>
    <row r="2096" spans="1:25" x14ac:dyDescent="0.2">
      <c r="A2096" s="1077"/>
      <c r="B2096" s="1444">
        <v>1846</v>
      </c>
      <c r="C2096" s="1081">
        <v>1.0176693777974377</v>
      </c>
      <c r="D2096" s="1081">
        <v>1.0013746824469383</v>
      </c>
      <c r="E2096" s="1081">
        <v>1.0377807352352102</v>
      </c>
      <c r="F2096" s="1081">
        <v>0.99818552140015893</v>
      </c>
      <c r="G2096" s="1081">
        <v>1.0041716314165268</v>
      </c>
      <c r="H2096" s="1081">
        <v>0.97263630223625885</v>
      </c>
      <c r="I2096" s="1081">
        <v>1.0361584851658221</v>
      </c>
      <c r="K2096">
        <v>2.4044091780010084</v>
      </c>
      <c r="L2096">
        <v>0</v>
      </c>
      <c r="M2096">
        <v>1.4501292413939496E-3</v>
      </c>
      <c r="N2096">
        <v>0.14785265116338403</v>
      </c>
      <c r="O2096">
        <v>2.063970206965764E-2</v>
      </c>
      <c r="P2096">
        <v>2.9243428880313123E-2</v>
      </c>
      <c r="Q2096">
        <v>5.6078435535090211E-3</v>
      </c>
      <c r="R2096">
        <v>1.4304493610518706E-3</v>
      </c>
      <c r="S2096">
        <v>0.26108108030665811</v>
      </c>
      <c r="T2096">
        <v>1.3699684534186514</v>
      </c>
      <c r="U2096">
        <v>0.20842024240599605</v>
      </c>
      <c r="V2096">
        <v>0.24502606427355286</v>
      </c>
      <c r="W2096">
        <v>9.5003847006150305E-2</v>
      </c>
      <c r="X2096">
        <v>1.7692333190199073E-2</v>
      </c>
      <c r="Y2096">
        <v>3.8932116132780522E-3</v>
      </c>
    </row>
    <row r="2097" spans="1:25" x14ac:dyDescent="0.2">
      <c r="A2097" s="1077"/>
      <c r="B2097" s="1444">
        <v>1847</v>
      </c>
      <c r="C2097" s="1081">
        <v>0.96883772401102752</v>
      </c>
      <c r="D2097" s="1081">
        <v>0.99117876802064564</v>
      </c>
      <c r="E2097" s="1081">
        <v>0.95388479753247468</v>
      </c>
      <c r="F2097" s="1081">
        <v>0.98759542125378963</v>
      </c>
      <c r="G2097" s="1081">
        <v>1.0116970909844389</v>
      </c>
      <c r="H2097" s="1081">
        <v>1.0025325458150161</v>
      </c>
      <c r="I2097" s="1081">
        <v>1.0054235500686273</v>
      </c>
      <c r="K2097">
        <v>2.4142953270298193</v>
      </c>
      <c r="L2097">
        <v>0</v>
      </c>
      <c r="M2097">
        <v>1.8724630712034498E-3</v>
      </c>
      <c r="N2097">
        <v>0.14821772116841217</v>
      </c>
      <c r="O2097">
        <v>2.1671319711813207E-2</v>
      </c>
      <c r="P2097">
        <v>2.7554562992899368E-2</v>
      </c>
      <c r="Q2097">
        <v>5.4108319561698417E-3</v>
      </c>
      <c r="R2097">
        <v>1.8478094340754188E-3</v>
      </c>
      <c r="S2097">
        <v>0.26941342138586505</v>
      </c>
      <c r="T2097">
        <v>1.3536437223029034</v>
      </c>
      <c r="U2097">
        <v>0.21862933210059277</v>
      </c>
      <c r="V2097">
        <v>0.24970585569813036</v>
      </c>
      <c r="W2097">
        <v>0.10012531100239866</v>
      </c>
      <c r="X2097">
        <v>1.4918774198424578E-2</v>
      </c>
      <c r="Y2097">
        <v>5.029128149337053E-3</v>
      </c>
    </row>
    <row r="2098" spans="1:25" x14ac:dyDescent="0.2">
      <c r="A2098" s="1077"/>
      <c r="B2098" s="1444">
        <v>1848</v>
      </c>
      <c r="C2098" s="1081">
        <v>0.99406477655175851</v>
      </c>
      <c r="D2098" s="1081">
        <v>1.0376567665609533</v>
      </c>
      <c r="E2098" s="1081">
        <v>0.98452206924434682</v>
      </c>
      <c r="F2098" s="1081">
        <v>0.98318015618018595</v>
      </c>
      <c r="G2098" s="1081">
        <v>0.95593285964925068</v>
      </c>
      <c r="H2098" s="1081">
        <v>1.00480939040467</v>
      </c>
      <c r="I2098" s="1081">
        <v>0.96709664941343632</v>
      </c>
      <c r="K2098">
        <v>2.3667930682480542</v>
      </c>
      <c r="L2098">
        <v>0</v>
      </c>
      <c r="M2098">
        <v>1.6997744432354675E-3</v>
      </c>
      <c r="N2098">
        <v>0.14763234808629808</v>
      </c>
      <c r="O2098">
        <v>2.0929671803401172E-2</v>
      </c>
      <c r="P2098">
        <v>2.7612400793911671E-2</v>
      </c>
      <c r="Q2098">
        <v>5.3919609085487409E-3</v>
      </c>
      <c r="R2098">
        <v>1.6774452090537041E-3</v>
      </c>
      <c r="S2098">
        <v>0.24728479624136182</v>
      </c>
      <c r="T2098">
        <v>1.3482392414374096</v>
      </c>
      <c r="U2098">
        <v>0.21318584840045429</v>
      </c>
      <c r="V2098">
        <v>0.23843078392565792</v>
      </c>
      <c r="W2098">
        <v>9.7886245290707344E-2</v>
      </c>
      <c r="X2098">
        <v>1.5656647705104772E-2</v>
      </c>
      <c r="Y2098">
        <v>4.5654528893796318E-3</v>
      </c>
    </row>
    <row r="2099" spans="1:25" x14ac:dyDescent="0.2">
      <c r="A2099" s="1077"/>
      <c r="B2099" s="1444">
        <v>1849</v>
      </c>
      <c r="C2099" s="1081">
        <v>0.96654058699976186</v>
      </c>
      <c r="D2099" s="1081">
        <v>1.0226072660200074</v>
      </c>
      <c r="E2099" s="1081">
        <v>0.99189077170016926</v>
      </c>
      <c r="F2099" s="1081">
        <v>0.99983264689131135</v>
      </c>
      <c r="G2099" s="1081">
        <v>1.0109532348212469</v>
      </c>
      <c r="H2099" s="1081">
        <v>1.0061543363697003</v>
      </c>
      <c r="I2099" s="1081">
        <v>1.0148705345516196</v>
      </c>
      <c r="K2099">
        <v>2.4409908166701362</v>
      </c>
      <c r="L2099">
        <v>0</v>
      </c>
      <c r="M2099">
        <v>1.7295644350053272E-3</v>
      </c>
      <c r="N2099">
        <v>0.15360718924078129</v>
      </c>
      <c r="O2099">
        <v>2.1600008881568857E-2</v>
      </c>
      <c r="P2099">
        <v>2.8606783336020271E-2</v>
      </c>
      <c r="Q2099">
        <v>5.6062971146697829E-3</v>
      </c>
      <c r="R2099">
        <v>1.7068742330461635E-3</v>
      </c>
      <c r="S2099">
        <v>0.26901546462335857</v>
      </c>
      <c r="T2099">
        <v>1.3712338363782761</v>
      </c>
      <c r="U2099">
        <v>0.21928275572121927</v>
      </c>
      <c r="V2099">
        <v>0.24959086617537091</v>
      </c>
      <c r="W2099">
        <v>0.10139857526512244</v>
      </c>
      <c r="X2099">
        <v>1.6426181144293266E-2</v>
      </c>
      <c r="Y2099">
        <v>4.6455489914119536E-3</v>
      </c>
    </row>
    <row r="2100" spans="1:25" x14ac:dyDescent="0.2">
      <c r="A2100" s="1077"/>
      <c r="B2100" s="1444">
        <v>1850</v>
      </c>
      <c r="C2100" s="1081">
        <v>1.0057614714953942</v>
      </c>
      <c r="D2100" s="1081">
        <v>1.0116360209840578</v>
      </c>
      <c r="E2100" s="1081">
        <v>1.0123042285069215</v>
      </c>
      <c r="F2100" s="1081">
        <v>1.01980728464965</v>
      </c>
      <c r="G2100" s="1081">
        <v>1.0100519759747304</v>
      </c>
      <c r="H2100" s="1081">
        <v>0.97581697663049605</v>
      </c>
      <c r="I2100" s="1081">
        <v>1.0001461841786958</v>
      </c>
      <c r="K2100">
        <v>2.428561676642607</v>
      </c>
      <c r="L2100">
        <v>0</v>
      </c>
      <c r="M2100">
        <v>1.5488189179279658E-3</v>
      </c>
      <c r="N2100">
        <v>0.1462433866733906</v>
      </c>
      <c r="O2100">
        <v>2.0820448746393928E-2</v>
      </c>
      <c r="P2100">
        <v>2.906313349671763E-2</v>
      </c>
      <c r="Q2100">
        <v>5.5158616944730957E-3</v>
      </c>
      <c r="R2100">
        <v>1.5278682200725196E-3</v>
      </c>
      <c r="S2100">
        <v>0.25375122406397821</v>
      </c>
      <c r="T2100">
        <v>1.399078759231688</v>
      </c>
      <c r="U2100">
        <v>0.21080096007004365</v>
      </c>
      <c r="V2100">
        <v>0.24684581591507077</v>
      </c>
      <c r="W2100">
        <v>9.5375329725327918E-2</v>
      </c>
      <c r="X2100">
        <v>1.6929354089966049E-2</v>
      </c>
      <c r="Y2100">
        <v>4.1583536334140131E-3</v>
      </c>
    </row>
    <row r="2101" spans="1:25" x14ac:dyDescent="0.2">
      <c r="A2101" s="1077"/>
      <c r="B2101" s="1444">
        <v>1851</v>
      </c>
      <c r="C2101" s="1081">
        <v>1.0192429553101066</v>
      </c>
      <c r="D2101" s="1081">
        <v>0.99481862235745755</v>
      </c>
      <c r="E2101" s="1081">
        <v>1.0205977572019727</v>
      </c>
      <c r="F2101" s="1081">
        <v>0.98841916012151532</v>
      </c>
      <c r="G2101" s="1081">
        <v>0.99247457128144867</v>
      </c>
      <c r="H2101" s="1081">
        <v>1.0325941174720343</v>
      </c>
      <c r="I2101" s="1081">
        <v>1.0001958580084747</v>
      </c>
      <c r="K2101">
        <v>2.3955302867913866</v>
      </c>
      <c r="L2101">
        <v>0</v>
      </c>
      <c r="M2101">
        <v>1.5954775713200534E-3</v>
      </c>
      <c r="N2101">
        <v>0.15458323832969603</v>
      </c>
      <c r="O2101">
        <v>2.0626387994020782E-2</v>
      </c>
      <c r="P2101">
        <v>2.8604705983439841E-2</v>
      </c>
      <c r="Q2101">
        <v>5.509779469245614E-3</v>
      </c>
      <c r="R2101">
        <v>1.5750824038769878E-3</v>
      </c>
      <c r="S2101">
        <v>0.25734063042241162</v>
      </c>
      <c r="T2101">
        <v>1.3561951063224322</v>
      </c>
      <c r="U2101">
        <v>0.20804058877620168</v>
      </c>
      <c r="V2101">
        <v>0.2429953461352086</v>
      </c>
      <c r="W2101">
        <v>0.10032497455323497</v>
      </c>
      <c r="X2101">
        <v>1.7043068895359642E-2</v>
      </c>
      <c r="Y2101">
        <v>4.2868550775782685E-3</v>
      </c>
    </row>
    <row r="2102" spans="1:25" x14ac:dyDescent="0.2">
      <c r="A2102" s="1077"/>
      <c r="B2102" s="1444">
        <v>1852</v>
      </c>
      <c r="C2102" s="1081">
        <v>1.019978981775596</v>
      </c>
      <c r="D2102" s="1081">
        <v>0.99801704417449866</v>
      </c>
      <c r="E2102" s="1081">
        <v>1.0050455796971496</v>
      </c>
      <c r="F2102" s="1081">
        <v>1.0098439095718115</v>
      </c>
      <c r="G2102" s="1081">
        <v>0.9769048574630369</v>
      </c>
      <c r="H2102" s="1081">
        <v>0.98909962558136599</v>
      </c>
      <c r="I2102" s="1081">
        <v>1.0190084165559314</v>
      </c>
      <c r="K2102">
        <v>2.4075630328777606</v>
      </c>
      <c r="L2102">
        <v>0</v>
      </c>
      <c r="M2102">
        <v>1.5762273318130975E-3</v>
      </c>
      <c r="N2102">
        <v>0.14563186864450212</v>
      </c>
      <c r="O2102">
        <v>2.0586809572729178E-2</v>
      </c>
      <c r="P2102">
        <v>2.8643291325722055E-2</v>
      </c>
      <c r="Q2102">
        <v>5.4145051118511967E-3</v>
      </c>
      <c r="R2102">
        <v>1.5551922098297857E-3</v>
      </c>
      <c r="S2102">
        <v>0.25774563307250958</v>
      </c>
      <c r="T2102">
        <v>1.3852511431156083</v>
      </c>
      <c r="U2102">
        <v>0.20783824224846609</v>
      </c>
      <c r="V2102">
        <v>0.24034741272888324</v>
      </c>
      <c r="W2102">
        <v>9.5384338821160555E-2</v>
      </c>
      <c r="X2102">
        <v>1.6508102832128422E-2</v>
      </c>
      <c r="Y2102">
        <v>4.2327205261824888E-3</v>
      </c>
    </row>
    <row r="2103" spans="1:25" x14ac:dyDescent="0.2">
      <c r="A2103" s="1077"/>
      <c r="B2103" s="1444">
        <v>1853</v>
      </c>
      <c r="C2103" s="1081">
        <v>0.97914172224521878</v>
      </c>
      <c r="D2103" s="1081">
        <v>1.0129087509237062</v>
      </c>
      <c r="E2103" s="1081">
        <v>1.0133400730355457</v>
      </c>
      <c r="F2103" s="1081">
        <v>0.99375235259180317</v>
      </c>
      <c r="G2103" s="1081">
        <v>0.98551412733313271</v>
      </c>
      <c r="H2103" s="1081">
        <v>0.9765486338489342</v>
      </c>
      <c r="I2103" s="1081">
        <v>0.99199328842958234</v>
      </c>
      <c r="K2103">
        <v>2.4081734873627272</v>
      </c>
      <c r="L2103">
        <v>0</v>
      </c>
      <c r="M2103">
        <v>1.5882558701165361E-3</v>
      </c>
      <c r="N2103">
        <v>0.15043828435930529</v>
      </c>
      <c r="O2103">
        <v>2.1381277233015358E-2</v>
      </c>
      <c r="P2103">
        <v>2.8702083557869185E-2</v>
      </c>
      <c r="Q2103">
        <v>5.6702985589652706E-3</v>
      </c>
      <c r="R2103">
        <v>1.5667878096053292E-3</v>
      </c>
      <c r="S2103">
        <v>0.25843359848066222</v>
      </c>
      <c r="T2103">
        <v>1.3633561866919448</v>
      </c>
      <c r="U2103">
        <v>0.21653559105096365</v>
      </c>
      <c r="V2103">
        <v>0.2443402371642964</v>
      </c>
      <c r="W2103">
        <v>9.8051333606806013E-2</v>
      </c>
      <c r="X2103">
        <v>1.7021784793124974E-2</v>
      </c>
      <c r="Y2103">
        <v>4.2642799262830808E-3</v>
      </c>
    </row>
    <row r="2104" spans="1:25" x14ac:dyDescent="0.2">
      <c r="A2104" s="1077"/>
      <c r="B2104" s="1444">
        <v>1854</v>
      </c>
      <c r="C2104" s="1081">
        <v>0.99873934251885987</v>
      </c>
      <c r="D2104" s="1081">
        <v>1.0193594795572221</v>
      </c>
      <c r="E2104" s="1081">
        <v>1.0123191764449679</v>
      </c>
      <c r="F2104" s="1081">
        <v>0.96069125683509671</v>
      </c>
      <c r="G2104" s="1081">
        <v>1.0139201783401</v>
      </c>
      <c r="H2104" s="1081">
        <v>0.97107248634278365</v>
      </c>
      <c r="I2104" s="1081">
        <v>0.99410559984493085</v>
      </c>
      <c r="K2104">
        <v>2.3477074136969436</v>
      </c>
      <c r="L2104">
        <v>0</v>
      </c>
      <c r="M2104">
        <v>1.5494822011061146E-3</v>
      </c>
      <c r="N2104">
        <v>0.14630281464284026</v>
      </c>
      <c r="O2104">
        <v>2.0931793911437496E-2</v>
      </c>
      <c r="P2104">
        <v>2.7966606388100525E-2</v>
      </c>
      <c r="Q2104">
        <v>5.545442592116606E-3</v>
      </c>
      <c r="R2104">
        <v>1.528420125813371E-3</v>
      </c>
      <c r="S2104">
        <v>0.2526258010624135</v>
      </c>
      <c r="T2104">
        <v>1.3179774937529241</v>
      </c>
      <c r="U2104">
        <v>0.21228315132810177</v>
      </c>
      <c r="V2104">
        <v>0.24794237618696283</v>
      </c>
      <c r="W2104">
        <v>9.5413247286676814E-2</v>
      </c>
      <c r="X2104">
        <v>1.6579892881759338E-2</v>
      </c>
      <c r="Y2104">
        <v>4.1598557389049317E-3</v>
      </c>
    </row>
    <row r="2105" spans="1:25" x14ac:dyDescent="0.2">
      <c r="A2105" s="1077"/>
      <c r="B2105" s="1444">
        <v>1855</v>
      </c>
      <c r="C2105" s="1081">
        <v>0.98618070555634885</v>
      </c>
      <c r="D2105" s="1081">
        <v>0.99104822452804253</v>
      </c>
      <c r="E2105" s="1081">
        <v>1.0213823613149569</v>
      </c>
      <c r="F2105" s="1081">
        <v>0.9898192879901716</v>
      </c>
      <c r="G2105" s="1081">
        <v>1.029835824815297</v>
      </c>
      <c r="H2105" s="1081">
        <v>1.0086866480839727</v>
      </c>
      <c r="I2105" s="1081">
        <v>1.0018606127824981</v>
      </c>
      <c r="K2105">
        <v>2.4247645647184211</v>
      </c>
      <c r="L2105">
        <v>0</v>
      </c>
      <c r="M2105">
        <v>1.609504747269203E-3</v>
      </c>
      <c r="N2105">
        <v>0.15626385890020672</v>
      </c>
      <c r="O2105">
        <v>2.1336245981475727E-2</v>
      </c>
      <c r="P2105">
        <v>2.8965645653107535E-2</v>
      </c>
      <c r="Q2105">
        <v>5.703843650918067E-3</v>
      </c>
      <c r="R2105">
        <v>1.5884426211855739E-3</v>
      </c>
      <c r="S2105">
        <v>0.26485093509317043</v>
      </c>
      <c r="T2105">
        <v>1.3581330669350373</v>
      </c>
      <c r="U2105">
        <v>0.21501799201725483</v>
      </c>
      <c r="V2105">
        <v>0.25142203830196713</v>
      </c>
      <c r="W2105">
        <v>0.10136919575404728</v>
      </c>
      <c r="X2105">
        <v>1.7399587372424075E-2</v>
      </c>
      <c r="Y2105">
        <v>4.3232171848977844E-3</v>
      </c>
    </row>
    <row r="2106" spans="1:25" x14ac:dyDescent="0.2">
      <c r="A2106" s="1077"/>
      <c r="B2106" s="1444">
        <v>1856</v>
      </c>
      <c r="C2106" s="1081">
        <v>0.99614794662611239</v>
      </c>
      <c r="D2106" s="1081">
        <v>1.0295610049037476</v>
      </c>
      <c r="E2106" s="1081">
        <v>0.98353623667859713</v>
      </c>
      <c r="F2106" s="1081">
        <v>0.99666732025034599</v>
      </c>
      <c r="G2106" s="1081">
        <v>0.99810623522039821</v>
      </c>
      <c r="H2106" s="1081">
        <v>0.96518053877718557</v>
      </c>
      <c r="I2106" s="1081">
        <v>0.96962466002596814</v>
      </c>
      <c r="K2106">
        <v>2.3797964642563194</v>
      </c>
      <c r="L2106">
        <v>0</v>
      </c>
      <c r="M2106">
        <v>1.6354649507122271E-3</v>
      </c>
      <c r="N2106">
        <v>0.14154646195740198</v>
      </c>
      <c r="O2106">
        <v>2.0921273037253059E-2</v>
      </c>
      <c r="P2106">
        <v>2.7900796165107565E-2</v>
      </c>
      <c r="Q2106">
        <v>5.3844114082984319E-3</v>
      </c>
      <c r="R2106">
        <v>1.6130984057050341E-3</v>
      </c>
      <c r="S2106">
        <v>0.24510961344838555</v>
      </c>
      <c r="T2106">
        <v>1.3667130672714343</v>
      </c>
      <c r="U2106">
        <v>0.21273665450087387</v>
      </c>
      <c r="V2106">
        <v>0.2455082739521858</v>
      </c>
      <c r="W2106">
        <v>9.3906760571370915E-2</v>
      </c>
      <c r="X2106">
        <v>1.5701196386431856E-2</v>
      </c>
      <c r="Y2106">
        <v>4.3903221025825756E-3</v>
      </c>
    </row>
    <row r="2107" spans="1:25" x14ac:dyDescent="0.2">
      <c r="A2107" s="1077"/>
      <c r="B2107" s="1444">
        <v>1857</v>
      </c>
      <c r="C2107" s="1081">
        <v>0.99341919627791564</v>
      </c>
      <c r="D2107" s="1081">
        <v>1.0034455332826806</v>
      </c>
      <c r="E2107" s="1081">
        <v>0.99278438708260297</v>
      </c>
      <c r="F2107" s="1081">
        <v>0.98633168840511132</v>
      </c>
      <c r="G2107" s="1081">
        <v>0.9894726805624865</v>
      </c>
      <c r="H2107" s="1081">
        <v>1.0052211032250853</v>
      </c>
      <c r="I2107" s="1081">
        <v>1.0073027955913332</v>
      </c>
      <c r="K2107">
        <v>2.3968562777091362</v>
      </c>
      <c r="L2107">
        <v>0</v>
      </c>
      <c r="M2107">
        <v>1.6850955959243571E-3</v>
      </c>
      <c r="N2107">
        <v>0.15006076296058524</v>
      </c>
      <c r="O2107">
        <v>2.1103819061570932E-2</v>
      </c>
      <c r="P2107">
        <v>2.8128033483527139E-2</v>
      </c>
      <c r="Q2107">
        <v>5.4824540066897255E-3</v>
      </c>
      <c r="R2107">
        <v>1.6629682581958166E-3</v>
      </c>
      <c r="S2107">
        <v>0.26217373516819203</v>
      </c>
      <c r="T2107">
        <v>1.3527368000591504</v>
      </c>
      <c r="U2107">
        <v>0.21335276700020209</v>
      </c>
      <c r="V2107">
        <v>0.2441722155377852</v>
      </c>
      <c r="W2107">
        <v>9.9004605882348426E-2</v>
      </c>
      <c r="X2107">
        <v>1.613716048534285E-2</v>
      </c>
      <c r="Y2107">
        <v>4.5260514014700305E-3</v>
      </c>
    </row>
    <row r="2108" spans="1:25" x14ac:dyDescent="0.2">
      <c r="A2108" s="1077"/>
      <c r="B2108" s="1444">
        <v>1858</v>
      </c>
      <c r="C2108" s="1081">
        <v>1.0051713856662627</v>
      </c>
      <c r="D2108" s="1081">
        <v>0.98850010971688418</v>
      </c>
      <c r="E2108" s="1081">
        <v>1.000460753388299</v>
      </c>
      <c r="F2108" s="1081">
        <v>0.96084288690141384</v>
      </c>
      <c r="G2108" s="1081">
        <v>0.96071935249088414</v>
      </c>
      <c r="H2108" s="1081">
        <v>0.9801165374250318</v>
      </c>
      <c r="I2108" s="1081">
        <v>0.98083376821775448</v>
      </c>
      <c r="K2108">
        <v>2.3358960368890656</v>
      </c>
      <c r="L2108">
        <v>0</v>
      </c>
      <c r="M2108">
        <v>1.6034490252341883E-3</v>
      </c>
      <c r="N2108">
        <v>0.14609130307963974</v>
      </c>
      <c r="O2108">
        <v>2.0931127917119138E-2</v>
      </c>
      <c r="P2108">
        <v>2.7567309773267615E-2</v>
      </c>
      <c r="Q2108">
        <v>5.4797900657671912E-3</v>
      </c>
      <c r="R2108">
        <v>1.5818545000513408E-3</v>
      </c>
      <c r="S2108">
        <v>0.25217577442880135</v>
      </c>
      <c r="T2108">
        <v>1.3179387673042282</v>
      </c>
      <c r="U2108">
        <v>0.21088439542251142</v>
      </c>
      <c r="V2108">
        <v>0.23850054903358839</v>
      </c>
      <c r="W2108">
        <v>9.5945781723538792E-2</v>
      </c>
      <c r="X2108">
        <v>1.6097546174843016E-2</v>
      </c>
      <c r="Y2108">
        <v>4.3052864909439541E-3</v>
      </c>
    </row>
    <row r="2109" spans="1:25" x14ac:dyDescent="0.2">
      <c r="A2109" s="1077"/>
      <c r="B2109" s="1444">
        <v>1859</v>
      </c>
      <c r="C2109" s="1081">
        <v>0.9910610884690445</v>
      </c>
      <c r="D2109" s="1081">
        <v>0.98920306022991022</v>
      </c>
      <c r="E2109" s="1081">
        <v>1.0049231136835635</v>
      </c>
      <c r="F2109" s="1081">
        <v>0.98598803862787021</v>
      </c>
      <c r="G2109" s="1081">
        <v>0.99653566830011897</v>
      </c>
      <c r="H2109" s="1081">
        <v>1.0223072345625395</v>
      </c>
      <c r="I2109" s="1081">
        <v>0.97452403907050822</v>
      </c>
      <c r="K2109">
        <v>2.4027761947955821</v>
      </c>
      <c r="L2109">
        <v>0</v>
      </c>
      <c r="M2109">
        <v>1.6803858255935245E-3</v>
      </c>
      <c r="N2109">
        <v>0.15526612609215343</v>
      </c>
      <c r="O2109">
        <v>2.1228813093009485E-2</v>
      </c>
      <c r="P2109">
        <v>2.8343919465054854E-2</v>
      </c>
      <c r="Q2109">
        <v>5.5826720912826189E-3</v>
      </c>
      <c r="R2109">
        <v>1.6586891201132831E-3</v>
      </c>
      <c r="S2109">
        <v>0.25760367314342469</v>
      </c>
      <c r="T2109">
        <v>1.3525242908384201</v>
      </c>
      <c r="U2109">
        <v>0.2139022732572026</v>
      </c>
      <c r="V2109">
        <v>0.2454848031484386</v>
      </c>
      <c r="W2109">
        <v>0.10170185068427359</v>
      </c>
      <c r="X2109">
        <v>1.6645064689572657E-2</v>
      </c>
      <c r="Y2109">
        <v>4.5144049982268628E-3</v>
      </c>
    </row>
    <row r="2110" spans="1:25" x14ac:dyDescent="0.2">
      <c r="A2110" s="1077"/>
      <c r="B2110" s="1444">
        <v>1860</v>
      </c>
      <c r="C2110" s="1081">
        <v>0.97623047967201182</v>
      </c>
      <c r="D2110" s="1081">
        <v>1.0468600584351642</v>
      </c>
      <c r="E2110" s="1081">
        <v>0.98629506675868295</v>
      </c>
      <c r="F2110" s="1081">
        <v>0.99077173943565511</v>
      </c>
      <c r="G2110" s="1081">
        <v>1.0061234886190438</v>
      </c>
      <c r="H2110" s="1081">
        <v>0.99153199134807657</v>
      </c>
      <c r="I2110" s="1081">
        <v>1.0067704698903237</v>
      </c>
      <c r="K2110">
        <v>2.4056904114077904</v>
      </c>
      <c r="L2110">
        <v>0</v>
      </c>
      <c r="M2110">
        <v>1.6983977758735134E-3</v>
      </c>
      <c r="N2110">
        <v>0.14827948369579821</v>
      </c>
      <c r="O2110">
        <v>2.127185515612999E-2</v>
      </c>
      <c r="P2110">
        <v>2.8144116727110705E-2</v>
      </c>
      <c r="Q2110">
        <v>5.4899698987304311E-3</v>
      </c>
      <c r="R2110">
        <v>1.6757878624309383E-3</v>
      </c>
      <c r="S2110">
        <v>0.25985089951015583</v>
      </c>
      <c r="T2110">
        <v>1.3586874921244645</v>
      </c>
      <c r="U2110">
        <v>0.21708663432679454</v>
      </c>
      <c r="V2110">
        <v>0.24814553829582497</v>
      </c>
      <c r="W2110">
        <v>9.8210574192710121E-2</v>
      </c>
      <c r="X2110">
        <v>1.5985515255294663E-2</v>
      </c>
      <c r="Y2110">
        <v>4.560942138216631E-3</v>
      </c>
    </row>
    <row r="2111" spans="1:25" x14ac:dyDescent="0.2">
      <c r="A2111" s="1077"/>
      <c r="B2111" s="1444">
        <v>1861</v>
      </c>
      <c r="C2111" s="1081">
        <v>0.96995810428231732</v>
      </c>
      <c r="D2111" s="1081">
        <v>1.0091214397558266</v>
      </c>
      <c r="E2111" s="1081">
        <v>0.9884480908880191</v>
      </c>
      <c r="F2111" s="1081">
        <v>1.0202423141432029</v>
      </c>
      <c r="G2111" s="1081">
        <v>0.99541288921065441</v>
      </c>
      <c r="H2111" s="1081">
        <v>0.97568973676552362</v>
      </c>
      <c r="I2111" s="1081">
        <v>0.97794028636416364</v>
      </c>
      <c r="K2111">
        <v>2.4448916367935851</v>
      </c>
      <c r="L2111">
        <v>0</v>
      </c>
      <c r="M2111">
        <v>1.6881693360919746E-3</v>
      </c>
      <c r="N2111">
        <v>0.14831671846207931</v>
      </c>
      <c r="O2111">
        <v>2.158451134317628E-2</v>
      </c>
      <c r="P2111">
        <v>2.8703783610982504E-2</v>
      </c>
      <c r="Q2111">
        <v>5.5828159425035896E-3</v>
      </c>
      <c r="R2111">
        <v>1.6653306829290855E-3</v>
      </c>
      <c r="S2111">
        <v>0.25739213857762477</v>
      </c>
      <c r="T2111">
        <v>1.3991491327979375</v>
      </c>
      <c r="U2111">
        <v>0.21849802890002995</v>
      </c>
      <c r="V2111">
        <v>0.24672128087752287</v>
      </c>
      <c r="W2111">
        <v>9.8108351192434926E-2</v>
      </c>
      <c r="X2111">
        <v>1.6325232599632943E-2</v>
      </c>
      <c r="Y2111">
        <v>4.532481142820885E-3</v>
      </c>
    </row>
    <row r="2112" spans="1:25" x14ac:dyDescent="0.2">
      <c r="A2112" s="1077"/>
      <c r="B2112" s="1444">
        <v>1862</v>
      </c>
      <c r="C2112" s="1081">
        <v>0.98639675570505447</v>
      </c>
      <c r="D2112" s="1081">
        <v>1.0073964233859571</v>
      </c>
      <c r="E2112" s="1081">
        <v>1.0271402016326507</v>
      </c>
      <c r="F2112" s="1081">
        <v>0.99520409983217673</v>
      </c>
      <c r="G2112" s="1081">
        <v>0.98547503360626054</v>
      </c>
      <c r="H2112" s="1081">
        <v>1.0039640646336274</v>
      </c>
      <c r="I2112" s="1081">
        <v>0.99708368649403378</v>
      </c>
      <c r="K2112">
        <v>2.4197442815481551</v>
      </c>
      <c r="L2112">
        <v>0</v>
      </c>
      <c r="M2112">
        <v>1.5768469916825456E-3</v>
      </c>
      <c r="N2112">
        <v>0.15576509903775917</v>
      </c>
      <c r="O2112">
        <v>2.1258810129028943E-2</v>
      </c>
      <c r="P2112">
        <v>2.9032670984149699E-2</v>
      </c>
      <c r="Q2112">
        <v>5.7156903359841318E-3</v>
      </c>
      <c r="R2112">
        <v>1.556115163347273E-3</v>
      </c>
      <c r="S2112">
        <v>0.26102479036932036</v>
      </c>
      <c r="T2112">
        <v>1.3656461017472714</v>
      </c>
      <c r="U2112">
        <v>0.21499092327953018</v>
      </c>
      <c r="V2112">
        <v>0.24381750247256481</v>
      </c>
      <c r="W2112">
        <v>0.10070696752709354</v>
      </c>
      <c r="X2112">
        <v>1.7571224992384008E-2</v>
      </c>
      <c r="Y2112">
        <v>4.2352325014055441E-3</v>
      </c>
    </row>
    <row r="2113" spans="1:25" x14ac:dyDescent="0.2">
      <c r="A2113" s="1077"/>
      <c r="B2113" s="1444">
        <v>1863</v>
      </c>
      <c r="C2113" s="1081">
        <v>1.0449958776872164</v>
      </c>
      <c r="D2113" s="1081">
        <v>1.017660725322616</v>
      </c>
      <c r="E2113" s="1081">
        <v>1.0028167192108108</v>
      </c>
      <c r="F2113" s="1081">
        <v>1.0041670191987364</v>
      </c>
      <c r="G2113" s="1081">
        <v>1.0028831866662993</v>
      </c>
      <c r="H2113" s="1081">
        <v>0.97513172771245837</v>
      </c>
      <c r="I2113" s="1081">
        <v>1.0072340502753743</v>
      </c>
      <c r="K2113">
        <v>2.3729324235621316</v>
      </c>
      <c r="L2113">
        <v>0</v>
      </c>
      <c r="M2113">
        <v>1.517279358071986E-3</v>
      </c>
      <c r="N2113">
        <v>0.13921798066740088</v>
      </c>
      <c r="O2113">
        <v>2.0006575277414836E-2</v>
      </c>
      <c r="P2113">
        <v>2.8288311103838754E-2</v>
      </c>
      <c r="Q2113">
        <v>5.250148548392463E-3</v>
      </c>
      <c r="R2113">
        <v>1.4967408695028084E-3</v>
      </c>
      <c r="S2113">
        <v>0.24509443724373275</v>
      </c>
      <c r="T2113">
        <v>1.3774154358884843</v>
      </c>
      <c r="U2113">
        <v>0.20285536028770282</v>
      </c>
      <c r="V2113">
        <v>0.24332666506579112</v>
      </c>
      <c r="W2113">
        <v>9.1303939192267244E-2</v>
      </c>
      <c r="X2113">
        <v>1.6120473529380914E-2</v>
      </c>
      <c r="Y2113">
        <v>4.0736352462916172E-3</v>
      </c>
    </row>
    <row r="2114" spans="1:25" x14ac:dyDescent="0.2">
      <c r="A2114" s="1077"/>
      <c r="B2114" s="1444">
        <v>1864</v>
      </c>
      <c r="C2114" s="1081">
        <v>0.98557923634318656</v>
      </c>
      <c r="D2114" s="1081">
        <v>0.98990105276500751</v>
      </c>
      <c r="E2114" s="1081">
        <v>0.99180953185428755</v>
      </c>
      <c r="F2114" s="1081">
        <v>1.0092116863057368</v>
      </c>
      <c r="G2114" s="1081">
        <v>0.99122907983167918</v>
      </c>
      <c r="H2114" s="1081">
        <v>0.9962354788664739</v>
      </c>
      <c r="I2114" s="1081">
        <v>0.98848643099201927</v>
      </c>
      <c r="K2114">
        <v>2.4300254731481621</v>
      </c>
      <c r="L2114">
        <v>0</v>
      </c>
      <c r="M2114">
        <v>1.6917708962957605E-3</v>
      </c>
      <c r="N2114">
        <v>0.15019386826644501</v>
      </c>
      <c r="O2114">
        <v>2.1334728704161171E-2</v>
      </c>
      <c r="P2114">
        <v>2.8541446547910604E-2</v>
      </c>
      <c r="Q2114">
        <v>5.5369892438539292E-3</v>
      </c>
      <c r="R2114">
        <v>1.669355533947501E-3</v>
      </c>
      <c r="S2114">
        <v>0.26031750754260807</v>
      </c>
      <c r="T2114">
        <v>1.3840950749157734</v>
      </c>
      <c r="U2114">
        <v>0.21504654144459281</v>
      </c>
      <c r="V2114">
        <v>0.24497523600655702</v>
      </c>
      <c r="W2114">
        <v>9.9150205442098641E-2</v>
      </c>
      <c r="X2114">
        <v>1.6312854936008755E-2</v>
      </c>
      <c r="Y2114">
        <v>4.5434354605012302E-3</v>
      </c>
    </row>
    <row r="2115" spans="1:25" x14ac:dyDescent="0.2">
      <c r="A2115" s="1077"/>
      <c r="B2115" s="1444">
        <v>1865</v>
      </c>
      <c r="C2115" s="1081">
        <v>1.0123530834344676</v>
      </c>
      <c r="D2115" s="1081">
        <v>1.0187501684771667</v>
      </c>
      <c r="E2115" s="1081">
        <v>1.0071678666807127</v>
      </c>
      <c r="F2115" s="1081">
        <v>0.98707168898854525</v>
      </c>
      <c r="G2115" s="1081">
        <v>0.98888021902977119</v>
      </c>
      <c r="H2115" s="1081">
        <v>0.98239022844869883</v>
      </c>
      <c r="I2115" s="1081">
        <v>0.9965774499246185</v>
      </c>
      <c r="K2115">
        <v>2.3725048785294094</v>
      </c>
      <c r="L2115">
        <v>0</v>
      </c>
      <c r="M2115">
        <v>1.5633054190360065E-3</v>
      </c>
      <c r="N2115">
        <v>0.14535322748269724</v>
      </c>
      <c r="O2115">
        <v>2.0649659237627772E-2</v>
      </c>
      <c r="P2115">
        <v>2.8221366508342855E-2</v>
      </c>
      <c r="Q2115">
        <v>5.4425942414627684E-3</v>
      </c>
      <c r="R2115">
        <v>1.5423002578885273E-3</v>
      </c>
      <c r="S2115">
        <v>0.25082648983738492</v>
      </c>
      <c r="T2115">
        <v>1.3540587633628089</v>
      </c>
      <c r="U2115">
        <v>0.20941102815975993</v>
      </c>
      <c r="V2115">
        <v>0.24284553359245942</v>
      </c>
      <c r="W2115">
        <v>9.5082404851188004E-2</v>
      </c>
      <c r="X2115">
        <v>1.6437183533995821E-2</v>
      </c>
      <c r="Y2115">
        <v>4.1976328828291993E-3</v>
      </c>
    </row>
    <row r="2116" spans="1:25" x14ac:dyDescent="0.2">
      <c r="A2116" s="1077"/>
      <c r="B2116" s="1444">
        <v>1866</v>
      </c>
      <c r="C2116" s="1081">
        <v>0.98849529059930663</v>
      </c>
      <c r="D2116" s="1081">
        <v>0.99287830386320131</v>
      </c>
      <c r="E2116" s="1081">
        <v>0.98801825770574825</v>
      </c>
      <c r="F2116" s="1081">
        <v>0.98659731241811577</v>
      </c>
      <c r="G2116" s="1081">
        <v>0.95959253503390429</v>
      </c>
      <c r="H2116" s="1081">
        <v>1.0116996842568171</v>
      </c>
      <c r="I2116" s="1081">
        <v>0.97331588342072572</v>
      </c>
      <c r="K2116">
        <v>2.3901431409770426</v>
      </c>
      <c r="L2116">
        <v>0</v>
      </c>
      <c r="M2116">
        <v>1.7253261090560059E-3</v>
      </c>
      <c r="N2116">
        <v>0.15145819169531233</v>
      </c>
      <c r="O2116">
        <v>2.125519670314183E-2</v>
      </c>
      <c r="P2116">
        <v>2.790313508191905E-2</v>
      </c>
      <c r="Q2116">
        <v>5.4952486530773018E-3</v>
      </c>
      <c r="R2116">
        <v>1.702815575011437E-3</v>
      </c>
      <c r="S2116">
        <v>0.25644725939114899</v>
      </c>
      <c r="T2116">
        <v>1.3529995961026329</v>
      </c>
      <c r="U2116">
        <v>0.21439906633451963</v>
      </c>
      <c r="V2116">
        <v>0.23939759793963925</v>
      </c>
      <c r="W2116">
        <v>0.10021220587687824</v>
      </c>
      <c r="X2116">
        <v>1.5963651070640628E-2</v>
      </c>
      <c r="Y2116">
        <v>4.6345026621776907E-3</v>
      </c>
    </row>
    <row r="2117" spans="1:25" x14ac:dyDescent="0.2">
      <c r="A2117" s="1077"/>
      <c r="B2117" s="1444">
        <v>1867</v>
      </c>
      <c r="C2117" s="1081">
        <v>1.0072724061027718</v>
      </c>
      <c r="D2117" s="1081">
        <v>1.0331615407946448</v>
      </c>
      <c r="E2117" s="1081">
        <v>0.97422869879225182</v>
      </c>
      <c r="F2117" s="1081">
        <v>0.99207430920231177</v>
      </c>
      <c r="G2117" s="1081">
        <v>1.0040472273835883</v>
      </c>
      <c r="H2117" s="1081">
        <v>1.0152713517886738</v>
      </c>
      <c r="I2117" s="1081">
        <v>1.0289451421228155</v>
      </c>
      <c r="K2117">
        <v>2.3944730308393898</v>
      </c>
      <c r="L2117">
        <v>0</v>
      </c>
      <c r="M2117">
        <v>1.7330659930022356E-3</v>
      </c>
      <c r="N2117">
        <v>0.14592795836546615</v>
      </c>
      <c r="O2117">
        <v>2.0668262813784023E-2</v>
      </c>
      <c r="P2117">
        <v>2.7803224256387201E-2</v>
      </c>
      <c r="Q2117">
        <v>5.2691801222762829E-3</v>
      </c>
      <c r="R2117">
        <v>1.7105340218215932E-3</v>
      </c>
      <c r="S2117">
        <v>0.2610264824596184</v>
      </c>
      <c r="T2117">
        <v>1.3602159093084367</v>
      </c>
      <c r="U2117">
        <v>0.21035568243762018</v>
      </c>
      <c r="V2117">
        <v>0.24586606156052815</v>
      </c>
      <c r="W2117">
        <v>9.735971630511156E-2</v>
      </c>
      <c r="X2117">
        <v>1.5347575451331511E-2</v>
      </c>
      <c r="Y2117">
        <v>4.6555097300096278E-3</v>
      </c>
    </row>
    <row r="2118" spans="1:25" x14ac:dyDescent="0.2">
      <c r="A2118" s="1077"/>
      <c r="B2118" s="1444">
        <v>1868</v>
      </c>
      <c r="C2118" s="1081">
        <v>1.0376055502074499</v>
      </c>
      <c r="D2118" s="1081">
        <v>0.97009889734833521</v>
      </c>
      <c r="E2118" s="1081">
        <v>1.0145890231585106</v>
      </c>
      <c r="F2118" s="1081">
        <v>1.0076480433229087</v>
      </c>
      <c r="G2118" s="1081">
        <v>1.0150300140494741</v>
      </c>
      <c r="H2118" s="1081">
        <v>1.0082402952246243</v>
      </c>
      <c r="I2118" s="1081">
        <v>0.99767548447856724</v>
      </c>
      <c r="K2118">
        <v>2.4060961872007303</v>
      </c>
      <c r="L2118">
        <v>0</v>
      </c>
      <c r="M2118">
        <v>1.5581250733589598E-3</v>
      </c>
      <c r="N2118">
        <v>0.14820548926542665</v>
      </c>
      <c r="O2118">
        <v>2.0369953951904125E-2</v>
      </c>
      <c r="P2118">
        <v>2.8772453991384325E-2</v>
      </c>
      <c r="Q2118">
        <v>5.4088303603839882E-3</v>
      </c>
      <c r="R2118">
        <v>1.5377262797309575E-3</v>
      </c>
      <c r="S2118">
        <v>0.25328762454614129</v>
      </c>
      <c r="T2118">
        <v>1.3824473615787067</v>
      </c>
      <c r="U2118">
        <v>0.20433902833838583</v>
      </c>
      <c r="V2118">
        <v>0.24578303818125402</v>
      </c>
      <c r="W2118">
        <v>9.6525169298777622E-2</v>
      </c>
      <c r="X2118">
        <v>1.6792452459896193E-2</v>
      </c>
      <c r="Y2118">
        <v>4.1851840220957877E-3</v>
      </c>
    </row>
    <row r="2119" spans="1:25" x14ac:dyDescent="0.2">
      <c r="A2119" s="1077"/>
      <c r="B2119" s="1444">
        <v>1869</v>
      </c>
      <c r="C2119" s="1081">
        <v>1.0016576289259904</v>
      </c>
      <c r="D2119" s="1081">
        <v>0.96820998824578897</v>
      </c>
      <c r="E2119" s="1081">
        <v>1.0430509632187552</v>
      </c>
      <c r="F2119" s="1081">
        <v>1.0357395944284613</v>
      </c>
      <c r="G2119" s="1081">
        <v>0.99488960293951545</v>
      </c>
      <c r="H2119" s="1081">
        <v>1.0021287393063811</v>
      </c>
      <c r="I2119" s="1081">
        <v>1.0370590491844065</v>
      </c>
      <c r="K2119">
        <v>2.4873626748239581</v>
      </c>
      <c r="L2119">
        <v>0</v>
      </c>
      <c r="M2119">
        <v>1.5125451747843828E-3</v>
      </c>
      <c r="N2119">
        <v>0.15674769077880049</v>
      </c>
      <c r="O2119">
        <v>2.1129124655829515E-2</v>
      </c>
      <c r="P2119">
        <v>3.0284164192747549E-2</v>
      </c>
      <c r="Q2119">
        <v>5.7706408338832633E-3</v>
      </c>
      <c r="R2119">
        <v>1.4926223435648305E-3</v>
      </c>
      <c r="S2119">
        <v>0.27270708370471114</v>
      </c>
      <c r="T2119">
        <v>1.4216288456004089</v>
      </c>
      <c r="U2119">
        <v>0.21176998550254114</v>
      </c>
      <c r="V2119">
        <v>0.24440530299947544</v>
      </c>
      <c r="W2119">
        <v>0.10041426589219508</v>
      </c>
      <c r="X2119">
        <v>1.8463067518223731E-2</v>
      </c>
      <c r="Y2119">
        <v>4.0624259763601513E-3</v>
      </c>
    </row>
    <row r="2120" spans="1:25" x14ac:dyDescent="0.2">
      <c r="A2120" s="1077"/>
      <c r="B2120" s="1444">
        <v>1870</v>
      </c>
      <c r="C2120" s="1081">
        <v>1.0084326344570931</v>
      </c>
      <c r="D2120" s="1081">
        <v>0.97831636795496912</v>
      </c>
      <c r="E2120" s="1081">
        <v>0.99980295278775055</v>
      </c>
      <c r="F2120" s="1081">
        <v>1.0139948282754783</v>
      </c>
      <c r="G2120" s="1081">
        <v>1.0304496299232873</v>
      </c>
      <c r="H2120" s="1081">
        <v>0.99120871264649002</v>
      </c>
      <c r="I2120" s="1081">
        <v>1.0301433835544871</v>
      </c>
      <c r="K2120">
        <v>2.4381983653536765</v>
      </c>
      <c r="L2120">
        <v>0</v>
      </c>
      <c r="M2120">
        <v>1.6222500781020428E-3</v>
      </c>
      <c r="N2120">
        <v>0.14753336882404769</v>
      </c>
      <c r="O2120">
        <v>2.0910588264563035E-2</v>
      </c>
      <c r="P2120">
        <v>2.8892019624250257E-2</v>
      </c>
      <c r="Q2120">
        <v>5.4707945020148621E-3</v>
      </c>
      <c r="R2120">
        <v>1.6006468370622674E-3</v>
      </c>
      <c r="S2120">
        <v>0.26634361085365654</v>
      </c>
      <c r="T2120">
        <v>1.3908301248484554</v>
      </c>
      <c r="U2120">
        <v>0.21020017020129719</v>
      </c>
      <c r="V2120">
        <v>0.25021002627783001</v>
      </c>
      <c r="W2120">
        <v>9.6930746302121951E-2</v>
      </c>
      <c r="X2120">
        <v>1.6542085859083989E-2</v>
      </c>
      <c r="Y2120">
        <v>4.356433037395465E-3</v>
      </c>
    </row>
    <row r="2121" spans="1:25" x14ac:dyDescent="0.2">
      <c r="A2121" s="1077"/>
      <c r="B2121" s="1444">
        <v>1871</v>
      </c>
      <c r="C2121" s="1081">
        <v>0.97325245725998788</v>
      </c>
      <c r="D2121" s="1081">
        <v>1.0064359166378318</v>
      </c>
      <c r="E2121" s="1081">
        <v>0.9964753304730497</v>
      </c>
      <c r="F2121" s="1081">
        <v>0.99966463010779472</v>
      </c>
      <c r="G2121" s="1081">
        <v>1.0096138326923807</v>
      </c>
      <c r="H2121" s="1081">
        <v>1.0408947825940809</v>
      </c>
      <c r="I2121" s="1081">
        <v>1.0394482272491663</v>
      </c>
      <c r="K2121">
        <v>2.4580115782090721</v>
      </c>
      <c r="L2121">
        <v>0</v>
      </c>
      <c r="M2121">
        <v>1.7663235691768333E-3</v>
      </c>
      <c r="N2121">
        <v>0.15913131843260558</v>
      </c>
      <c r="O2121">
        <v>2.1529524714413866E-2</v>
      </c>
      <c r="P2121">
        <v>2.8809627991566753E-2</v>
      </c>
      <c r="Q2121">
        <v>5.6138970373635425E-3</v>
      </c>
      <c r="R2121">
        <v>1.743924516517418E-3</v>
      </c>
      <c r="S2121">
        <v>0.2790040942267828</v>
      </c>
      <c r="T2121">
        <v>1.3711024134044281</v>
      </c>
      <c r="U2121">
        <v>0.21778659643021353</v>
      </c>
      <c r="V2121">
        <v>0.248900345282727</v>
      </c>
      <c r="W2121">
        <v>0.10475798837247971</v>
      </c>
      <c r="X2121">
        <v>1.6651783719749357E-2</v>
      </c>
      <c r="Y2121">
        <v>4.7463876493980435E-3</v>
      </c>
    </row>
    <row r="2122" spans="1:25" x14ac:dyDescent="0.2">
      <c r="A2122" s="1077"/>
      <c r="B2122" s="1444">
        <v>1872</v>
      </c>
      <c r="C2122" s="1081">
        <v>1.0157170060495537</v>
      </c>
      <c r="D2122" s="1081">
        <v>1.0264719216249485</v>
      </c>
      <c r="E2122" s="1081">
        <v>0.97540966588802469</v>
      </c>
      <c r="F2122" s="1081">
        <v>1.0314838766765695</v>
      </c>
      <c r="G2122" s="1081">
        <v>0.99121575996451039</v>
      </c>
      <c r="H2122" s="1081">
        <v>1.0392790145126503</v>
      </c>
      <c r="I2122" s="1081">
        <v>0.9798448137606115</v>
      </c>
      <c r="K2122">
        <v>2.4372522295249528</v>
      </c>
      <c r="L2122">
        <v>0</v>
      </c>
      <c r="M2122">
        <v>1.757520231867576E-3</v>
      </c>
      <c r="N2122">
        <v>0.1485621871783625</v>
      </c>
      <c r="O2122">
        <v>2.0526505024897355E-2</v>
      </c>
      <c r="P2122">
        <v>2.8335167976230344E-2</v>
      </c>
      <c r="Q2122">
        <v>5.2393436289822843E-3</v>
      </c>
      <c r="R2122">
        <v>1.7351981655740244E-3</v>
      </c>
      <c r="S2122">
        <v>0.2492653261761168</v>
      </c>
      <c r="T2122">
        <v>1.414275893801219</v>
      </c>
      <c r="U2122">
        <v>0.20861075821562591</v>
      </c>
      <c r="V2122">
        <v>0.24315413024050125</v>
      </c>
      <c r="W2122">
        <v>9.904626644322545E-2</v>
      </c>
      <c r="X2122">
        <v>1.5536335507315044E-2</v>
      </c>
      <c r="Y2122">
        <v>4.7226373987709442E-3</v>
      </c>
    </row>
    <row r="2123" spans="1:25" x14ac:dyDescent="0.2">
      <c r="A2123" s="1077"/>
      <c r="B2123" s="1444">
        <v>1873</v>
      </c>
      <c r="C2123" s="1081">
        <v>0.99892255521245177</v>
      </c>
      <c r="D2123" s="1081">
        <v>1.0266681696726807</v>
      </c>
      <c r="E2123" s="1081">
        <v>1.0071915216779075</v>
      </c>
      <c r="F2123" s="1081">
        <v>1.0024735052721909</v>
      </c>
      <c r="G2123" s="1081">
        <v>1.0126390759832014</v>
      </c>
      <c r="H2123" s="1081">
        <v>1.0403146070542399</v>
      </c>
      <c r="I2123" s="1081">
        <v>0.98507179705012105</v>
      </c>
      <c r="K2123">
        <v>2.4243657211430891</v>
      </c>
      <c r="L2123">
        <v>0</v>
      </c>
      <c r="M2123">
        <v>1.6748025905640701E-3</v>
      </c>
      <c r="N2123">
        <v>0.15584924465849073</v>
      </c>
      <c r="O2123">
        <v>2.0891694964309381E-2</v>
      </c>
      <c r="P2123">
        <v>2.867635377066766E-2</v>
      </c>
      <c r="Q2123">
        <v>5.5065175817787543E-3</v>
      </c>
      <c r="R2123">
        <v>1.6535522866318148E-3</v>
      </c>
      <c r="S2123">
        <v>0.2551264407557492</v>
      </c>
      <c r="T2123">
        <v>1.3751873921351314</v>
      </c>
      <c r="U2123">
        <v>0.21222664350197842</v>
      </c>
      <c r="V2123">
        <v>0.24773070565960692</v>
      </c>
      <c r="W2123">
        <v>0.10194691974928172</v>
      </c>
      <c r="X2123">
        <v>1.6744634439176745E-2</v>
      </c>
      <c r="Y2123">
        <v>4.5004242308470093E-3</v>
      </c>
    </row>
    <row r="2124" spans="1:25" x14ac:dyDescent="0.2">
      <c r="A2124" s="1077"/>
      <c r="B2124" s="1444">
        <v>1874</v>
      </c>
      <c r="C2124" s="1081">
        <v>0.99585721329944921</v>
      </c>
      <c r="D2124" s="1081">
        <v>1.011484651188171</v>
      </c>
      <c r="E2124" s="1081">
        <v>0.99685492542211385</v>
      </c>
      <c r="F2124" s="1081">
        <v>0.99733006689238546</v>
      </c>
      <c r="G2124" s="1081">
        <v>0.97104971840816889</v>
      </c>
      <c r="H2124" s="1081">
        <v>1.0116621573385587</v>
      </c>
      <c r="I2124" s="1081">
        <v>0.95658001169329121</v>
      </c>
      <c r="K2124">
        <v>2.3953062824938192</v>
      </c>
      <c r="L2124">
        <v>0</v>
      </c>
      <c r="M2124">
        <v>1.6745861341353496E-3</v>
      </c>
      <c r="N2124">
        <v>0.15098363000248372</v>
      </c>
      <c r="O2124">
        <v>2.1017932453267437E-2</v>
      </c>
      <c r="P2124">
        <v>2.8174497093543728E-2</v>
      </c>
      <c r="Q2124">
        <v>5.4825930188531265E-3</v>
      </c>
      <c r="R2124">
        <v>1.6527368000957123E-3</v>
      </c>
      <c r="S2124">
        <v>0.2479314809919235</v>
      </c>
      <c r="T2124">
        <v>1.367908596835407</v>
      </c>
      <c r="U2124">
        <v>0.21284440597183754</v>
      </c>
      <c r="V2124">
        <v>0.24085764320262837</v>
      </c>
      <c r="W2124">
        <v>9.9371789814237568E-2</v>
      </c>
      <c r="X2124">
        <v>1.6257357698358135E-2</v>
      </c>
      <c r="Y2124">
        <v>4.4982047453208029E-3</v>
      </c>
    </row>
    <row r="2125" spans="1:25" x14ac:dyDescent="0.2">
      <c r="A2125" s="1077"/>
      <c r="B2125" s="1444">
        <v>1875</v>
      </c>
      <c r="C2125" s="1081">
        <v>1.0089255660911429</v>
      </c>
      <c r="D2125" s="1081">
        <v>1.0354022910907861</v>
      </c>
      <c r="E2125" s="1081">
        <v>1.0269289321567858</v>
      </c>
      <c r="F2125" s="1081">
        <v>0.97502676168824665</v>
      </c>
      <c r="G2125" s="1081">
        <v>1.0188547654123645</v>
      </c>
      <c r="H2125" s="1081">
        <v>0.99411849794158258</v>
      </c>
      <c r="I2125" s="1081">
        <v>0.97115484360644189</v>
      </c>
      <c r="K2125">
        <v>2.3631466901033131</v>
      </c>
      <c r="L2125">
        <v>0</v>
      </c>
      <c r="M2125">
        <v>1.5180051324799621E-3</v>
      </c>
      <c r="N2125">
        <v>0.14983727886323911</v>
      </c>
      <c r="O2125">
        <v>2.0658968443147765E-2</v>
      </c>
      <c r="P2125">
        <v>2.8403907985062E-2</v>
      </c>
      <c r="Q2125">
        <v>5.5532536032051657E-3</v>
      </c>
      <c r="R2125">
        <v>1.4978492738608926E-3</v>
      </c>
      <c r="S2125">
        <v>0.2443882729418653</v>
      </c>
      <c r="T2125">
        <v>1.3379537314192647</v>
      </c>
      <c r="U2125">
        <v>0.21018956326739066</v>
      </c>
      <c r="V2125">
        <v>0.24810120209596251</v>
      </c>
      <c r="W2125">
        <v>9.6886356722474712E-2</v>
      </c>
      <c r="X2125">
        <v>1.7117658662751837E-2</v>
      </c>
      <c r="Y2125">
        <v>4.0766519575689232E-3</v>
      </c>
    </row>
    <row r="2126" spans="1:25" x14ac:dyDescent="0.2">
      <c r="A2126" s="1077"/>
      <c r="B2126" s="1444">
        <v>1876</v>
      </c>
      <c r="C2126" s="1081">
        <v>0.9845512699284662</v>
      </c>
      <c r="D2126" s="1081">
        <v>0.99351530341488403</v>
      </c>
      <c r="E2126" s="1081">
        <v>0.99025207455411202</v>
      </c>
      <c r="F2126" s="1081">
        <v>0.98051051003036349</v>
      </c>
      <c r="G2126" s="1081">
        <v>1.0397336820353626</v>
      </c>
      <c r="H2126" s="1081">
        <v>1.0086742383626219</v>
      </c>
      <c r="I2126" s="1081">
        <v>0.98578995574894923</v>
      </c>
      <c r="K2126">
        <v>2.4017037701605433</v>
      </c>
      <c r="L2126">
        <v>0</v>
      </c>
      <c r="M2126">
        <v>1.7188443822689422E-3</v>
      </c>
      <c r="N2126">
        <v>0.15190575827643388</v>
      </c>
      <c r="O2126">
        <v>2.1338837489274416E-2</v>
      </c>
      <c r="P2126">
        <v>2.8092327952361315E-2</v>
      </c>
      <c r="Q2126">
        <v>5.5293492891865916E-3</v>
      </c>
      <c r="R2126">
        <v>1.6963511510072402E-3</v>
      </c>
      <c r="S2126">
        <v>0.26045107595633193</v>
      </c>
      <c r="T2126">
        <v>1.3446995454415409</v>
      </c>
      <c r="U2126">
        <v>0.21526567115667422</v>
      </c>
      <c r="V2126">
        <v>0.25333232468324635</v>
      </c>
      <c r="W2126">
        <v>0.10037383651592897</v>
      </c>
      <c r="X2126">
        <v>1.6120627999785826E-2</v>
      </c>
      <c r="Y2126">
        <v>4.6169086310350674E-3</v>
      </c>
    </row>
    <row r="2127" spans="1:25" x14ac:dyDescent="0.2">
      <c r="A2127" s="1077"/>
      <c r="B2127" s="1444">
        <v>1877</v>
      </c>
      <c r="C2127" s="1081">
        <v>1.0129271976621619</v>
      </c>
      <c r="D2127" s="1081">
        <v>0.98097484233491827</v>
      </c>
      <c r="E2127" s="1081">
        <v>0.99891304286895588</v>
      </c>
      <c r="F2127" s="1081">
        <v>1.0301862162554201</v>
      </c>
      <c r="G2127" s="1081">
        <v>1.0121206752973551</v>
      </c>
      <c r="H2127" s="1081">
        <v>0.97978482630507246</v>
      </c>
      <c r="I2127" s="1081">
        <v>1.0392935681610762</v>
      </c>
      <c r="K2127">
        <v>2.4516500429549275</v>
      </c>
      <c r="L2127">
        <v>0</v>
      </c>
      <c r="M2127">
        <v>1.5984328075833252E-3</v>
      </c>
      <c r="N2127">
        <v>0.14495419524823036</v>
      </c>
      <c r="O2127">
        <v>2.0804793394371839E-2</v>
      </c>
      <c r="P2127">
        <v>2.9113533101203463E-2</v>
      </c>
      <c r="Q2127">
        <v>5.4382470841585805E-3</v>
      </c>
      <c r="R2127">
        <v>1.5768985504831855E-3</v>
      </c>
      <c r="S2127">
        <v>0.26614247446961009</v>
      </c>
      <c r="T2127">
        <v>1.4130189629230676</v>
      </c>
      <c r="U2127">
        <v>0.20926446666114845</v>
      </c>
      <c r="V2127">
        <v>0.24680866925013442</v>
      </c>
      <c r="W2127">
        <v>9.5286616747251945E-2</v>
      </c>
      <c r="X2127">
        <v>1.6547820302901813E-2</v>
      </c>
      <c r="Y2127">
        <v>4.2917980299477694E-3</v>
      </c>
    </row>
    <row r="2128" spans="1:25" x14ac:dyDescent="0.2">
      <c r="A2128" s="1077"/>
      <c r="B2128" s="1444">
        <v>1878</v>
      </c>
      <c r="C2128" s="1081">
        <v>1.0196949497971519</v>
      </c>
      <c r="D2128" s="1081">
        <v>1.0151804083507818</v>
      </c>
      <c r="E2128" s="1081">
        <v>0.98629155917218736</v>
      </c>
      <c r="F2128" s="1081">
        <v>1.0031719824718346</v>
      </c>
      <c r="G2128" s="1081">
        <v>1.0316143033009579</v>
      </c>
      <c r="H2128" s="1081">
        <v>0.98808088701599062</v>
      </c>
      <c r="I2128" s="1081">
        <v>0.98950475489091105</v>
      </c>
      <c r="K2128">
        <v>2.3920509449770475</v>
      </c>
      <c r="L2128">
        <v>0</v>
      </c>
      <c r="M2128">
        <v>1.6313472534137256E-3</v>
      </c>
      <c r="N2128">
        <v>0.14241738118295358</v>
      </c>
      <c r="O2128">
        <v>2.050328281112793E-2</v>
      </c>
      <c r="P2128">
        <v>2.8110543670639004E-2</v>
      </c>
      <c r="Q2128">
        <v>5.2915932690301487E-3</v>
      </c>
      <c r="R2128">
        <v>1.6095540969985711E-3</v>
      </c>
      <c r="S2128">
        <v>0.24799238690268452</v>
      </c>
      <c r="T2128">
        <v>1.3756923977471351</v>
      </c>
      <c r="U2128">
        <v>0.20783331057767651</v>
      </c>
      <c r="V2128">
        <v>0.24977664074224645</v>
      </c>
      <c r="W2128">
        <v>9.4328101965401437E-2</v>
      </c>
      <c r="X2128">
        <v>1.5746423601901885E-2</v>
      </c>
      <c r="Y2128">
        <v>4.3806756626646329E-3</v>
      </c>
    </row>
    <row r="2129" spans="1:25" x14ac:dyDescent="0.2">
      <c r="A2129" s="1077"/>
      <c r="B2129" s="1444">
        <v>1879</v>
      </c>
      <c r="C2129" s="1081">
        <v>0.99295060373565702</v>
      </c>
      <c r="D2129" s="1081">
        <v>0.989845683470856</v>
      </c>
      <c r="E2129" s="1081">
        <v>1.0375154572657268</v>
      </c>
      <c r="F2129" s="1081">
        <v>0.99728306427172764</v>
      </c>
      <c r="G2129" s="1081">
        <v>0.9889695266246048</v>
      </c>
      <c r="H2129" s="1081">
        <v>0.98865008414539679</v>
      </c>
      <c r="I2129" s="1081">
        <v>1.0175598862536923</v>
      </c>
      <c r="K2129">
        <v>2.4239818792227528</v>
      </c>
      <c r="L2129">
        <v>0</v>
      </c>
      <c r="M2129">
        <v>1.5153908174447993E-3</v>
      </c>
      <c r="N2129">
        <v>0.15441757080653537</v>
      </c>
      <c r="O2129">
        <v>2.1207292760328414E-2</v>
      </c>
      <c r="P2129">
        <v>2.93432164186701E-2</v>
      </c>
      <c r="Q2129">
        <v>5.76055420223543E-3</v>
      </c>
      <c r="R2129">
        <v>1.4951583774032936E-3</v>
      </c>
      <c r="S2129">
        <v>0.26571402494325774</v>
      </c>
      <c r="T2129">
        <v>1.3687241048120502</v>
      </c>
      <c r="U2129">
        <v>0.21360779250659012</v>
      </c>
      <c r="V2129">
        <v>0.2439608054243137</v>
      </c>
      <c r="W2129">
        <v>9.9237374904523987E-2</v>
      </c>
      <c r="X2129">
        <v>1.7960046659821927E-2</v>
      </c>
      <c r="Y2129">
        <v>4.069328224465118E-3</v>
      </c>
    </row>
    <row r="2130" spans="1:25" x14ac:dyDescent="0.2">
      <c r="A2130" s="1077"/>
      <c r="B2130" s="1444">
        <v>1880</v>
      </c>
      <c r="C2130" s="1081">
        <v>1.0087209936689721</v>
      </c>
      <c r="D2130" s="1081">
        <v>0.9883348909024966</v>
      </c>
      <c r="E2130" s="1081">
        <v>0.9950135218260745</v>
      </c>
      <c r="F2130" s="1081">
        <v>1.0178839941285558</v>
      </c>
      <c r="G2130" s="1081">
        <v>0.997097463348107</v>
      </c>
      <c r="H2130" s="1081">
        <v>0.98547332452062575</v>
      </c>
      <c r="I2130" s="1081">
        <v>0.98969395286815842</v>
      </c>
      <c r="K2130">
        <v>2.4217919406878856</v>
      </c>
      <c r="L2130">
        <v>0</v>
      </c>
      <c r="M2130">
        <v>1.6248482508066145E-3</v>
      </c>
      <c r="N2130">
        <v>0.14563499747958925</v>
      </c>
      <c r="O2130">
        <v>2.0854648047224991E-2</v>
      </c>
      <c r="P2130">
        <v>2.8613422901463133E-2</v>
      </c>
      <c r="Q2130">
        <v>5.429917315578312E-3</v>
      </c>
      <c r="R2130">
        <v>1.6030844795537577E-3</v>
      </c>
      <c r="S2130">
        <v>0.25398422299516366</v>
      </c>
      <c r="T2130">
        <v>1.3960592538314556</v>
      </c>
      <c r="U2130">
        <v>0.21012385784597304</v>
      </c>
      <c r="V2130">
        <v>0.24451390413366672</v>
      </c>
      <c r="W2130">
        <v>9.5956817461146357E-2</v>
      </c>
      <c r="X2130">
        <v>1.6279594951187373E-2</v>
      </c>
      <c r="Y2130">
        <v>4.3630674966886693E-3</v>
      </c>
    </row>
    <row r="2131" spans="1:25" x14ac:dyDescent="0.2">
      <c r="A2131" s="1077"/>
      <c r="B2131" s="1444">
        <v>1881</v>
      </c>
      <c r="C2131" s="1081">
        <v>1.0066148523610114</v>
      </c>
      <c r="D2131" s="1081">
        <v>0.99384482201075985</v>
      </c>
      <c r="E2131" s="1081">
        <v>1.0165564488957277</v>
      </c>
      <c r="F2131" s="1081">
        <v>1.0308537724439715</v>
      </c>
      <c r="G2131" s="1081">
        <v>1.0145059188455245</v>
      </c>
      <c r="H2131" s="1081">
        <v>0.99753093728920694</v>
      </c>
      <c r="I2131" s="1081">
        <v>0.97413722772381162</v>
      </c>
      <c r="K2131">
        <v>2.4492447996787288</v>
      </c>
      <c r="L2131">
        <v>0</v>
      </c>
      <c r="M2131">
        <v>1.574151077139334E-3</v>
      </c>
      <c r="N2131">
        <v>0.15060002121365132</v>
      </c>
      <c r="O2131">
        <v>2.0886973114921891E-2</v>
      </c>
      <c r="P2131">
        <v>2.9333870864754051E-2</v>
      </c>
      <c r="Q2131">
        <v>5.5569991907180524E-3</v>
      </c>
      <c r="R2131">
        <v>1.5533212217172618E-3</v>
      </c>
      <c r="S2131">
        <v>0.2509798153563863</v>
      </c>
      <c r="T2131">
        <v>1.4143285682680966</v>
      </c>
      <c r="U2131">
        <v>0.21063672032681169</v>
      </c>
      <c r="V2131">
        <v>0.24753822745433068</v>
      </c>
      <c r="W2131">
        <v>9.797148199392805E-2</v>
      </c>
      <c r="X2131">
        <v>1.7205323437240676E-2</v>
      </c>
      <c r="Y2131">
        <v>4.2276283133112656E-3</v>
      </c>
    </row>
    <row r="2132" spans="1:25" x14ac:dyDescent="0.2">
      <c r="A2132" s="1077"/>
      <c r="B2132" s="1444">
        <v>1882</v>
      </c>
      <c r="C2132" s="1081">
        <v>0.97352246159327105</v>
      </c>
      <c r="D2132" s="1081">
        <v>1.0085918300040637</v>
      </c>
      <c r="E2132" s="1081">
        <v>1.017973234899483</v>
      </c>
      <c r="F2132" s="1081">
        <v>0.99201528514060755</v>
      </c>
      <c r="G2132" s="1081">
        <v>0.98596337408662305</v>
      </c>
      <c r="H2132" s="1081">
        <v>1.0025869318248171</v>
      </c>
      <c r="I2132" s="1081">
        <v>0.97398955245694063</v>
      </c>
      <c r="K2132">
        <v>2.4170919593789777</v>
      </c>
      <c r="L2132">
        <v>0</v>
      </c>
      <c r="M2132">
        <v>1.6258198289777852E-3</v>
      </c>
      <c r="N2132">
        <v>0.15622013655067091</v>
      </c>
      <c r="O2132">
        <v>2.152806791994432E-2</v>
      </c>
      <c r="P2132">
        <v>2.8785935751933334E-2</v>
      </c>
      <c r="Q2132">
        <v>5.7356481488848587E-3</v>
      </c>
      <c r="R2132">
        <v>1.6044147618124878E-3</v>
      </c>
      <c r="S2132">
        <v>0.2580059074411436</v>
      </c>
      <c r="T2132">
        <v>1.3610727710280921</v>
      </c>
      <c r="U2132">
        <v>0.21780176135428345</v>
      </c>
      <c r="V2132">
        <v>0.24476892391391142</v>
      </c>
      <c r="W2132">
        <v>0.10154321223772059</v>
      </c>
      <c r="X2132">
        <v>1.7284312013089508E-2</v>
      </c>
      <c r="Y2132">
        <v>4.3666880864695039E-3</v>
      </c>
    </row>
    <row r="2133" spans="1:25" x14ac:dyDescent="0.2">
      <c r="A2133" s="1077"/>
      <c r="B2133" s="1444">
        <v>1883</v>
      </c>
      <c r="C2133" s="1081">
        <v>0.96004934482049842</v>
      </c>
      <c r="D2133" s="1081">
        <v>0.96178829860160131</v>
      </c>
      <c r="E2133" s="1081">
        <v>1.0142642553313568</v>
      </c>
      <c r="F2133" s="1081">
        <v>0.98444059151765195</v>
      </c>
      <c r="G2133" s="1081">
        <v>0.9732204455723632</v>
      </c>
      <c r="H2133" s="1081">
        <v>1.0000486409940359</v>
      </c>
      <c r="I2133" s="1081">
        <v>1.0085768288194725</v>
      </c>
      <c r="K2133">
        <v>2.4335164227683124</v>
      </c>
      <c r="L2133">
        <v>0</v>
      </c>
      <c r="M2133">
        <v>1.6746088212949029E-3</v>
      </c>
      <c r="N2133">
        <v>0.15911183272073554</v>
      </c>
      <c r="O2133">
        <v>2.2056994971108506E-2</v>
      </c>
      <c r="P2133">
        <v>2.8852530317018933E-2</v>
      </c>
      <c r="Q2133">
        <v>5.8548936057569037E-3</v>
      </c>
      <c r="R2133">
        <v>1.6525054525485922E-3</v>
      </c>
      <c r="S2133">
        <v>0.2772024642117808</v>
      </c>
      <c r="T2133">
        <v>1.3506008568381547</v>
      </c>
      <c r="U2133">
        <v>0.22084510392721707</v>
      </c>
      <c r="V2133">
        <v>0.24350602766216395</v>
      </c>
      <c r="W2133">
        <v>0.10364817082694383</v>
      </c>
      <c r="X2133">
        <v>1.7362075962618965E-2</v>
      </c>
      <c r="Y2133">
        <v>4.4975750935612405E-3</v>
      </c>
    </row>
    <row r="2134" spans="1:25" x14ac:dyDescent="0.2">
      <c r="A2134" s="1077"/>
      <c r="B2134" s="1444">
        <v>1884</v>
      </c>
      <c r="C2134" s="1081">
        <v>0.98364330631076857</v>
      </c>
      <c r="D2134" s="1081">
        <v>0.99248881398752098</v>
      </c>
      <c r="E2134" s="1081">
        <v>1.0008751819576913</v>
      </c>
      <c r="F2134" s="1081">
        <v>0.98712591415441309</v>
      </c>
      <c r="G2134" s="1081">
        <v>0.98842761553389269</v>
      </c>
      <c r="H2134" s="1081">
        <v>1.023141446998699</v>
      </c>
      <c r="I2134" s="1081">
        <v>1.0125516075800254</v>
      </c>
      <c r="K2134">
        <v>2.4181226553161372</v>
      </c>
      <c r="L2134">
        <v>0</v>
      </c>
      <c r="M2134">
        <v>1.7074871993585741E-3</v>
      </c>
      <c r="N2134">
        <v>0.15585460802985462</v>
      </c>
      <c r="O2134">
        <v>2.1370566889679005E-2</v>
      </c>
      <c r="P2134">
        <v>2.8447778448316325E-2</v>
      </c>
      <c r="Q2134">
        <v>5.5971659172843764E-3</v>
      </c>
      <c r="R2134">
        <v>1.6854585435697959E-3</v>
      </c>
      <c r="S2134">
        <v>0.26926621062470907</v>
      </c>
      <c r="T2134">
        <v>1.3539986930994723</v>
      </c>
      <c r="U2134">
        <v>0.21550126490387272</v>
      </c>
      <c r="V2134">
        <v>0.24458934332994955</v>
      </c>
      <c r="W2134">
        <v>0.10233265778704996</v>
      </c>
      <c r="X2134">
        <v>1.659913239740202E-2</v>
      </c>
      <c r="Y2134">
        <v>4.5872625443374206E-3</v>
      </c>
    </row>
    <row r="2135" spans="1:25" x14ac:dyDescent="0.2">
      <c r="A2135" s="1077"/>
      <c r="B2135" s="1444">
        <v>1885</v>
      </c>
      <c r="C2135" s="1081">
        <v>0.98689474096229768</v>
      </c>
      <c r="D2135" s="1081">
        <v>1.0000902541895302</v>
      </c>
      <c r="E2135" s="1081">
        <v>0.96878955202813277</v>
      </c>
      <c r="F2135" s="1081">
        <v>0.97876451703185741</v>
      </c>
      <c r="G2135" s="1081">
        <v>1.0385714124421295</v>
      </c>
      <c r="H2135" s="1081">
        <v>0.98263064883352302</v>
      </c>
      <c r="I2135" s="1081">
        <v>1.0202063257914999</v>
      </c>
      <c r="K2135">
        <v>2.3903797794056336</v>
      </c>
      <c r="L2135">
        <v>0</v>
      </c>
      <c r="M2135">
        <v>1.7437555783641949E-3</v>
      </c>
      <c r="N2135">
        <v>0.14436678656203136</v>
      </c>
      <c r="O2135">
        <v>2.1242911451900572E-2</v>
      </c>
      <c r="P2135">
        <v>2.7656905551096154E-2</v>
      </c>
      <c r="Q2135">
        <v>5.3856831268711877E-3</v>
      </c>
      <c r="R2135">
        <v>1.720331553388724E-3</v>
      </c>
      <c r="S2135">
        <v>0.26554860736291469</v>
      </c>
      <c r="T2135">
        <v>1.3418526256195653</v>
      </c>
      <c r="U2135">
        <v>0.21468041055733611</v>
      </c>
      <c r="V2135">
        <v>0.2530656077439184</v>
      </c>
      <c r="W2135">
        <v>9.6637140524228768E-2</v>
      </c>
      <c r="X2135">
        <v>1.5284349549567675E-2</v>
      </c>
      <c r="Y2135">
        <v>4.6821753811799472E-3</v>
      </c>
    </row>
    <row r="2136" spans="1:25" x14ac:dyDescent="0.2">
      <c r="A2136" s="1077"/>
      <c r="B2136" s="1444">
        <v>1886</v>
      </c>
      <c r="C2136" s="1081">
        <v>0.96633226618259915</v>
      </c>
      <c r="D2136" s="1081">
        <v>0.99516765269694285</v>
      </c>
      <c r="E2136" s="1081">
        <v>1.0273518718918737</v>
      </c>
      <c r="F2136" s="1081">
        <v>0.99039081943801865</v>
      </c>
      <c r="G2136" s="1081">
        <v>0.99309509530936169</v>
      </c>
      <c r="H2136" s="1081">
        <v>1.0173810945047599</v>
      </c>
      <c r="I2136" s="1081">
        <v>1.0118284019269006</v>
      </c>
      <c r="K2136">
        <v>2.4433064594535212</v>
      </c>
      <c r="L2136">
        <v>0</v>
      </c>
      <c r="M2136">
        <v>1.6347661600224985E-3</v>
      </c>
      <c r="N2136">
        <v>0.16161799562235798</v>
      </c>
      <c r="O2136">
        <v>2.1758749769263088E-2</v>
      </c>
      <c r="P2136">
        <v>2.9213911472018263E-2</v>
      </c>
      <c r="Q2136">
        <v>5.8513314796790807E-3</v>
      </c>
      <c r="R2136">
        <v>1.6135562808495053E-3</v>
      </c>
      <c r="S2136">
        <v>0.27324107024601074</v>
      </c>
      <c r="T2136">
        <v>1.3590457458021405</v>
      </c>
      <c r="U2136">
        <v>0.21945565016429341</v>
      </c>
      <c r="V2136">
        <v>0.24643104439654934</v>
      </c>
      <c r="W2136">
        <v>0.10447818094973525</v>
      </c>
      <c r="X2136">
        <v>1.7842421142860609E-2</v>
      </c>
      <c r="Y2136">
        <v>4.3915682877873254E-3</v>
      </c>
    </row>
    <row r="2137" spans="1:25" x14ac:dyDescent="0.2">
      <c r="A2137" s="1077"/>
      <c r="B2137" s="1444">
        <v>1887</v>
      </c>
      <c r="C2137" s="1081">
        <v>1.0111911620568719</v>
      </c>
      <c r="D2137" s="1081">
        <v>0.98833965087919362</v>
      </c>
      <c r="E2137" s="1081">
        <v>0.98825123923634006</v>
      </c>
      <c r="F2137" s="1081">
        <v>0.99910742005305786</v>
      </c>
      <c r="G2137" s="1081">
        <v>1.0089656820606343</v>
      </c>
      <c r="H2137" s="1081">
        <v>1.0136168316866467</v>
      </c>
      <c r="I2137" s="1081">
        <v>1.0422732906417262</v>
      </c>
      <c r="K2137">
        <v>2.417216470610251</v>
      </c>
      <c r="L2137">
        <v>0</v>
      </c>
      <c r="M2137">
        <v>1.6906861508084044E-3</v>
      </c>
      <c r="N2137">
        <v>0.14852562474180248</v>
      </c>
      <c r="O2137">
        <v>2.0799237754263223E-2</v>
      </c>
      <c r="P2137">
        <v>2.8343002016394322E-2</v>
      </c>
      <c r="Q2137">
        <v>5.3786343015858615E-3</v>
      </c>
      <c r="R2137">
        <v>1.6686692898416197E-3</v>
      </c>
      <c r="S2137">
        <v>0.26923964177371335</v>
      </c>
      <c r="T2137">
        <v>1.3701607269339493</v>
      </c>
      <c r="U2137">
        <v>0.20958773198908184</v>
      </c>
      <c r="V2137">
        <v>0.24641465799877282</v>
      </c>
      <c r="W2137">
        <v>9.8258139903773481E-2</v>
      </c>
      <c r="X2137">
        <v>1.5989522327613599E-2</v>
      </c>
      <c r="Y2137">
        <v>4.5415677302653263E-3</v>
      </c>
    </row>
    <row r="2138" spans="1:25" x14ac:dyDescent="0.2">
      <c r="A2138" s="1077"/>
      <c r="B2138" s="1444">
        <v>1888</v>
      </c>
      <c r="C2138" s="1081">
        <v>1.0012456646722958</v>
      </c>
      <c r="D2138" s="1081">
        <v>1.0124492230268809</v>
      </c>
      <c r="E2138" s="1081">
        <v>0.99085988208189968</v>
      </c>
      <c r="F2138" s="1081">
        <v>0.99489333897273713</v>
      </c>
      <c r="G2138" s="1081">
        <v>1.009930935960903</v>
      </c>
      <c r="H2138" s="1081">
        <v>1.0133925919508029</v>
      </c>
      <c r="I2138" s="1081">
        <v>0.97075321098007616</v>
      </c>
      <c r="K2138">
        <v>2.3967948198507045</v>
      </c>
      <c r="L2138">
        <v>0</v>
      </c>
      <c r="M2138">
        <v>1.6889258753928803E-3</v>
      </c>
      <c r="N2138">
        <v>0.14954542619870587</v>
      </c>
      <c r="O2138">
        <v>2.0896476853680606E-2</v>
      </c>
      <c r="P2138">
        <v>2.8102151159184456E-2</v>
      </c>
      <c r="Q2138">
        <v>5.418050721054354E-3</v>
      </c>
      <c r="R2138">
        <v>1.6669270707725646E-3</v>
      </c>
      <c r="S2138">
        <v>0.25022698620897726</v>
      </c>
      <c r="T2138">
        <v>1.3644376129884312</v>
      </c>
      <c r="U2138">
        <v>0.21167848401678829</v>
      </c>
      <c r="V2138">
        <v>0.24718276300176362</v>
      </c>
      <c r="W2138">
        <v>9.8778257116788046E-2</v>
      </c>
      <c r="X2138">
        <v>1.6013784405668405E-2</v>
      </c>
      <c r="Y2138">
        <v>4.5368259842817225E-3</v>
      </c>
    </row>
    <row r="2139" spans="1:25" x14ac:dyDescent="0.2">
      <c r="A2139" s="1077"/>
      <c r="B2139" s="1444">
        <v>1889</v>
      </c>
      <c r="C2139" s="1081">
        <v>0.99064777338830279</v>
      </c>
      <c r="D2139" s="1081">
        <v>1.0171198424177561</v>
      </c>
      <c r="E2139" s="1081">
        <v>0.98026391384009759</v>
      </c>
      <c r="F2139" s="1081">
        <v>0.99076703563936097</v>
      </c>
      <c r="G2139" s="1081">
        <v>1.0165478919641715</v>
      </c>
      <c r="H2139" s="1081">
        <v>0.9894956220673069</v>
      </c>
      <c r="I2139" s="1081">
        <v>0.98361933058292683</v>
      </c>
      <c r="K2139">
        <v>2.3925553140044444</v>
      </c>
      <c r="L2139">
        <v>0</v>
      </c>
      <c r="M2139">
        <v>1.7019713928124822E-3</v>
      </c>
      <c r="N2139">
        <v>0.1459011316081299</v>
      </c>
      <c r="O2139">
        <v>2.1091595548750078E-2</v>
      </c>
      <c r="P2139">
        <v>2.7898728341423939E-2</v>
      </c>
      <c r="Q2139">
        <v>5.4102412726398782E-3</v>
      </c>
      <c r="R2139">
        <v>1.6792672767913846E-3</v>
      </c>
      <c r="S2139">
        <v>0.25357439119029584</v>
      </c>
      <c r="T2139">
        <v>1.3585522464943423</v>
      </c>
      <c r="U2139">
        <v>0.21390653079900457</v>
      </c>
      <c r="V2139">
        <v>0.24901888034986211</v>
      </c>
      <c r="W2139">
        <v>9.6986957345021635E-2</v>
      </c>
      <c r="X2139">
        <v>1.5666903213874726E-2</v>
      </c>
      <c r="Y2139">
        <v>4.5704119571171303E-3</v>
      </c>
    </row>
    <row r="2140" spans="1:25" x14ac:dyDescent="0.2">
      <c r="A2140" s="1077"/>
      <c r="B2140" s="1444">
        <v>1890</v>
      </c>
      <c r="C2140" s="1081">
        <v>0.98754215505485754</v>
      </c>
      <c r="D2140" s="1081">
        <v>0.96928553649892668</v>
      </c>
      <c r="E2140" s="1081">
        <v>1.0069034721719463</v>
      </c>
      <c r="F2140" s="1081">
        <v>0.96260511724501363</v>
      </c>
      <c r="G2140" s="1081">
        <v>0.97166270588946246</v>
      </c>
      <c r="H2140" s="1081">
        <v>0.99365525166715851</v>
      </c>
      <c r="I2140" s="1081">
        <v>0.97870809242468704</v>
      </c>
      <c r="K2140">
        <v>2.364473271258873</v>
      </c>
      <c r="L2140">
        <v>0</v>
      </c>
      <c r="M2140">
        <v>1.6397054906170619E-3</v>
      </c>
      <c r="N2140">
        <v>0.1523586148939565</v>
      </c>
      <c r="O2140">
        <v>2.1401348189726683E-2</v>
      </c>
      <c r="P2140">
        <v>2.7932671058880715E-2</v>
      </c>
      <c r="Q2140">
        <v>5.639222491804278E-3</v>
      </c>
      <c r="R2140">
        <v>1.6179235616663708E-3</v>
      </c>
      <c r="S2140">
        <v>0.25987701618966652</v>
      </c>
      <c r="T2140">
        <v>1.3204901611217517</v>
      </c>
      <c r="U2140">
        <v>0.21467133755044962</v>
      </c>
      <c r="V2140">
        <v>0.24145539794462079</v>
      </c>
      <c r="W2140">
        <v>9.9680535357834776E-2</v>
      </c>
      <c r="X2140">
        <v>1.6585293802633832E-2</v>
      </c>
      <c r="Y2140">
        <v>4.4034545864970994E-3</v>
      </c>
    </row>
    <row r="2141" spans="1:25" x14ac:dyDescent="0.2">
      <c r="A2141" s="1077"/>
      <c r="B2141" s="1444">
        <v>1891</v>
      </c>
      <c r="C2141" s="1081">
        <v>0.95603770837380952</v>
      </c>
      <c r="D2141" s="1081">
        <v>0.96209334548597125</v>
      </c>
      <c r="E2141" s="1081">
        <v>1.014206406734705</v>
      </c>
      <c r="F2141" s="1081">
        <v>0.98701728808438616</v>
      </c>
      <c r="G2141" s="1081">
        <v>1.0169849075288488</v>
      </c>
      <c r="H2141" s="1081">
        <v>0.97422480896308439</v>
      </c>
      <c r="I2141" s="1081">
        <v>1.0037457244474148</v>
      </c>
      <c r="K2141">
        <v>2.4375305822969979</v>
      </c>
      <c r="L2141">
        <v>0</v>
      </c>
      <c r="M2141">
        <v>1.6382942144673039E-3</v>
      </c>
      <c r="N2141">
        <v>0.15557907002938967</v>
      </c>
      <c r="O2141">
        <v>2.214796266929072E-2</v>
      </c>
      <c r="P2141">
        <v>2.8984496235480505E-2</v>
      </c>
      <c r="Q2141">
        <v>5.8787012533082234E-3</v>
      </c>
      <c r="R2141">
        <v>1.6160969768482282E-3</v>
      </c>
      <c r="S2141">
        <v>0.27466025678241029</v>
      </c>
      <c r="T2141">
        <v>1.3541347109732706</v>
      </c>
      <c r="U2141">
        <v>0.22177158631083432</v>
      </c>
      <c r="V2141">
        <v>0.25124973411240065</v>
      </c>
      <c r="W2141">
        <v>0.10135031443537552</v>
      </c>
      <c r="X2141">
        <v>1.7397463508102604E-2</v>
      </c>
      <c r="Y2141">
        <v>4.3984832247556385E-3</v>
      </c>
    </row>
    <row r="2142" spans="1:25" x14ac:dyDescent="0.2">
      <c r="A2142" s="1077"/>
      <c r="B2142" s="1444">
        <v>1892</v>
      </c>
      <c r="C2142" s="1081">
        <v>0.98365523471895266</v>
      </c>
      <c r="D2142" s="1081">
        <v>1.0256439225665477</v>
      </c>
      <c r="E2142" s="1081">
        <v>0.96290685154270339</v>
      </c>
      <c r="F2142" s="1081">
        <v>1.005787553872159</v>
      </c>
      <c r="G2142" s="1081">
        <v>1.0033577224523005</v>
      </c>
      <c r="H2142" s="1081">
        <v>0.97785121374731743</v>
      </c>
      <c r="I2142" s="1081">
        <v>0.99428805869483328</v>
      </c>
      <c r="K2142">
        <v>2.4098149456031335</v>
      </c>
      <c r="L2142">
        <v>0</v>
      </c>
      <c r="M2142">
        <v>1.7524924701121144E-3</v>
      </c>
      <c r="N2142">
        <v>0.14251837151410299</v>
      </c>
      <c r="O2142">
        <v>2.1190973181819242E-2</v>
      </c>
      <c r="P2142">
        <v>2.7826779929529949E-2</v>
      </c>
      <c r="Q2142">
        <v>5.3402350639416502E-3</v>
      </c>
      <c r="R2142">
        <v>1.7288360186421148E-3</v>
      </c>
      <c r="S2142">
        <v>0.25593890584610207</v>
      </c>
      <c r="T2142">
        <v>1.3787732305391438</v>
      </c>
      <c r="U2142">
        <v>0.21536709672917292</v>
      </c>
      <c r="V2142">
        <v>0.2472767380377161</v>
      </c>
      <c r="W2142">
        <v>9.5743152412312418E-2</v>
      </c>
      <c r="X2142">
        <v>1.5157797068656312E-2</v>
      </c>
      <c r="Y2142">
        <v>4.7053217321034596E-3</v>
      </c>
    </row>
    <row r="2143" spans="1:25" x14ac:dyDescent="0.2">
      <c r="A2143" s="1077"/>
      <c r="B2143" s="1444">
        <v>1893</v>
      </c>
      <c r="C2143" s="1081">
        <v>0.9857590615531503</v>
      </c>
      <c r="D2143" s="1081">
        <v>0.97033710021733732</v>
      </c>
      <c r="E2143" s="1081">
        <v>1.0079138388706039</v>
      </c>
      <c r="F2143" s="1081">
        <v>0.971519895911512</v>
      </c>
      <c r="G2143" s="1081">
        <v>0.9715399410932809</v>
      </c>
      <c r="H2143" s="1081">
        <v>0.99093185962120511</v>
      </c>
      <c r="I2143" s="1081">
        <v>1.0105124241165111</v>
      </c>
      <c r="K2143">
        <v>2.3861281532790302</v>
      </c>
      <c r="L2143">
        <v>0</v>
      </c>
      <c r="M2143">
        <v>1.6343457440986845E-3</v>
      </c>
      <c r="N2143">
        <v>0.15231897561525762</v>
      </c>
      <c r="O2143">
        <v>2.1435631825887636E-2</v>
      </c>
      <c r="P2143">
        <v>2.8245754832583382E-2</v>
      </c>
      <c r="Q2143">
        <v>5.6539719845323244E-3</v>
      </c>
      <c r="R2143">
        <v>1.6125753463803784E-3</v>
      </c>
      <c r="S2143">
        <v>0.26842962742381304</v>
      </c>
      <c r="T2143">
        <v>1.3327406091773077</v>
      </c>
      <c r="U2143">
        <v>0.21506315409362531</v>
      </c>
      <c r="V2143">
        <v>0.24154529413356204</v>
      </c>
      <c r="W2143">
        <v>9.9595124632548382E-2</v>
      </c>
      <c r="X2143">
        <v>1.6732881450101642E-2</v>
      </c>
      <c r="Y2143">
        <v>4.3888985075273218E-3</v>
      </c>
    </row>
    <row r="2144" spans="1:25" x14ac:dyDescent="0.2">
      <c r="A2144" s="1077"/>
      <c r="B2144" s="1444">
        <v>1894</v>
      </c>
      <c r="C2144" s="1081">
        <v>0.97516253395609886</v>
      </c>
      <c r="D2144" s="1081">
        <v>0.99602030409730891</v>
      </c>
      <c r="E2144" s="1081">
        <v>1.034117802514543</v>
      </c>
      <c r="F2144" s="1081">
        <v>1.01148409714923</v>
      </c>
      <c r="G2144" s="1081">
        <v>0.99845389970407039</v>
      </c>
      <c r="H2144" s="1081">
        <v>0.99871702913799809</v>
      </c>
      <c r="I2144" s="1081">
        <v>0.99145069158725108</v>
      </c>
      <c r="K2144">
        <v>2.4552687741250887</v>
      </c>
      <c r="L2144">
        <v>0</v>
      </c>
      <c r="M2144">
        <v>1.5676836160857007E-3</v>
      </c>
      <c r="N2144">
        <v>0.15814059268769387</v>
      </c>
      <c r="O2144">
        <v>2.1562288488720945E-2</v>
      </c>
      <c r="P2144">
        <v>2.9607148680148888E-2</v>
      </c>
      <c r="Q2144">
        <v>5.837402417607866E-3</v>
      </c>
      <c r="R2144">
        <v>1.5469639771597023E-3</v>
      </c>
      <c r="S2144">
        <v>0.26363979462962034</v>
      </c>
      <c r="T2144">
        <v>1.3881395111895076</v>
      </c>
      <c r="U2144">
        <v>0.21749226711908537</v>
      </c>
      <c r="V2144">
        <v>0.2467373011229054</v>
      </c>
      <c r="W2144">
        <v>0.10182972140995368</v>
      </c>
      <c r="X2144">
        <v>1.8093140029480207E-2</v>
      </c>
      <c r="Y2144">
        <v>4.2103259892906945E-3</v>
      </c>
    </row>
    <row r="2145" spans="1:25" x14ac:dyDescent="0.2">
      <c r="A2145" s="1077"/>
      <c r="B2145" s="1444">
        <v>1895</v>
      </c>
      <c r="C2145" s="1081">
        <v>0.95490179425613531</v>
      </c>
      <c r="D2145" s="1081">
        <v>1.0006819612285358</v>
      </c>
      <c r="E2145" s="1081">
        <v>1.0127445656496377</v>
      </c>
      <c r="F2145" s="1081">
        <v>1.0024031214156883</v>
      </c>
      <c r="G2145" s="1081">
        <v>1.0097981453930847</v>
      </c>
      <c r="H2145" s="1081">
        <v>0.99874552845518882</v>
      </c>
      <c r="I2145" s="1081">
        <v>1.0030495079779251</v>
      </c>
      <c r="K2145">
        <v>2.4590367132488984</v>
      </c>
      <c r="L2145">
        <v>0</v>
      </c>
      <c r="M2145">
        <v>1.6721150992632561E-3</v>
      </c>
      <c r="N2145">
        <v>0.15814508104528344</v>
      </c>
      <c r="O2145">
        <v>2.1982274931305789E-2</v>
      </c>
      <c r="P2145">
        <v>2.9188819988676049E-2</v>
      </c>
      <c r="Q2145">
        <v>5.8262191786127475E-3</v>
      </c>
      <c r="R2145">
        <v>1.6500158490528015E-3</v>
      </c>
      <c r="S2145">
        <v>0.27156509165105164</v>
      </c>
      <c r="T2145">
        <v>1.3752114702337397</v>
      </c>
      <c r="U2145">
        <v>0.22203015341475194</v>
      </c>
      <c r="V2145">
        <v>0.25010574428044124</v>
      </c>
      <c r="W2145">
        <v>0.10311051628597907</v>
      </c>
      <c r="X2145">
        <v>1.740264227572097E-2</v>
      </c>
      <c r="Y2145">
        <v>4.4907992135432692E-3</v>
      </c>
    </row>
    <row r="2146" spans="1:25" x14ac:dyDescent="0.2">
      <c r="A2146" s="1077"/>
      <c r="B2146" s="1444">
        <v>1896</v>
      </c>
      <c r="C2146" s="1081">
        <v>1.0277169243678574</v>
      </c>
      <c r="D2146" s="1081">
        <v>1.0177878538781329</v>
      </c>
      <c r="E2146" s="1081">
        <v>1.002931883474508</v>
      </c>
      <c r="F2146" s="1081">
        <v>1.0175515077523003</v>
      </c>
      <c r="G2146" s="1081">
        <v>1.0166461662503956</v>
      </c>
      <c r="H2146" s="1081">
        <v>0.98318664815487788</v>
      </c>
      <c r="I2146" s="1081">
        <v>1.0399670959278229</v>
      </c>
      <c r="K2146">
        <v>2.4181536732716022</v>
      </c>
      <c r="L2146">
        <v>0</v>
      </c>
      <c r="M2146">
        <v>1.555118812383699E-3</v>
      </c>
      <c r="N2146">
        <v>0.1427556321708931</v>
      </c>
      <c r="O2146">
        <v>2.0342459903639108E-2</v>
      </c>
      <c r="P2146">
        <v>2.8810728538687283E-2</v>
      </c>
      <c r="Q2146">
        <v>5.338908797484083E-3</v>
      </c>
      <c r="R2146">
        <v>1.5342405754709973E-3</v>
      </c>
      <c r="S2146">
        <v>0.25798976175879779</v>
      </c>
      <c r="T2146">
        <v>1.3957774686331001</v>
      </c>
      <c r="U2146">
        <v>0.20626634054200185</v>
      </c>
      <c r="V2146">
        <v>0.24668027493771089</v>
      </c>
      <c r="W2146">
        <v>9.361765912519289E-2</v>
      </c>
      <c r="X2146">
        <v>1.6419620016846232E-2</v>
      </c>
      <c r="Y2146">
        <v>4.1756970841622769E-3</v>
      </c>
    </row>
    <row r="2147" spans="1:25" x14ac:dyDescent="0.2">
      <c r="A2147" s="1077"/>
      <c r="B2147" s="1444">
        <v>1897</v>
      </c>
      <c r="C2147" s="1081">
        <v>1.0262031954882407</v>
      </c>
      <c r="D2147" s="1081">
        <v>1.0004113871136369</v>
      </c>
      <c r="E2147" s="1081">
        <v>0.96102811807615041</v>
      </c>
      <c r="F2147" s="1081">
        <v>1.0165392428701314</v>
      </c>
      <c r="G2147" s="1081">
        <v>0.97585086002648103</v>
      </c>
      <c r="H2147" s="1081">
        <v>0.99792769440207341</v>
      </c>
      <c r="I2147" s="1081">
        <v>0.9958295763573104</v>
      </c>
      <c r="K2147">
        <v>2.3971259578765767</v>
      </c>
      <c r="L2147">
        <v>0</v>
      </c>
      <c r="M2147">
        <v>1.7304306517790058E-3</v>
      </c>
      <c r="N2147">
        <v>0.13996403117952946</v>
      </c>
      <c r="O2147">
        <v>2.0422773926183316E-2</v>
      </c>
      <c r="P2147">
        <v>2.7692868654311639E-2</v>
      </c>
      <c r="Q2147">
        <v>5.1367273680910661E-3</v>
      </c>
      <c r="R2147">
        <v>1.7075419404216613E-3</v>
      </c>
      <c r="S2147">
        <v>0.25043485394926779</v>
      </c>
      <c r="T2147">
        <v>1.3934710946223834</v>
      </c>
      <c r="U2147">
        <v>0.20643142724417837</v>
      </c>
      <c r="V2147">
        <v>0.23995287157123726</v>
      </c>
      <c r="W2147">
        <v>9.4135426106773057E-2</v>
      </c>
      <c r="X2147">
        <v>1.4859405695200605E-2</v>
      </c>
      <c r="Y2147">
        <v>4.6473662707783824E-3</v>
      </c>
    </row>
    <row r="2148" spans="1:25" x14ac:dyDescent="0.2">
      <c r="A2148" s="1077"/>
      <c r="B2148" s="1444">
        <v>1898</v>
      </c>
      <c r="C2148" s="1081">
        <v>1.0260063742535164</v>
      </c>
      <c r="D2148" s="1081">
        <v>1.0238980229951895</v>
      </c>
      <c r="E2148" s="1081">
        <v>0.9959761064059538</v>
      </c>
      <c r="F2148" s="1081">
        <v>1.0075689676701514</v>
      </c>
      <c r="G2148" s="1081">
        <v>0.97579522633313887</v>
      </c>
      <c r="H2148" s="1081">
        <v>0.98511858441576039</v>
      </c>
      <c r="I2148" s="1081">
        <v>1.0140524232018253</v>
      </c>
      <c r="K2148">
        <v>2.3896490389425282</v>
      </c>
      <c r="L2148">
        <v>0</v>
      </c>
      <c r="M2148">
        <v>1.5813694128604258E-3</v>
      </c>
      <c r="N2148">
        <v>0.14215023407244634</v>
      </c>
      <c r="O2148">
        <v>2.0345085153979293E-2</v>
      </c>
      <c r="P2148">
        <v>2.8293968274096987E-2</v>
      </c>
      <c r="Q2148">
        <v>5.3023833556327489E-3</v>
      </c>
      <c r="R2148">
        <v>1.560180384582637E-3</v>
      </c>
      <c r="S2148">
        <v>0.25133415027509776</v>
      </c>
      <c r="T2148">
        <v>1.3819328347802604</v>
      </c>
      <c r="U2148">
        <v>0.20658705442987402</v>
      </c>
      <c r="V2148">
        <v>0.23983021852469613</v>
      </c>
      <c r="W2148">
        <v>9.3606997073016146E-2</v>
      </c>
      <c r="X2148">
        <v>1.6041005338194907E-2</v>
      </c>
      <c r="Y2148">
        <v>4.2462966935083854E-3</v>
      </c>
    </row>
    <row r="2149" spans="1:25" x14ac:dyDescent="0.2">
      <c r="A2149" s="1077"/>
      <c r="B2149" s="1444">
        <v>1899</v>
      </c>
      <c r="C2149" s="1081">
        <v>1.0328002806187062</v>
      </c>
      <c r="D2149" s="1081">
        <v>1.0112165397636819</v>
      </c>
      <c r="E2149" s="1081">
        <v>1.0149846878092699</v>
      </c>
      <c r="F2149" s="1081">
        <v>1.0217130837639288</v>
      </c>
      <c r="G2149" s="1081">
        <v>1.0356252858709472</v>
      </c>
      <c r="H2149" s="1081">
        <v>1.0179771781875344</v>
      </c>
      <c r="I2149" s="1081">
        <v>1.0259345149626327</v>
      </c>
      <c r="K2149">
        <v>2.435755498380749</v>
      </c>
      <c r="L2149">
        <v>0</v>
      </c>
      <c r="M2149">
        <v>1.5648359110902053E-3</v>
      </c>
      <c r="N2149">
        <v>0.14904055737764541</v>
      </c>
      <c r="O2149">
        <v>2.0278939358750015E-2</v>
      </c>
      <c r="P2149">
        <v>2.9165416201137197E-2</v>
      </c>
      <c r="Q2149">
        <v>5.3867878255335708E-3</v>
      </c>
      <c r="R2149">
        <v>1.5445452133838141E-3</v>
      </c>
      <c r="S2149">
        <v>0.25710931151960909</v>
      </c>
      <c r="T2149">
        <v>1.4017527273694768</v>
      </c>
      <c r="U2149">
        <v>0.20529106106540326</v>
      </c>
      <c r="V2149">
        <v>0.24957705081225556</v>
      </c>
      <c r="W2149">
        <v>9.7046483423786273E-2</v>
      </c>
      <c r="X2149">
        <v>1.692371121321851E-2</v>
      </c>
      <c r="Y2149">
        <v>4.2037429116379898E-3</v>
      </c>
    </row>
    <row r="2150" spans="1:25" x14ac:dyDescent="0.2">
      <c r="A2150" s="1077"/>
      <c r="B2150" s="1444">
        <v>1900</v>
      </c>
      <c r="C2150" s="1081">
        <v>1.0379388670972109</v>
      </c>
      <c r="D2150" s="1081">
        <v>1.0165641564164851</v>
      </c>
      <c r="E2150" s="1081">
        <v>1.0070356323810263</v>
      </c>
      <c r="F2150" s="1081">
        <v>1.0192140068963385</v>
      </c>
      <c r="G2150" s="1081">
        <v>1.0225110948616303</v>
      </c>
      <c r="H2150" s="1081">
        <v>0.96985768420841312</v>
      </c>
      <c r="I2150" s="1081">
        <v>1.0331866681154684</v>
      </c>
      <c r="K2150">
        <v>2.4086675730160687</v>
      </c>
      <c r="L2150">
        <v>0</v>
      </c>
      <c r="M2150">
        <v>1.506442427991981E-3</v>
      </c>
      <c r="N2150">
        <v>0.13998565472910715</v>
      </c>
      <c r="O2150">
        <v>2.0150069325117148E-2</v>
      </c>
      <c r="P2150">
        <v>2.8838162564780462E-2</v>
      </c>
      <c r="Q2150">
        <v>5.3102151002132059E-3</v>
      </c>
      <c r="R2150">
        <v>1.485939742670009E-3</v>
      </c>
      <c r="S2150">
        <v>0.25284442524580414</v>
      </c>
      <c r="T2150">
        <v>1.3981484747527553</v>
      </c>
      <c r="U2150">
        <v>0.20424849119430682</v>
      </c>
      <c r="V2150">
        <v>0.24706860321353671</v>
      </c>
      <c r="W2150">
        <v>9.1578379145909397E-2</v>
      </c>
      <c r="X2150">
        <v>1.6471362290215591E-2</v>
      </c>
      <c r="Y2150">
        <v>4.0442381396432392E-3</v>
      </c>
    </row>
    <row r="2151" spans="1:25" x14ac:dyDescent="0.2">
      <c r="A2151" s="1077"/>
      <c r="B2151" s="1444">
        <v>1901</v>
      </c>
      <c r="C2151" s="1081">
        <v>1.0119318822200223</v>
      </c>
      <c r="D2151" s="1081">
        <v>1.0025086217096204</v>
      </c>
      <c r="E2151" s="1081">
        <v>1.0144741062638647</v>
      </c>
      <c r="F2151" s="1081">
        <v>1.0187280603322415</v>
      </c>
      <c r="G2151" s="1081">
        <v>0.99331681343949141</v>
      </c>
      <c r="H2151" s="1081">
        <v>1.0088898602946352</v>
      </c>
      <c r="I2151" s="1081">
        <v>0.97496232052546694</v>
      </c>
      <c r="K2151">
        <v>2.4261868198404555</v>
      </c>
      <c r="L2151">
        <v>0</v>
      </c>
      <c r="M2151">
        <v>1.58754820869795E-3</v>
      </c>
      <c r="N2151">
        <v>0.15095308161366672</v>
      </c>
      <c r="O2151">
        <v>2.0736220863145537E-2</v>
      </c>
      <c r="P2151">
        <v>2.8971654775077883E-2</v>
      </c>
      <c r="Q2151">
        <v>5.5054542517694741E-3</v>
      </c>
      <c r="R2151">
        <v>1.5667775923765095E-3</v>
      </c>
      <c r="S2151">
        <v>0.24970217753334506</v>
      </c>
      <c r="T2151">
        <v>1.3976461025209888</v>
      </c>
      <c r="U2151">
        <v>0.20952291351080649</v>
      </c>
      <c r="V2151">
        <v>0.24360293985407974</v>
      </c>
      <c r="W2151">
        <v>9.8321295095725986E-2</v>
      </c>
      <c r="X2151">
        <v>1.6981498319815762E-2</v>
      </c>
      <c r="Y2151">
        <v>4.2642521183543424E-3</v>
      </c>
    </row>
    <row r="2152" spans="1:25" x14ac:dyDescent="0.2">
      <c r="A2152" s="1077"/>
      <c r="B2152" s="1444">
        <v>1902</v>
      </c>
      <c r="C2152" s="1081">
        <v>0.99650099138360237</v>
      </c>
      <c r="D2152" s="1081">
        <v>1.0003006764947027</v>
      </c>
      <c r="E2152" s="1081">
        <v>1.0254226494072922</v>
      </c>
      <c r="F2152" s="1081">
        <v>1.011540866402209</v>
      </c>
      <c r="G2152" s="1081">
        <v>1.0465955296528127</v>
      </c>
      <c r="H2152" s="1081">
        <v>0.98058895449770134</v>
      </c>
      <c r="I2152" s="1081">
        <v>1.0142572893798774</v>
      </c>
      <c r="K2152">
        <v>2.4419246179069409</v>
      </c>
      <c r="L2152">
        <v>0</v>
      </c>
      <c r="M2152">
        <v>1.5323611307560012E-3</v>
      </c>
      <c r="N2152">
        <v>0.15054090664071693</v>
      </c>
      <c r="O2152">
        <v>2.1074853000392857E-2</v>
      </c>
      <c r="P2152">
        <v>2.9422943244995062E-2</v>
      </c>
      <c r="Q2152">
        <v>5.6565977243588864E-3</v>
      </c>
      <c r="R2152">
        <v>1.5117339274673847E-3</v>
      </c>
      <c r="S2152">
        <v>0.26171909814589722</v>
      </c>
      <c r="T2152">
        <v>1.3880260873623742</v>
      </c>
      <c r="U2152">
        <v>0.2128050616055934</v>
      </c>
      <c r="V2152">
        <v>0.25361194784797325</v>
      </c>
      <c r="W2152">
        <v>9.7426734564920833E-2</v>
      </c>
      <c r="X2152">
        <v>1.7546573565392042E-2</v>
      </c>
      <c r="Y2152">
        <v>4.114441407610964E-3</v>
      </c>
    </row>
    <row r="2153" spans="1:25" x14ac:dyDescent="0.2">
      <c r="A2153" s="1077"/>
      <c r="B2153" s="1444">
        <v>1903</v>
      </c>
      <c r="C2153" s="1081">
        <v>0.97951316298921787</v>
      </c>
      <c r="D2153" s="1081">
        <v>1.0051569136641776</v>
      </c>
      <c r="E2153" s="1081">
        <v>0.99302024030051628</v>
      </c>
      <c r="F2153" s="1081">
        <v>0.99158677861199984</v>
      </c>
      <c r="G2153" s="1081">
        <v>0.98950096044783065</v>
      </c>
      <c r="H2153" s="1081">
        <v>0.99327970906867746</v>
      </c>
      <c r="I2153" s="1081">
        <v>0.96911138108507733</v>
      </c>
      <c r="K2153">
        <v>2.4013895141508561</v>
      </c>
      <c r="L2153">
        <v>0</v>
      </c>
      <c r="M2153">
        <v>1.6872589179842432E-3</v>
      </c>
      <c r="N2153">
        <v>0.15033651712370308</v>
      </c>
      <c r="O2153">
        <v>2.1395564491625108E-2</v>
      </c>
      <c r="P2153">
        <v>2.8181310032573167E-2</v>
      </c>
      <c r="Q2153">
        <v>5.5595681393271418E-3</v>
      </c>
      <c r="R2153">
        <v>1.6648368127266419E-3</v>
      </c>
      <c r="S2153">
        <v>0.25459495064071785</v>
      </c>
      <c r="T2153">
        <v>1.3599491160048571</v>
      </c>
      <c r="U2153">
        <v>0.21638253330561838</v>
      </c>
      <c r="V2153">
        <v>0.24506777279724054</v>
      </c>
      <c r="W2153">
        <v>9.9172557405464615E-2</v>
      </c>
      <c r="X2153">
        <v>1.6240909324054153E-2</v>
      </c>
      <c r="Y2153">
        <v>4.5311369909341002E-3</v>
      </c>
    </row>
    <row r="2154" spans="1:25" x14ac:dyDescent="0.2">
      <c r="A2154" s="1077"/>
      <c r="B2154" s="1444">
        <v>1904</v>
      </c>
      <c r="C2154" s="1081">
        <v>1.0397628778676959</v>
      </c>
      <c r="D2154" s="1081">
        <v>0.97863870150314214</v>
      </c>
      <c r="E2154" s="1081">
        <v>0.98564552118841953</v>
      </c>
      <c r="F2154" s="1081">
        <v>0.98607113529571522</v>
      </c>
      <c r="G2154" s="1081">
        <v>1.0132938010094128</v>
      </c>
      <c r="H2154" s="1081">
        <v>1.0004899922973127</v>
      </c>
      <c r="I2154" s="1081">
        <v>1.0217702644683204</v>
      </c>
      <c r="K2154">
        <v>2.3684933430253494</v>
      </c>
      <c r="L2154">
        <v>0</v>
      </c>
      <c r="M2154">
        <v>1.635256645690363E-3</v>
      </c>
      <c r="N2154">
        <v>0.14250394603182329</v>
      </c>
      <c r="O2154">
        <v>2.0269969276629003E-2</v>
      </c>
      <c r="P2154">
        <v>2.7787207939948058E-2</v>
      </c>
      <c r="Q2154">
        <v>5.2279559170218953E-3</v>
      </c>
      <c r="R2154">
        <v>1.6136822126132206E-3</v>
      </c>
      <c r="S2154">
        <v>0.25684053392200379</v>
      </c>
      <c r="T2154">
        <v>1.35222754035013</v>
      </c>
      <c r="U2154">
        <v>0.20381990773087658</v>
      </c>
      <c r="V2154">
        <v>0.24546852429717902</v>
      </c>
      <c r="W2154">
        <v>9.4422089470141107E-2</v>
      </c>
      <c r="X2154">
        <v>1.5555331490138087E-2</v>
      </c>
      <c r="Y2154">
        <v>4.391911032534764E-3</v>
      </c>
    </row>
    <row r="2155" spans="1:25" x14ac:dyDescent="0.2">
      <c r="A2155" s="1077"/>
      <c r="B2155" s="1444">
        <v>1905</v>
      </c>
      <c r="C2155" s="1081">
        <v>0.99592023098136151</v>
      </c>
      <c r="D2155" s="1081">
        <v>0.97351119580972112</v>
      </c>
      <c r="E2155" s="1081">
        <v>0.97765602091210613</v>
      </c>
      <c r="F2155" s="1081">
        <v>0.99293588562321167</v>
      </c>
      <c r="G2155" s="1081">
        <v>1.0075314001472448</v>
      </c>
      <c r="H2155" s="1081">
        <v>1.0176278356271913</v>
      </c>
      <c r="I2155" s="1081">
        <v>1.0057076799618612</v>
      </c>
      <c r="K2155">
        <v>2.4129387907333544</v>
      </c>
      <c r="L2155">
        <v>0</v>
      </c>
      <c r="M2155">
        <v>1.7674636864893716E-3</v>
      </c>
      <c r="N2155">
        <v>0.15038069683634789</v>
      </c>
      <c r="O2155">
        <v>2.1181430415691902E-2</v>
      </c>
      <c r="P2155">
        <v>2.8009701746681399E-2</v>
      </c>
      <c r="Q2155">
        <v>5.4188939461801717E-3</v>
      </c>
      <c r="R2155">
        <v>1.7445377154096653E-3</v>
      </c>
      <c r="S2155">
        <v>0.26604452081379226</v>
      </c>
      <c r="T2155">
        <v>1.3614704384078664</v>
      </c>
      <c r="U2155">
        <v>0.21276517702203257</v>
      </c>
      <c r="V2155">
        <v>0.24715457097064636</v>
      </c>
      <c r="W2155">
        <v>0.10012239235552287</v>
      </c>
      <c r="X2155">
        <v>1.5665837615031191E-2</v>
      </c>
      <c r="Y2155">
        <v>4.7480565746417826E-3</v>
      </c>
    </row>
    <row r="2156" spans="1:25" x14ac:dyDescent="0.2">
      <c r="A2156" s="1077"/>
      <c r="B2156" s="1444">
        <v>1906</v>
      </c>
      <c r="C2156" s="1081">
        <v>0.97643380594544738</v>
      </c>
      <c r="D2156" s="1081">
        <v>0.99112058580101625</v>
      </c>
      <c r="E2156" s="1081">
        <v>0.99590001366222436</v>
      </c>
      <c r="F2156" s="1081">
        <v>0.9835573044888799</v>
      </c>
      <c r="G2156" s="1081">
        <v>1.0449298794646624</v>
      </c>
      <c r="H2156" s="1081">
        <v>0.96504131896293821</v>
      </c>
      <c r="I2156" s="1081">
        <v>1.0382736140096704</v>
      </c>
      <c r="K2156">
        <v>2.4146209677995678</v>
      </c>
      <c r="L2156">
        <v>0</v>
      </c>
      <c r="M2156">
        <v>1.6397405385608287E-3</v>
      </c>
      <c r="N2156">
        <v>0.14732171994518528</v>
      </c>
      <c r="O2156">
        <v>2.1531503903323774E-2</v>
      </c>
      <c r="P2156">
        <v>2.8484738132666301E-2</v>
      </c>
      <c r="Q2156">
        <v>5.6111604032954418E-3</v>
      </c>
      <c r="R2156">
        <v>1.6173122857050899E-3</v>
      </c>
      <c r="S2156">
        <v>0.27302814847377627</v>
      </c>
      <c r="T2156">
        <v>1.3489979822408993</v>
      </c>
      <c r="U2156">
        <v>0.21707500647385547</v>
      </c>
      <c r="V2156">
        <v>0.25472522016012589</v>
      </c>
      <c r="W2156">
        <v>9.7016860993522983E-2</v>
      </c>
      <c r="X2156">
        <v>1.6449264430934533E-2</v>
      </c>
      <c r="Y2156">
        <v>4.4017908948375583E-3</v>
      </c>
    </row>
    <row r="2157" spans="1:25" x14ac:dyDescent="0.2">
      <c r="A2157" s="1077"/>
      <c r="B2157" s="1444">
        <v>1907</v>
      </c>
      <c r="C2157" s="1081">
        <v>1.0077573348598057</v>
      </c>
      <c r="D2157" s="1081">
        <v>1.0189854921654153</v>
      </c>
      <c r="E2157" s="1081">
        <v>0.95929798885946971</v>
      </c>
      <c r="F2157" s="1081">
        <v>1.0138172673414358</v>
      </c>
      <c r="G2157" s="1081">
        <v>0.98455783059928703</v>
      </c>
      <c r="H2157" s="1081">
        <v>1.0000736484311106</v>
      </c>
      <c r="I2157" s="1081">
        <v>0.98369749422605623</v>
      </c>
      <c r="K2157">
        <v>2.4030687387638947</v>
      </c>
      <c r="L2157">
        <v>0</v>
      </c>
      <c r="M2157">
        <v>1.7650441012995134E-3</v>
      </c>
      <c r="N2157">
        <v>0.14202131715373525</v>
      </c>
      <c r="O2157">
        <v>2.0711465309160348E-2</v>
      </c>
      <c r="P2157">
        <v>2.7681607932565338E-2</v>
      </c>
      <c r="Q2157">
        <v>5.2000845707374805E-3</v>
      </c>
      <c r="R2157">
        <v>1.7417476486745098E-3</v>
      </c>
      <c r="S2157">
        <v>0.24977013274719762</v>
      </c>
      <c r="T2157">
        <v>1.3897021950761432</v>
      </c>
      <c r="U2157">
        <v>0.21020409159300191</v>
      </c>
      <c r="V2157">
        <v>0.2425599461227731</v>
      </c>
      <c r="W2157">
        <v>9.5620518659851869E-2</v>
      </c>
      <c r="X2157">
        <v>1.4880213118614084E-2</v>
      </c>
      <c r="Y2157">
        <v>4.7404629327339404E-3</v>
      </c>
    </row>
    <row r="2158" spans="1:25" x14ac:dyDescent="0.2">
      <c r="A2158" s="1077"/>
      <c r="B2158" s="1444">
        <v>1908</v>
      </c>
      <c r="C2158" s="1081">
        <v>1.0121353797947239</v>
      </c>
      <c r="D2158" s="1081">
        <v>1.0110274387411211</v>
      </c>
      <c r="E2158" s="1081">
        <v>0.98074366444388228</v>
      </c>
      <c r="F2158" s="1081">
        <v>0.96738374691162088</v>
      </c>
      <c r="G2158" s="1081">
        <v>0.99136008145327148</v>
      </c>
      <c r="H2158" s="1081">
        <v>0.97540703539415752</v>
      </c>
      <c r="I2158" s="1081">
        <v>1.0183715585701751</v>
      </c>
      <c r="K2158">
        <v>2.3435882987601797</v>
      </c>
      <c r="L2158">
        <v>0</v>
      </c>
      <c r="M2158">
        <v>1.6426615094031528E-3</v>
      </c>
      <c r="N2158">
        <v>0.14099381061494926</v>
      </c>
      <c r="O2158">
        <v>2.0671438019346441E-2</v>
      </c>
      <c r="P2158">
        <v>2.7380664802638385E-2</v>
      </c>
      <c r="Q2158">
        <v>5.3050514264172642E-3</v>
      </c>
      <c r="R2158">
        <v>1.6204320748578562E-3</v>
      </c>
      <c r="S2158">
        <v>0.25653457720149986</v>
      </c>
      <c r="T2158">
        <v>1.3264987836975095</v>
      </c>
      <c r="U2158">
        <v>0.20936691616992287</v>
      </c>
      <c r="V2158">
        <v>0.24337669431663092</v>
      </c>
      <c r="W2158">
        <v>9.3697707413676959E-2</v>
      </c>
      <c r="X2158">
        <v>1.5374602599658786E-2</v>
      </c>
      <c r="Y2158">
        <v>4.410281932473171E-3</v>
      </c>
    </row>
    <row r="2159" spans="1:25" x14ac:dyDescent="0.2">
      <c r="A2159" s="1077"/>
      <c r="B2159" s="1444">
        <v>1909</v>
      </c>
      <c r="C2159" s="1081">
        <v>1.0057175330366688</v>
      </c>
      <c r="D2159" s="1081">
        <v>0.9664038612673741</v>
      </c>
      <c r="E2159" s="1081">
        <v>0.97652924471559543</v>
      </c>
      <c r="F2159" s="1081">
        <v>1.0051500378762364</v>
      </c>
      <c r="G2159" s="1081">
        <v>0.98219822508005827</v>
      </c>
      <c r="H2159" s="1081">
        <v>0.96452300760354237</v>
      </c>
      <c r="I2159" s="1081">
        <v>0.99656870113451645</v>
      </c>
      <c r="K2159">
        <v>2.3981297366378755</v>
      </c>
      <c r="L2159">
        <v>0</v>
      </c>
      <c r="M2159">
        <v>1.6654598104731259E-3</v>
      </c>
      <c r="N2159">
        <v>0.14111736905168698</v>
      </c>
      <c r="O2159">
        <v>2.1008183069850347E-2</v>
      </c>
      <c r="P2159">
        <v>2.8001442698062099E-2</v>
      </c>
      <c r="Q2159">
        <v>5.3684100010333467E-3</v>
      </c>
      <c r="R2159">
        <v>1.6426675298279606E-3</v>
      </c>
      <c r="S2159">
        <v>0.25750687454789778</v>
      </c>
      <c r="T2159">
        <v>1.378193572337526</v>
      </c>
      <c r="U2159">
        <v>0.21068868736121549</v>
      </c>
      <c r="V2159">
        <v>0.24221962019197446</v>
      </c>
      <c r="W2159">
        <v>9.4019028827532242E-2</v>
      </c>
      <c r="X2159">
        <v>1.5558541320757416E-2</v>
      </c>
      <c r="Y2159">
        <v>4.470799510986034E-3</v>
      </c>
    </row>
    <row r="2160" spans="1:25" x14ac:dyDescent="0.2">
      <c r="A2160" s="1077"/>
      <c r="B2160" s="1444">
        <v>1910</v>
      </c>
      <c r="C2160" s="1081">
        <v>0.99017304458263511</v>
      </c>
      <c r="D2160" s="1081">
        <v>1.0342729931071175</v>
      </c>
      <c r="E2160" s="1081">
        <v>0.99830120400725841</v>
      </c>
      <c r="F2160" s="1081">
        <v>0.97619563232194306</v>
      </c>
      <c r="G2160" s="1081">
        <v>0.96609544613738718</v>
      </c>
      <c r="H2160" s="1081">
        <v>1.0351833094868614</v>
      </c>
      <c r="I2160" s="1081">
        <v>1.0328760572933051</v>
      </c>
      <c r="K2160">
        <v>2.3939877482953698</v>
      </c>
      <c r="L2160">
        <v>0</v>
      </c>
      <c r="M2160">
        <v>1.7097953124723562E-3</v>
      </c>
      <c r="N2160">
        <v>0.15487985193662421</v>
      </c>
      <c r="O2160">
        <v>2.103619214541709E-2</v>
      </c>
      <c r="P2160">
        <v>2.8098829320704115E-2</v>
      </c>
      <c r="Q2160">
        <v>5.495349986687461E-3</v>
      </c>
      <c r="R2160">
        <v>1.6879934759238275E-3</v>
      </c>
      <c r="S2160">
        <v>0.26836298737278041</v>
      </c>
      <c r="T2160">
        <v>1.338951748726031</v>
      </c>
      <c r="U2160">
        <v>0.21407124743890274</v>
      </c>
      <c r="V2160">
        <v>0.24036622462883031</v>
      </c>
      <c r="W2160">
        <v>0.10184838454849096</v>
      </c>
      <c r="X2160">
        <v>1.6304572232881936E-2</v>
      </c>
      <c r="Y2160">
        <v>4.5941617945648699E-3</v>
      </c>
    </row>
    <row r="2161" spans="1:25" x14ac:dyDescent="0.2">
      <c r="A2161" s="1077"/>
      <c r="B2161" s="1444">
        <v>1911</v>
      </c>
      <c r="C2161" s="1081">
        <v>1.0059982689802196</v>
      </c>
      <c r="D2161" s="1081">
        <v>1.0196716487402109</v>
      </c>
      <c r="E2161" s="1081">
        <v>1.0065663012721209</v>
      </c>
      <c r="F2161" s="1081">
        <v>1.0044330292579295</v>
      </c>
      <c r="G2161" s="1081">
        <v>0.99723486917138005</v>
      </c>
      <c r="H2161" s="1081">
        <v>1.0104606849586988</v>
      </c>
      <c r="I2161" s="1081">
        <v>0.96807097647549267</v>
      </c>
      <c r="K2161">
        <v>2.4051368928591885</v>
      </c>
      <c r="L2161">
        <v>0</v>
      </c>
      <c r="M2161">
        <v>1.6198325230151066E-3</v>
      </c>
      <c r="N2161">
        <v>0.1503925516921851</v>
      </c>
      <c r="O2161">
        <v>2.0775573126828997E-2</v>
      </c>
      <c r="P2161">
        <v>2.8530744022184813E-2</v>
      </c>
      <c r="Q2161">
        <v>5.4724835841720885E-3</v>
      </c>
      <c r="R2161">
        <v>1.598672462165751E-3</v>
      </c>
      <c r="S2161">
        <v>0.24736385045307741</v>
      </c>
      <c r="T2161">
        <v>1.3778618548179349</v>
      </c>
      <c r="U2161">
        <v>0.21073181546644551</v>
      </c>
      <c r="V2161">
        <v>0.24466348864145621</v>
      </c>
      <c r="W2161">
        <v>9.8413854915189489E-2</v>
      </c>
      <c r="X2161">
        <v>1.6600776760782712E-2</v>
      </c>
      <c r="Y2161">
        <v>4.3510594397796563E-3</v>
      </c>
    </row>
    <row r="2162" spans="1:25" x14ac:dyDescent="0.2">
      <c r="A2162" s="1077"/>
      <c r="B2162" s="1444">
        <v>1912</v>
      </c>
      <c r="C2162" s="1081">
        <v>0.98151121423239196</v>
      </c>
      <c r="D2162" s="1081">
        <v>0.98678641100633524</v>
      </c>
      <c r="E2162" s="1081">
        <v>0.97090433635195261</v>
      </c>
      <c r="F2162" s="1081">
        <v>1.019699736303354</v>
      </c>
      <c r="G2162" s="1081">
        <v>0.99335121211326061</v>
      </c>
      <c r="H2162" s="1081">
        <v>0.99490768059799406</v>
      </c>
      <c r="I2162" s="1081">
        <v>1.0184701446225159</v>
      </c>
      <c r="K2162">
        <v>2.4511997549178894</v>
      </c>
      <c r="L2162">
        <v>0</v>
      </c>
      <c r="M2162">
        <v>1.7727077682798199E-3</v>
      </c>
      <c r="N2162">
        <v>0.1477313794609787</v>
      </c>
      <c r="O2162">
        <v>2.1423876996668454E-2</v>
      </c>
      <c r="P2162">
        <v>2.8420931067817217E-2</v>
      </c>
      <c r="Q2162">
        <v>5.4433169199915631E-3</v>
      </c>
      <c r="R2162">
        <v>1.7491886745627675E-3</v>
      </c>
      <c r="S2162">
        <v>0.26945703813130129</v>
      </c>
      <c r="T2162">
        <v>1.3980197557970413</v>
      </c>
      <c r="U2162">
        <v>0.2158652478338175</v>
      </c>
      <c r="V2162">
        <v>0.24567535763849926</v>
      </c>
      <c r="W2162">
        <v>9.876213586433108E-2</v>
      </c>
      <c r="X2162">
        <v>1.5663519348892367E-2</v>
      </c>
      <c r="Y2162">
        <v>4.7607149522682539E-3</v>
      </c>
    </row>
    <row r="2163" spans="1:25" x14ac:dyDescent="0.2">
      <c r="A2163" s="1077"/>
      <c r="B2163" s="1444">
        <v>1913</v>
      </c>
      <c r="C2163" s="1081">
        <v>1.021809788557541</v>
      </c>
      <c r="D2163" s="1081">
        <v>1.0129470581591984</v>
      </c>
      <c r="E2163" s="1081">
        <v>1.0010087559910146</v>
      </c>
      <c r="F2163" s="1081">
        <v>1.0091209466470179</v>
      </c>
      <c r="G2163" s="1081">
        <v>1.006779275873195</v>
      </c>
      <c r="H2163" s="1081">
        <v>1.0090178538890735</v>
      </c>
      <c r="I2163" s="1081">
        <v>0.98813063889568498</v>
      </c>
      <c r="K2163">
        <v>2.405179990677746</v>
      </c>
      <c r="L2163">
        <v>0</v>
      </c>
      <c r="M2163">
        <v>1.613312187172769E-3</v>
      </c>
      <c r="N2163">
        <v>0.14729106307820333</v>
      </c>
      <c r="O2163">
        <v>2.0480285749505441E-2</v>
      </c>
      <c r="P2163">
        <v>2.8489624999695127E-2</v>
      </c>
      <c r="Q2163">
        <v>5.3647122268137195E-3</v>
      </c>
      <c r="R2163">
        <v>1.592207166490608E-3</v>
      </c>
      <c r="S2163">
        <v>0.24924038167998649</v>
      </c>
      <c r="T2163">
        <v>1.3841712609175942</v>
      </c>
      <c r="U2163">
        <v>0.20745234167119231</v>
      </c>
      <c r="V2163">
        <v>0.24535340447382817</v>
      </c>
      <c r="W2163">
        <v>9.6702243672348184E-2</v>
      </c>
      <c r="X2163">
        <v>1.6322314193024771E-2</v>
      </c>
      <c r="Y2163">
        <v>4.3334630362360637E-3</v>
      </c>
    </row>
    <row r="2164" spans="1:25" x14ac:dyDescent="0.2">
      <c r="A2164" s="1077"/>
      <c r="B2164" s="1444">
        <v>1914</v>
      </c>
      <c r="C2164" s="1081">
        <v>0.98090330650017088</v>
      </c>
      <c r="D2164" s="1081">
        <v>1.0051121032792965</v>
      </c>
      <c r="E2164" s="1081">
        <v>0.99293754326919559</v>
      </c>
      <c r="F2164" s="1081">
        <v>1.0000745511145372</v>
      </c>
      <c r="G2164" s="1081">
        <v>0.99013916427270043</v>
      </c>
      <c r="H2164" s="1081">
        <v>0.99811575712145617</v>
      </c>
      <c r="I2164" s="1081">
        <v>0.97777060406745642</v>
      </c>
      <c r="K2164">
        <v>2.4161480288468584</v>
      </c>
      <c r="L2164">
        <v>0</v>
      </c>
      <c r="M2164">
        <v>1.6933776944491473E-3</v>
      </c>
      <c r="N2164">
        <v>0.15085383792426207</v>
      </c>
      <c r="O2164">
        <v>2.136539625910288E-2</v>
      </c>
      <c r="P2164">
        <v>2.8365212918191156E-2</v>
      </c>
      <c r="Q2164">
        <v>5.5512657532840078E-3</v>
      </c>
      <c r="R2164">
        <v>1.670983309386634E-3</v>
      </c>
      <c r="S2164">
        <v>0.25692034549602483</v>
      </c>
      <c r="T2164">
        <v>1.3715882058060442</v>
      </c>
      <c r="U2164">
        <v>0.2160755864979069</v>
      </c>
      <c r="V2164">
        <v>0.24508680967914045</v>
      </c>
      <c r="W2164">
        <v>9.951873713971604E-2</v>
      </c>
      <c r="X2164">
        <v>1.6297160029596261E-2</v>
      </c>
      <c r="Y2164">
        <v>4.5478657286505218E-3</v>
      </c>
    </row>
    <row r="2165" spans="1:25" x14ac:dyDescent="0.2">
      <c r="A2165" s="1077"/>
      <c r="B2165" s="1444">
        <v>1915</v>
      </c>
      <c r="C2165" s="1081">
        <v>0.98257330928478404</v>
      </c>
      <c r="D2165" s="1081">
        <v>0.97464862313213652</v>
      </c>
      <c r="E2165" s="1081">
        <v>1.0000048645562116</v>
      </c>
      <c r="F2165" s="1081">
        <v>0.98343740000251045</v>
      </c>
      <c r="G2165" s="1081">
        <v>0.99314678357244857</v>
      </c>
      <c r="H2165" s="1081">
        <v>1.0133947661416949</v>
      </c>
      <c r="I2165" s="1081">
        <v>0.9818698657587499</v>
      </c>
      <c r="K2165">
        <v>2.4063763417966464</v>
      </c>
      <c r="L2165">
        <v>0</v>
      </c>
      <c r="M2165">
        <v>1.702904375940887E-3</v>
      </c>
      <c r="N2165">
        <v>0.15500865653140022</v>
      </c>
      <c r="O2165">
        <v>2.1478790745842944E-2</v>
      </c>
      <c r="P2165">
        <v>2.8288793056037796E-2</v>
      </c>
      <c r="Q2165">
        <v>5.6205928431914279E-3</v>
      </c>
      <c r="R2165">
        <v>1.6807235444274702E-3</v>
      </c>
      <c r="S2165">
        <v>0.26293624410202138</v>
      </c>
      <c r="T2165">
        <v>1.3489208015456875</v>
      </c>
      <c r="U2165">
        <v>0.21573291231063579</v>
      </c>
      <c r="V2165">
        <v>0.24546737014129816</v>
      </c>
      <c r="W2165">
        <v>0.10182985557701865</v>
      </c>
      <c r="X2165">
        <v>1.6540130337461104E-2</v>
      </c>
      <c r="Y2165">
        <v>4.5743754375640556E-3</v>
      </c>
    </row>
    <row r="2166" spans="1:25" x14ac:dyDescent="0.2">
      <c r="A2166" s="1077"/>
      <c r="B2166" s="1444">
        <v>1916</v>
      </c>
      <c r="C2166" s="1081">
        <v>0.97931191143755536</v>
      </c>
      <c r="D2166" s="1081">
        <v>0.97187786608866922</v>
      </c>
      <c r="E2166" s="1081">
        <v>1.019927655820734</v>
      </c>
      <c r="F2166" s="1081">
        <v>0.99060119183912909</v>
      </c>
      <c r="G2166" s="1081">
        <v>0.96956475373140549</v>
      </c>
      <c r="H2166" s="1081">
        <v>1.0313314459618623</v>
      </c>
      <c r="I2166" s="1081">
        <v>0.95562327797922941</v>
      </c>
      <c r="K2166">
        <v>2.4202295228586967</v>
      </c>
      <c r="L2166">
        <v>0</v>
      </c>
      <c r="M2166">
        <v>1.6693623975121332E-3</v>
      </c>
      <c r="N2166">
        <v>0.16141262777845383</v>
      </c>
      <c r="O2166">
        <v>2.1577430448365895E-2</v>
      </c>
      <c r="P2166">
        <v>2.874993575941261E-2</v>
      </c>
      <c r="Q2166">
        <v>5.7599867411994368E-3</v>
      </c>
      <c r="R2166">
        <v>1.6479966257242566E-3</v>
      </c>
      <c r="S2166">
        <v>0.25878929964213554</v>
      </c>
      <c r="T2166">
        <v>1.3591746251768184</v>
      </c>
      <c r="U2166">
        <v>0.21652101276785612</v>
      </c>
      <c r="V2166">
        <v>0.24158437404694569</v>
      </c>
      <c r="W2166">
        <v>0.10479833742928292</v>
      </c>
      <c r="X2166">
        <v>1.7397955286734809E-2</v>
      </c>
      <c r="Y2166">
        <v>4.4853035532797618E-3</v>
      </c>
    </row>
    <row r="2167" spans="1:25" x14ac:dyDescent="0.2">
      <c r="A2167" s="1077"/>
      <c r="B2167" s="1444">
        <v>1917</v>
      </c>
      <c r="C2167" s="1081">
        <v>0.99245082129245765</v>
      </c>
      <c r="D2167" s="1081">
        <v>0.99033758184117826</v>
      </c>
      <c r="E2167" s="1081">
        <v>1.0124996045938466</v>
      </c>
      <c r="F2167" s="1081">
        <v>0.99131049834040719</v>
      </c>
      <c r="G2167" s="1081">
        <v>1.030109739753998</v>
      </c>
      <c r="H2167" s="1081">
        <v>1.0269970201943455</v>
      </c>
      <c r="I2167" s="1081">
        <v>1.0035034429674423</v>
      </c>
      <c r="K2167">
        <v>2.4261214064786616</v>
      </c>
      <c r="L2167">
        <v>0</v>
      </c>
      <c r="M2167">
        <v>1.6589914235105017E-3</v>
      </c>
      <c r="N2167">
        <v>0.15684566702133418</v>
      </c>
      <c r="O2167">
        <v>2.1198825399827308E-2</v>
      </c>
      <c r="P2167">
        <v>2.8784294598005151E-2</v>
      </c>
      <c r="Q2167">
        <v>5.6171987177512147E-3</v>
      </c>
      <c r="R2167">
        <v>1.6376687736333877E-3</v>
      </c>
      <c r="S2167">
        <v>0.26520869451352364</v>
      </c>
      <c r="T2167">
        <v>1.3599880735574772</v>
      </c>
      <c r="U2167">
        <v>0.21362887546913212</v>
      </c>
      <c r="V2167">
        <v>0.25110139905209183</v>
      </c>
      <c r="W2167">
        <v>0.10227804125309263</v>
      </c>
      <c r="X2167">
        <v>1.7034465001840474E-2</v>
      </c>
      <c r="Y2167">
        <v>4.4571945444639421E-3</v>
      </c>
    </row>
    <row r="2168" spans="1:25" x14ac:dyDescent="0.2">
      <c r="A2168" s="1077"/>
      <c r="B2168" s="1444">
        <v>1918</v>
      </c>
      <c r="C2168" s="1081">
        <v>0.9904206408315962</v>
      </c>
      <c r="D2168" s="1081">
        <v>0.97167105915029128</v>
      </c>
      <c r="E2168" s="1081">
        <v>1.002424479475144</v>
      </c>
      <c r="F2168" s="1081">
        <v>1.0215727542872253</v>
      </c>
      <c r="G2168" s="1081">
        <v>0.96976247418902417</v>
      </c>
      <c r="H2168" s="1081">
        <v>0.98158483762043802</v>
      </c>
      <c r="I2168" s="1081">
        <v>0.97650162169064358</v>
      </c>
      <c r="K2168">
        <v>2.437633067600963</v>
      </c>
      <c r="L2168">
        <v>0</v>
      </c>
      <c r="M2168">
        <v>1.6292844733116329E-3</v>
      </c>
      <c r="N2168">
        <v>0.14933146252931626</v>
      </c>
      <c r="O2168">
        <v>2.132458962388719E-2</v>
      </c>
      <c r="P2168">
        <v>2.8891836891746261E-2</v>
      </c>
      <c r="Q2168">
        <v>5.593820671922988E-3</v>
      </c>
      <c r="R2168">
        <v>1.6073748305751852E-3</v>
      </c>
      <c r="S2168">
        <v>0.25716123606658603</v>
      </c>
      <c r="T2168">
        <v>1.40128220361678</v>
      </c>
      <c r="U2168">
        <v>0.21403196299861205</v>
      </c>
      <c r="V2168">
        <v>0.24096259269396811</v>
      </c>
      <c r="W2168">
        <v>9.7959495432655683E-2</v>
      </c>
      <c r="X2168">
        <v>1.6741032300371796E-2</v>
      </c>
      <c r="Y2168">
        <v>4.3747444178551609E-3</v>
      </c>
    </row>
    <row r="2169" spans="1:25" x14ac:dyDescent="0.2">
      <c r="A2169" s="1077"/>
      <c r="B2169" s="1444">
        <v>1919</v>
      </c>
      <c r="C2169" s="1081">
        <v>1.0064599776919461</v>
      </c>
      <c r="D2169" s="1081">
        <v>0.99804373861376272</v>
      </c>
      <c r="E2169" s="1081">
        <v>0.97158674125014388</v>
      </c>
      <c r="F2169" s="1081">
        <v>0.97639552791310025</v>
      </c>
      <c r="G2169" s="1081">
        <v>1.0099272144982951</v>
      </c>
      <c r="H2169" s="1081">
        <v>0.97810190230461691</v>
      </c>
      <c r="I2169" s="1081">
        <v>1.0016266968420044</v>
      </c>
      <c r="K2169">
        <v>2.3606857075508665</v>
      </c>
      <c r="L2169">
        <v>0</v>
      </c>
      <c r="M2169">
        <v>1.6929395692422355E-3</v>
      </c>
      <c r="N2169">
        <v>0.14134289861732816</v>
      </c>
      <c r="O2169">
        <v>2.0841182124173262E-2</v>
      </c>
      <c r="P2169">
        <v>2.7402478766853991E-2</v>
      </c>
      <c r="Q2169">
        <v>5.298959498626429E-3</v>
      </c>
      <c r="R2169">
        <v>1.6700928644160192E-3</v>
      </c>
      <c r="S2169">
        <v>0.2555470144952689</v>
      </c>
      <c r="T2169">
        <v>1.33866352577324</v>
      </c>
      <c r="U2169">
        <v>0.21051655100911629</v>
      </c>
      <c r="V2169">
        <v>0.24693078521851783</v>
      </c>
      <c r="W2169">
        <v>9.445207750281176E-2</v>
      </c>
      <c r="X2169">
        <v>1.5167639018777251E-2</v>
      </c>
      <c r="Y2169">
        <v>4.5454422309756121E-3</v>
      </c>
    </row>
    <row r="2170" spans="1:25" x14ac:dyDescent="0.2">
      <c r="A2170" s="1077"/>
      <c r="B2170" s="1444">
        <v>1920</v>
      </c>
      <c r="C2170" s="1081">
        <v>1.0012778362089878</v>
      </c>
      <c r="D2170" s="1081">
        <v>0.99352957668758779</v>
      </c>
      <c r="E2170" s="1081">
        <v>1.0325894223134511</v>
      </c>
      <c r="F2170" s="1081">
        <v>0.99661013590355796</v>
      </c>
      <c r="G2170" s="1081">
        <v>1.0055526011971667</v>
      </c>
      <c r="H2170" s="1081">
        <v>0.98874545423226035</v>
      </c>
      <c r="I2170" s="1081">
        <v>1.0090689292764943</v>
      </c>
      <c r="K2170">
        <v>2.4146523369750517</v>
      </c>
      <c r="L2170">
        <v>0</v>
      </c>
      <c r="M2170">
        <v>1.517210805519023E-3</v>
      </c>
      <c r="N2170">
        <v>0.15232518699625339</v>
      </c>
      <c r="O2170">
        <v>2.101045260003586E-2</v>
      </c>
      <c r="P2170">
        <v>2.9163048483804983E-2</v>
      </c>
      <c r="Q2170">
        <v>5.6794349895944859E-3</v>
      </c>
      <c r="R2170">
        <v>1.4969560201445746E-3</v>
      </c>
      <c r="S2170">
        <v>0.2607850521330814</v>
      </c>
      <c r="T2170">
        <v>1.3676936424860167</v>
      </c>
      <c r="U2170">
        <v>0.2118143957003186</v>
      </c>
      <c r="V2170">
        <v>0.2462840154231592</v>
      </c>
      <c r="W2170">
        <v>9.817190125228753E-2</v>
      </c>
      <c r="X2170">
        <v>1.7671240880456532E-2</v>
      </c>
      <c r="Y2170">
        <v>4.0742208154141146E-3</v>
      </c>
    </row>
    <row r="2171" spans="1:25" x14ac:dyDescent="0.2">
      <c r="A2171" s="1077"/>
      <c r="B2171" s="1444">
        <v>1921</v>
      </c>
      <c r="C2171" s="1081">
        <v>1.0134317004167646</v>
      </c>
      <c r="D2171" s="1081">
        <v>1.0171504483749563</v>
      </c>
      <c r="E2171" s="1081">
        <v>0.99577650736767187</v>
      </c>
      <c r="F2171" s="1081">
        <v>1.0238560832413777</v>
      </c>
      <c r="G2171" s="1081">
        <v>1.006617924806559</v>
      </c>
      <c r="H2171" s="1081">
        <v>0.99479430854910811</v>
      </c>
      <c r="I2171" s="1081">
        <v>0.98795712123289237</v>
      </c>
      <c r="K2171">
        <v>2.4254467353111089</v>
      </c>
      <c r="L2171">
        <v>0</v>
      </c>
      <c r="M2171">
        <v>1.6197392842268836E-3</v>
      </c>
      <c r="N2171">
        <v>0.14553074478049077</v>
      </c>
      <c r="O2171">
        <v>2.0627380409714458E-2</v>
      </c>
      <c r="P2171">
        <v>2.8685625984186527E-2</v>
      </c>
      <c r="Q2171">
        <v>5.3748748506967925E-3</v>
      </c>
      <c r="R2171">
        <v>1.5982472243450344E-3</v>
      </c>
      <c r="S2171">
        <v>0.24952261676959653</v>
      </c>
      <c r="T2171">
        <v>1.4042670380021234</v>
      </c>
      <c r="U2171">
        <v>0.20914971651573988</v>
      </c>
      <c r="V2171">
        <v>0.24584967738842561</v>
      </c>
      <c r="W2171">
        <v>9.5844495287634598E-2</v>
      </c>
      <c r="X2171">
        <v>1.6266155299768371E-2</v>
      </c>
      <c r="Y2171">
        <v>4.3499020826112747E-3</v>
      </c>
    </row>
    <row r="2172" spans="1:25" x14ac:dyDescent="0.2">
      <c r="A2172" s="1077"/>
      <c r="B2172" s="1444">
        <v>1922</v>
      </c>
      <c r="C2172" s="1081">
        <v>1.0102413648262449</v>
      </c>
      <c r="D2172" s="1081">
        <v>0.96972573023343667</v>
      </c>
      <c r="E2172" s="1081">
        <v>0.99433750687997369</v>
      </c>
      <c r="F2172" s="1081">
        <v>1.002680363882799</v>
      </c>
      <c r="G2172" s="1081">
        <v>1.0078001129034371</v>
      </c>
      <c r="H2172" s="1081">
        <v>0.95706648932846361</v>
      </c>
      <c r="I2172" s="1081">
        <v>0.98776870516707005</v>
      </c>
      <c r="K2172">
        <v>2.3945191908759176</v>
      </c>
      <c r="L2172">
        <v>0</v>
      </c>
      <c r="M2172">
        <v>1.5844574925585506E-3</v>
      </c>
      <c r="N2172">
        <v>0.14166780220864203</v>
      </c>
      <c r="O2172">
        <v>2.0910077604173346E-2</v>
      </c>
      <c r="P2172">
        <v>2.8323538245696372E-2</v>
      </c>
      <c r="Q2172">
        <v>5.4406403040868096E-3</v>
      </c>
      <c r="R2172">
        <v>1.5626048128299594E-3</v>
      </c>
      <c r="S2172">
        <v>0.25316565288221643</v>
      </c>
      <c r="T2172">
        <v>1.3751923621936308</v>
      </c>
      <c r="U2172">
        <v>0.20980534476531823</v>
      </c>
      <c r="V2172">
        <v>0.24625125064957473</v>
      </c>
      <c r="W2172">
        <v>9.3380558780643136E-2</v>
      </c>
      <c r="X2172">
        <v>1.6150920733677184E-2</v>
      </c>
      <c r="Y2172">
        <v>4.2528951879850395E-3</v>
      </c>
    </row>
    <row r="2173" spans="1:25" x14ac:dyDescent="0.2">
      <c r="A2173" s="1077"/>
      <c r="B2173" s="1444">
        <v>1923</v>
      </c>
      <c r="C2173" s="1081">
        <v>1.0207106078091313</v>
      </c>
      <c r="D2173" s="1081">
        <v>0.97359441584254169</v>
      </c>
      <c r="E2173" s="1081">
        <v>0.97171106441738442</v>
      </c>
      <c r="F2173" s="1081">
        <v>0.99008949257266443</v>
      </c>
      <c r="G2173" s="1081">
        <v>0.99831625391712853</v>
      </c>
      <c r="H2173" s="1081">
        <v>1.0158720077593077</v>
      </c>
      <c r="I2173" s="1081">
        <v>1.0110317080986408</v>
      </c>
      <c r="K2173">
        <v>2.3862380118140831</v>
      </c>
      <c r="L2173">
        <v>0</v>
      </c>
      <c r="M2173">
        <v>1.7428036522160639E-3</v>
      </c>
      <c r="N2173">
        <v>0.14563484483615463</v>
      </c>
      <c r="O2173">
        <v>2.0662728126516629E-2</v>
      </c>
      <c r="P2173">
        <v>2.7648079242273724E-2</v>
      </c>
      <c r="Q2173">
        <v>5.2542537985709832E-3</v>
      </c>
      <c r="R2173">
        <v>1.7201584769555728E-3</v>
      </c>
      <c r="S2173">
        <v>0.26074839265806543</v>
      </c>
      <c r="T2173">
        <v>1.3574409520848101</v>
      </c>
      <c r="U2173">
        <v>0.20757784294617618</v>
      </c>
      <c r="V2173">
        <v>0.24408078957363988</v>
      </c>
      <c r="W2173">
        <v>9.7312806981716765E-2</v>
      </c>
      <c r="X2173">
        <v>1.5218262417232611E-2</v>
      </c>
      <c r="Y2173">
        <v>4.6817043241835386E-3</v>
      </c>
    </row>
    <row r="2174" spans="1:25" x14ac:dyDescent="0.2">
      <c r="A2174" s="1077"/>
      <c r="B2174" s="1444">
        <v>1924</v>
      </c>
      <c r="C2174" s="1081">
        <v>0.98184172531955394</v>
      </c>
      <c r="D2174" s="1081">
        <v>1.0192577873090853</v>
      </c>
      <c r="E2174" s="1081">
        <v>0.99180816741502842</v>
      </c>
      <c r="F2174" s="1081">
        <v>1.0009690202191921</v>
      </c>
      <c r="G2174" s="1081">
        <v>0.99344744033375376</v>
      </c>
      <c r="H2174" s="1081">
        <v>0.99139661470031082</v>
      </c>
      <c r="I2174" s="1081">
        <v>1.0097767802810225</v>
      </c>
      <c r="K2174">
        <v>2.4203374706018845</v>
      </c>
      <c r="L2174">
        <v>0</v>
      </c>
      <c r="M2174">
        <v>1.6791363761187814E-3</v>
      </c>
      <c r="N2174">
        <v>0.14906180242459485</v>
      </c>
      <c r="O2174">
        <v>2.1278689215634729E-2</v>
      </c>
      <c r="P2174">
        <v>2.8439088260943372E-2</v>
      </c>
      <c r="Q2174">
        <v>5.5224377407574526E-3</v>
      </c>
      <c r="R2174">
        <v>1.6567798275792694E-3</v>
      </c>
      <c r="S2174">
        <v>0.26263837357827607</v>
      </c>
      <c r="T2174">
        <v>1.3727905453994356</v>
      </c>
      <c r="U2174">
        <v>0.21586513994228579</v>
      </c>
      <c r="V2174">
        <v>0.24559511361654576</v>
      </c>
      <c r="W2174">
        <v>9.8402954579936558E-2</v>
      </c>
      <c r="X2174">
        <v>1.6256473858666465E-2</v>
      </c>
      <c r="Y2174">
        <v>4.509208533347393E-3</v>
      </c>
    </row>
    <row r="2175" spans="1:25" x14ac:dyDescent="0.2">
      <c r="A2175" s="1077"/>
      <c r="B2175" s="1444">
        <v>1925</v>
      </c>
      <c r="C2175" s="1081">
        <v>1.018318957803384</v>
      </c>
      <c r="D2175" s="1081">
        <v>1.0101034119448931</v>
      </c>
      <c r="E2175" s="1081">
        <v>0.96251768614687472</v>
      </c>
      <c r="F2175" s="1081">
        <v>0.99444162043834816</v>
      </c>
      <c r="G2175" s="1081">
        <v>1.0074200062771517</v>
      </c>
      <c r="H2175" s="1081">
        <v>1.023962772727266</v>
      </c>
      <c r="I2175" s="1081">
        <v>0.97836057629565676</v>
      </c>
      <c r="K2175">
        <v>2.3805473440762692</v>
      </c>
      <c r="L2175">
        <v>0</v>
      </c>
      <c r="M2175">
        <v>1.7800569770288325E-3</v>
      </c>
      <c r="N2175">
        <v>0.14467853377611081</v>
      </c>
      <c r="O2175">
        <v>2.0538249801419561E-2</v>
      </c>
      <c r="P2175">
        <v>2.7401799361865611E-2</v>
      </c>
      <c r="Q2175">
        <v>5.1736787186950489E-3</v>
      </c>
      <c r="R2175">
        <v>1.7571105033500193E-3</v>
      </c>
      <c r="S2175">
        <v>0.24888557997189459</v>
      </c>
      <c r="T2175">
        <v>1.3632114731536413</v>
      </c>
      <c r="U2175">
        <v>0.20803467160178779</v>
      </c>
      <c r="V2175">
        <v>0.24581476298395258</v>
      </c>
      <c r="W2175">
        <v>9.7217496805424422E-2</v>
      </c>
      <c r="X2175">
        <v>1.4831768816356913E-2</v>
      </c>
      <c r="Y2175">
        <v>4.7822755587969938E-3</v>
      </c>
    </row>
    <row r="2176" spans="1:25" x14ac:dyDescent="0.2">
      <c r="A2176" s="1077"/>
      <c r="B2176" s="1444">
        <v>1926</v>
      </c>
      <c r="C2176" s="1081">
        <v>1.0270383395826503</v>
      </c>
      <c r="D2176" s="1081">
        <v>0.9646652781738333</v>
      </c>
      <c r="E2176" s="1081">
        <v>1.0356235986494873</v>
      </c>
      <c r="F2176" s="1081">
        <v>1.0322418412443588</v>
      </c>
      <c r="G2176" s="1081">
        <v>0.96752916653579291</v>
      </c>
      <c r="H2176" s="1081">
        <v>1.0012642688438047</v>
      </c>
      <c r="I2176" s="1081">
        <v>1.0206224012461456</v>
      </c>
      <c r="K2176">
        <v>2.4507925554423649</v>
      </c>
      <c r="L2176">
        <v>0</v>
      </c>
      <c r="M2176">
        <v>1.4981230414394448E-3</v>
      </c>
      <c r="N2176">
        <v>0.15181613387698306</v>
      </c>
      <c r="O2176">
        <v>2.0618739416472489E-2</v>
      </c>
      <c r="P2176">
        <v>2.9744289809857213E-2</v>
      </c>
      <c r="Q2176">
        <v>5.5902564565612177E-3</v>
      </c>
      <c r="R2176">
        <v>1.4783731376732693E-3</v>
      </c>
      <c r="S2176">
        <v>0.26210202878881961</v>
      </c>
      <c r="T2176">
        <v>1.4166608472508884</v>
      </c>
      <c r="U2176">
        <v>0.2065117495572715</v>
      </c>
      <c r="V2176">
        <v>0.23822265887287819</v>
      </c>
      <c r="W2176">
        <v>9.7672197983467143E-2</v>
      </c>
      <c r="X2176">
        <v>1.7849758997757811E-2</v>
      </c>
      <c r="Y2176">
        <v>4.0236443351727843E-3</v>
      </c>
    </row>
    <row r="2177" spans="1:25" x14ac:dyDescent="0.2">
      <c r="A2177" s="1077"/>
      <c r="B2177" s="1444">
        <v>1927</v>
      </c>
      <c r="C2177" s="1081">
        <v>1.0226830300026455</v>
      </c>
      <c r="D2177" s="1081">
        <v>0.99541410598648339</v>
      </c>
      <c r="E2177" s="1081">
        <v>1.0212689233714392</v>
      </c>
      <c r="F2177" s="1081">
        <v>0.98912981010047651</v>
      </c>
      <c r="G2177" s="1081">
        <v>1.0222629758742212</v>
      </c>
      <c r="H2177" s="1081">
        <v>1.0101938043723666</v>
      </c>
      <c r="I2177" s="1081">
        <v>0.96532332777787766</v>
      </c>
      <c r="K2177">
        <v>2.382321185168109</v>
      </c>
      <c r="L2177">
        <v>0</v>
      </c>
      <c r="M2177">
        <v>1.5532404318892585E-3</v>
      </c>
      <c r="N2177">
        <v>0.15075264909329986</v>
      </c>
      <c r="O2177">
        <v>2.055473673844449E-2</v>
      </c>
      <c r="P2177">
        <v>2.8528456045927453E-2</v>
      </c>
      <c r="Q2177">
        <v>5.4943026732340201E-3</v>
      </c>
      <c r="R2177">
        <v>1.532944910872746E-3</v>
      </c>
      <c r="S2177">
        <v>0.24566261004355952</v>
      </c>
      <c r="T2177">
        <v>1.3571845959496627</v>
      </c>
      <c r="U2177">
        <v>0.20734303771157334</v>
      </c>
      <c r="V2177">
        <v>0.24787100610179547</v>
      </c>
      <c r="W2177">
        <v>9.7800528435122117E-2</v>
      </c>
      <c r="X2177">
        <v>1.6977387184265148E-2</v>
      </c>
      <c r="Y2177">
        <v>4.1721707122415559E-3</v>
      </c>
    </row>
    <row r="2178" spans="1:25" x14ac:dyDescent="0.2">
      <c r="A2178" s="1077"/>
      <c r="B2178" s="1444">
        <v>1928</v>
      </c>
      <c r="C2178" s="1081">
        <v>0.98727904087427654</v>
      </c>
      <c r="D2178" s="1081">
        <v>0.99631347562467343</v>
      </c>
      <c r="E2178" s="1081">
        <v>0.97382260784808838</v>
      </c>
      <c r="F2178" s="1081">
        <v>1.0099879688143683</v>
      </c>
      <c r="G2178" s="1081">
        <v>1.0118380039997497</v>
      </c>
      <c r="H2178" s="1081">
        <v>1.0203867001427323</v>
      </c>
      <c r="I2178" s="1081">
        <v>0.99357049837339895</v>
      </c>
      <c r="K2178">
        <v>2.4368697887773729</v>
      </c>
      <c r="L2178">
        <v>0</v>
      </c>
      <c r="M2178">
        <v>1.7928295385708909E-3</v>
      </c>
      <c r="N2178">
        <v>0.15078468521148175</v>
      </c>
      <c r="O2178">
        <v>2.1255695793795701E-2</v>
      </c>
      <c r="P2178">
        <v>2.8231459895718094E-2</v>
      </c>
      <c r="Q2178">
        <v>5.4166970046902237E-3</v>
      </c>
      <c r="R2178">
        <v>1.769637419713062E-3</v>
      </c>
      <c r="S2178">
        <v>0.2622802741489102</v>
      </c>
      <c r="T2178">
        <v>1.3847681949256043</v>
      </c>
      <c r="U2178">
        <v>0.21461419045542215</v>
      </c>
      <c r="V2178">
        <v>0.24845287651894066</v>
      </c>
      <c r="W2178">
        <v>0.10062479877688028</v>
      </c>
      <c r="X2178">
        <v>1.5647738469145852E-2</v>
      </c>
      <c r="Y2178">
        <v>4.8163696956403292E-3</v>
      </c>
    </row>
    <row r="2179" spans="1:25" x14ac:dyDescent="0.2">
      <c r="A2179" s="1077"/>
      <c r="B2179" s="1444">
        <v>1929</v>
      </c>
      <c r="C2179" s="1081">
        <v>0.97315284045133432</v>
      </c>
      <c r="D2179" s="1081">
        <v>1.0467009999328936</v>
      </c>
      <c r="E2179" s="1081">
        <v>1.0352633738402794</v>
      </c>
      <c r="F2179" s="1081">
        <v>1.012729479144505</v>
      </c>
      <c r="G2179" s="1081">
        <v>0.9710757708214367</v>
      </c>
      <c r="H2179" s="1081">
        <v>0.99725159702140875</v>
      </c>
      <c r="I2179" s="1081">
        <v>0.98553919520871214</v>
      </c>
      <c r="K2179">
        <v>2.4424088392559939</v>
      </c>
      <c r="L2179">
        <v>0</v>
      </c>
      <c r="M2179">
        <v>1.5478798480420464E-3</v>
      </c>
      <c r="N2179">
        <v>0.15667976871127223</v>
      </c>
      <c r="O2179">
        <v>2.1372957641649377E-2</v>
      </c>
      <c r="P2179">
        <v>2.9492829259512122E-2</v>
      </c>
      <c r="Q2179">
        <v>5.7926866060719678E-3</v>
      </c>
      <c r="R2179">
        <v>1.5273918877336645E-3</v>
      </c>
      <c r="S2179">
        <v>0.25607908891711328</v>
      </c>
      <c r="T2179">
        <v>1.3898739076985387</v>
      </c>
      <c r="U2179">
        <v>0.21794546312562835</v>
      </c>
      <c r="V2179">
        <v>0.24219476046661967</v>
      </c>
      <c r="W2179">
        <v>0.10082224884210964</v>
      </c>
      <c r="X2179">
        <v>1.8018558733974215E-2</v>
      </c>
      <c r="Y2179">
        <v>4.1570572138105626E-3</v>
      </c>
    </row>
    <row r="2180" spans="1:25" x14ac:dyDescent="0.2">
      <c r="A2180" s="1077"/>
      <c r="B2180" s="1444">
        <v>1930</v>
      </c>
      <c r="C2180" s="1081">
        <v>1.0068576377066842</v>
      </c>
      <c r="D2180" s="1081">
        <v>0.99293015275051322</v>
      </c>
      <c r="E2180" s="1081">
        <v>0.97645205689635561</v>
      </c>
      <c r="F2180" s="1081">
        <v>1.0187195681266048</v>
      </c>
      <c r="G2180" s="1081">
        <v>0.9660797890542242</v>
      </c>
      <c r="H2180" s="1081">
        <v>0.96138522098903534</v>
      </c>
      <c r="I2180" s="1081">
        <v>1.0256315180144668</v>
      </c>
      <c r="K2180">
        <v>2.4146166641551963</v>
      </c>
      <c r="L2180">
        <v>0</v>
      </c>
      <c r="M2180">
        <v>1.6485762085701103E-3</v>
      </c>
      <c r="N2180">
        <v>0.13964783944325149</v>
      </c>
      <c r="O2180">
        <v>2.0859705827806732E-2</v>
      </c>
      <c r="P2180">
        <v>2.825278818324618E-2</v>
      </c>
      <c r="Q2180">
        <v>5.3300492803159674E-3</v>
      </c>
      <c r="R2180">
        <v>1.6259413489782414E-3</v>
      </c>
      <c r="S2180">
        <v>0.26083587200901409</v>
      </c>
      <c r="T2180">
        <v>1.3967974996487216</v>
      </c>
      <c r="U2180">
        <v>0.21044985518464548</v>
      </c>
      <c r="V2180">
        <v>0.23939527812308314</v>
      </c>
      <c r="W2180">
        <v>9.3044307655395384E-2</v>
      </c>
      <c r="X2180">
        <v>1.5600827298809667E-2</v>
      </c>
      <c r="Y2180">
        <v>4.4252763604971336E-3</v>
      </c>
    </row>
    <row r="2181" spans="1:25" x14ac:dyDescent="0.2">
      <c r="A2181" s="1077"/>
      <c r="B2181" s="1444">
        <v>1931</v>
      </c>
      <c r="C2181" s="1081">
        <v>1.0055126921037398</v>
      </c>
      <c r="D2181" s="1081">
        <v>0.99627168103628672</v>
      </c>
      <c r="E2181" s="1081">
        <v>0.98898007497866447</v>
      </c>
      <c r="F2181" s="1081">
        <v>1.0388676556280427</v>
      </c>
      <c r="G2181" s="1081">
        <v>0.98546533766522204</v>
      </c>
      <c r="H2181" s="1081">
        <v>1.0203076304748866</v>
      </c>
      <c r="I2181" s="1081">
        <v>0.98187374473953204</v>
      </c>
      <c r="K2181">
        <v>2.458296016039343</v>
      </c>
      <c r="L2181">
        <v>0</v>
      </c>
      <c r="M2181">
        <v>1.705873683531699E-3</v>
      </c>
      <c r="N2181">
        <v>0.15020346124979472</v>
      </c>
      <c r="O2181">
        <v>2.0880427153516779E-2</v>
      </c>
      <c r="P2181">
        <v>2.8865175975561912E-2</v>
      </c>
      <c r="Q2181">
        <v>5.4036120262559266E-3</v>
      </c>
      <c r="R2181">
        <v>1.6838047191762959E-3</v>
      </c>
      <c r="S2181">
        <v>0.25461297054222398</v>
      </c>
      <c r="T2181">
        <v>1.4247036476417474</v>
      </c>
      <c r="U2181">
        <v>0.21077381792360664</v>
      </c>
      <c r="V2181">
        <v>0.24274594817484182</v>
      </c>
      <c r="W2181">
        <v>9.9324700225779522E-2</v>
      </c>
      <c r="X2181">
        <v>1.6221562710845322E-2</v>
      </c>
      <c r="Y2181">
        <v>4.582761379521379E-3</v>
      </c>
    </row>
    <row r="2182" spans="1:25" x14ac:dyDescent="0.2">
      <c r="A2182" s="1077"/>
      <c r="B2182" s="1444">
        <v>1932</v>
      </c>
      <c r="C2182" s="1081">
        <v>1.0289075531015788</v>
      </c>
      <c r="D2182" s="1081">
        <v>1.0264326228497376</v>
      </c>
      <c r="E2182" s="1081">
        <v>1.0124420531314189</v>
      </c>
      <c r="F2182" s="1081">
        <v>0.99329577554499104</v>
      </c>
      <c r="G2182" s="1081">
        <v>0.96456414793261869</v>
      </c>
      <c r="H2182" s="1081">
        <v>1.0141286907748146</v>
      </c>
      <c r="I2182" s="1081">
        <v>0.98690421971311504</v>
      </c>
      <c r="K2182">
        <v>2.3720298747288004</v>
      </c>
      <c r="L2182">
        <v>0</v>
      </c>
      <c r="M2182">
        <v>1.5679500790213709E-3</v>
      </c>
      <c r="N2182">
        <v>0.14818812907176407</v>
      </c>
      <c r="O2182">
        <v>2.0287253936489998E-2</v>
      </c>
      <c r="P2182">
        <v>2.826832326115214E-2</v>
      </c>
      <c r="Q2182">
        <v>5.3753445162979694E-3</v>
      </c>
      <c r="R2182">
        <v>1.547541847137646E-3</v>
      </c>
      <c r="S2182">
        <v>0.24609635240095604</v>
      </c>
      <c r="T2182">
        <v>1.3627104543259383</v>
      </c>
      <c r="U2182">
        <v>0.2060592860547627</v>
      </c>
      <c r="V2182">
        <v>0.2376841754746559</v>
      </c>
      <c r="W2182">
        <v>9.6635790029268115E-2</v>
      </c>
      <c r="X2182">
        <v>1.6533275128522894E-2</v>
      </c>
      <c r="Y2182">
        <v>4.2118987608758679E-3</v>
      </c>
    </row>
    <row r="2183" spans="1:25" x14ac:dyDescent="0.2">
      <c r="A2183" s="1077"/>
      <c r="B2183" s="1444">
        <v>1933</v>
      </c>
      <c r="C2183" s="1081">
        <v>0.99546932683987643</v>
      </c>
      <c r="D2183" s="1081">
        <v>0.96112306837433825</v>
      </c>
      <c r="E2183" s="1081">
        <v>0.98170686468552715</v>
      </c>
      <c r="F2183" s="1081">
        <v>1.0349929732862992</v>
      </c>
      <c r="G2183" s="1081">
        <v>0.98658297434334929</v>
      </c>
      <c r="H2183" s="1081">
        <v>1.0179916715255346</v>
      </c>
      <c r="I2183" s="1081">
        <v>0.97161468243157667</v>
      </c>
      <c r="K2183">
        <v>2.462912863197841</v>
      </c>
      <c r="L2183">
        <v>0</v>
      </c>
      <c r="M2183">
        <v>1.7590916329753392E-3</v>
      </c>
      <c r="N2183">
        <v>0.15151482925355306</v>
      </c>
      <c r="O2183">
        <v>2.1253530243557448E-2</v>
      </c>
      <c r="P2183">
        <v>2.8730272804968038E-2</v>
      </c>
      <c r="Q2183">
        <v>5.459776542462041E-3</v>
      </c>
      <c r="R2183">
        <v>1.7362824118046945E-3</v>
      </c>
      <c r="S2183">
        <v>0.25886889126220647</v>
      </c>
      <c r="T2183">
        <v>1.4192275837290931</v>
      </c>
      <c r="U2183">
        <v>0.21287541466656623</v>
      </c>
      <c r="V2183">
        <v>0.24358875350897694</v>
      </c>
      <c r="W2183">
        <v>0.10063098309256358</v>
      </c>
      <c r="X2183">
        <v>1.6060048955475172E-2</v>
      </c>
      <c r="Y2183">
        <v>4.7255883595891538E-3</v>
      </c>
    </row>
    <row r="2184" spans="1:25" x14ac:dyDescent="0.2">
      <c r="A2184" s="1077"/>
      <c r="B2184" s="1444">
        <v>1934</v>
      </c>
      <c r="C2184" s="1081">
        <v>1.0279844856552951</v>
      </c>
      <c r="D2184" s="1081">
        <v>1.023864211196077</v>
      </c>
      <c r="E2184" s="1081">
        <v>0.98645144571610222</v>
      </c>
      <c r="F2184" s="1081">
        <v>0.98364477141387274</v>
      </c>
      <c r="G2184" s="1081">
        <v>1.0177857392346878</v>
      </c>
      <c r="H2184" s="1081">
        <v>0.97902766923110141</v>
      </c>
      <c r="I2184" s="1081">
        <v>0.97421577000395465</v>
      </c>
      <c r="K2184">
        <v>2.3475889633732105</v>
      </c>
      <c r="L2184">
        <v>0</v>
      </c>
      <c r="M2184">
        <v>1.5998344846865746E-3</v>
      </c>
      <c r="N2184">
        <v>0.13971635623917669</v>
      </c>
      <c r="O2184">
        <v>2.0299974517234694E-2</v>
      </c>
      <c r="P2184">
        <v>2.7589008389348382E-2</v>
      </c>
      <c r="Q2184">
        <v>5.2399708722809749E-3</v>
      </c>
      <c r="R2184">
        <v>1.5782646753488736E-3</v>
      </c>
      <c r="S2184">
        <v>0.24043914851272624</v>
      </c>
      <c r="T2184">
        <v>1.3489172948873118</v>
      </c>
      <c r="U2184">
        <v>0.20615789974960846</v>
      </c>
      <c r="V2184">
        <v>0.24692030136328416</v>
      </c>
      <c r="W2184">
        <v>9.2530228361181729E-2</v>
      </c>
      <c r="X2184">
        <v>1.5504834118907306E-2</v>
      </c>
      <c r="Y2184">
        <v>4.2955161714892309E-3</v>
      </c>
    </row>
    <row r="2185" spans="1:25" x14ac:dyDescent="0.2">
      <c r="A2185" s="1077"/>
      <c r="B2185" s="1444">
        <v>1935</v>
      </c>
      <c r="C2185" s="1081">
        <v>1.0136860402382974</v>
      </c>
      <c r="D2185" s="1081">
        <v>1.0276903945384486</v>
      </c>
      <c r="E2185" s="1081">
        <v>1.0120404965472802</v>
      </c>
      <c r="F2185" s="1081">
        <v>0.96625961723990839</v>
      </c>
      <c r="G2185" s="1081">
        <v>0.99045091121840001</v>
      </c>
      <c r="H2185" s="1081">
        <v>0.95949186909948969</v>
      </c>
      <c r="I2185" s="1081">
        <v>0.98637637039450654</v>
      </c>
      <c r="K2185">
        <v>2.3319042166526609</v>
      </c>
      <c r="L2185">
        <v>0</v>
      </c>
      <c r="M2185">
        <v>1.5066028031265688E-3</v>
      </c>
      <c r="N2185">
        <v>0.142110868547901</v>
      </c>
      <c r="O2185">
        <v>2.0586078485453876E-2</v>
      </c>
      <c r="P2185">
        <v>2.7850112574923341E-2</v>
      </c>
      <c r="Q2185">
        <v>5.4523352019117486E-3</v>
      </c>
      <c r="R2185">
        <v>1.4858764119386287E-3</v>
      </c>
      <c r="S2185">
        <v>0.24500623947119715</v>
      </c>
      <c r="T2185">
        <v>1.3256109192046088</v>
      </c>
      <c r="U2185">
        <v>0.2091521163225144</v>
      </c>
      <c r="V2185">
        <v>0.24301552451217906</v>
      </c>
      <c r="W2185">
        <v>9.2694621362773927E-2</v>
      </c>
      <c r="X2185">
        <v>1.6402061586114833E-2</v>
      </c>
      <c r="Y2185">
        <v>4.0440657742693937E-3</v>
      </c>
    </row>
    <row r="2186" spans="1:25" x14ac:dyDescent="0.2">
      <c r="A2186" s="1077"/>
      <c r="B2186" s="1444">
        <v>1936</v>
      </c>
      <c r="C2186" s="1081">
        <v>0.97365497704167003</v>
      </c>
      <c r="D2186" s="1081">
        <v>0.98618646291531009</v>
      </c>
      <c r="E2186" s="1081">
        <v>0.98791188857743961</v>
      </c>
      <c r="F2186" s="1081">
        <v>1.0384226682060447</v>
      </c>
      <c r="G2186" s="1081">
        <v>1.009818587090334</v>
      </c>
      <c r="H2186" s="1081">
        <v>0.98978082008653578</v>
      </c>
      <c r="I2186" s="1081">
        <v>0.98733464401544602</v>
      </c>
      <c r="K2186">
        <v>2.4814154016245138</v>
      </c>
      <c r="L2186">
        <v>0</v>
      </c>
      <c r="M2186">
        <v>1.7166031693307032E-3</v>
      </c>
      <c r="N2186">
        <v>0.15059988296905574</v>
      </c>
      <c r="O2186">
        <v>2.1611221898388884E-2</v>
      </c>
      <c r="P2186">
        <v>2.912520609848868E-2</v>
      </c>
      <c r="Q2186">
        <v>5.5866928758778224E-3</v>
      </c>
      <c r="R2186">
        <v>1.6937104652431096E-3</v>
      </c>
      <c r="S2186">
        <v>0.26310571641042202</v>
      </c>
      <c r="T2186">
        <v>1.4240694575386588</v>
      </c>
      <c r="U2186">
        <v>0.2176665343262634</v>
      </c>
      <c r="V2186">
        <v>0.24893991881434357</v>
      </c>
      <c r="W2186">
        <v>9.9650666439571017E-2</v>
      </c>
      <c r="X2186">
        <v>1.6473275402644493E-2</v>
      </c>
      <c r="Y2186">
        <v>4.6097215548869322E-3</v>
      </c>
    </row>
    <row r="2187" spans="1:25" x14ac:dyDescent="0.2">
      <c r="A2187" s="1077"/>
      <c r="B2187" s="1444">
        <v>1937</v>
      </c>
      <c r="C2187" s="1081">
        <v>0.9734622115444439</v>
      </c>
      <c r="D2187" s="1081">
        <v>1.0124075085150346</v>
      </c>
      <c r="E2187" s="1081">
        <v>1.0104007270205133</v>
      </c>
      <c r="F2187" s="1081">
        <v>1.0260149523816693</v>
      </c>
      <c r="G2187" s="1081">
        <v>0.99446855510935916</v>
      </c>
      <c r="H2187" s="1081">
        <v>1.0020687121361425</v>
      </c>
      <c r="I2187" s="1081">
        <v>0.96565820436615435</v>
      </c>
      <c r="K2187">
        <v>2.4609198772235334</v>
      </c>
      <c r="L2187">
        <v>0</v>
      </c>
      <c r="M2187">
        <v>1.6494935667970023E-3</v>
      </c>
      <c r="N2187">
        <v>0.15491258568620711</v>
      </c>
      <c r="O2187">
        <v>2.1506362728783392E-2</v>
      </c>
      <c r="P2187">
        <v>2.9247124223298358E-2</v>
      </c>
      <c r="Q2187">
        <v>5.6867545490675974E-3</v>
      </c>
      <c r="R2187">
        <v>1.6277655873274933E-3</v>
      </c>
      <c r="S2187">
        <v>0.25522814078022715</v>
      </c>
      <c r="T2187">
        <v>1.4075527541142676</v>
      </c>
      <c r="U2187">
        <v>0.21778859339273393</v>
      </c>
      <c r="V2187">
        <v>0.24625093138069798</v>
      </c>
      <c r="W2187">
        <v>0.10114245106183256</v>
      </c>
      <c r="X2187">
        <v>1.7195665949962986E-2</v>
      </c>
      <c r="Y2187">
        <v>4.4302413359237867E-3</v>
      </c>
    </row>
    <row r="2188" spans="1:25" x14ac:dyDescent="0.2">
      <c r="A2188" s="1077"/>
      <c r="B2188" s="1444">
        <v>1938</v>
      </c>
      <c r="C2188" s="1081">
        <v>1.0169065953456391</v>
      </c>
      <c r="D2188" s="1081">
        <v>0.99049343353711572</v>
      </c>
      <c r="E2188" s="1081">
        <v>0.9913385582872194</v>
      </c>
      <c r="F2188" s="1081">
        <v>1.0022434938289391</v>
      </c>
      <c r="G2188" s="1081">
        <v>1.0297001288944174</v>
      </c>
      <c r="H2188" s="1081">
        <v>1.025110007320555</v>
      </c>
      <c r="I2188" s="1081">
        <v>1.0308723899564034</v>
      </c>
      <c r="K2188">
        <v>2.4218064772448469</v>
      </c>
      <c r="L2188">
        <v>0</v>
      </c>
      <c r="M2188">
        <v>1.6886010851957854E-3</v>
      </c>
      <c r="N2188">
        <v>0.14975578161340797</v>
      </c>
      <c r="O2188">
        <v>2.0674450959362763E-2</v>
      </c>
      <c r="P2188">
        <v>2.8445094905665748E-2</v>
      </c>
      <c r="Q2188">
        <v>5.3630763224688897E-3</v>
      </c>
      <c r="R2188">
        <v>1.6668579178085155E-3</v>
      </c>
      <c r="S2188">
        <v>0.26552800100676238</v>
      </c>
      <c r="T2188">
        <v>1.3745282748047112</v>
      </c>
      <c r="U2188">
        <v>0.20842012365314297</v>
      </c>
      <c r="V2188">
        <v>0.2495982681904278</v>
      </c>
      <c r="W2188">
        <v>9.8888865389337832E-2</v>
      </c>
      <c r="X2188">
        <v>1.6089645794232586E-2</v>
      </c>
      <c r="Y2188">
        <v>4.536637772709848E-3</v>
      </c>
    </row>
    <row r="2189" spans="1:25" x14ac:dyDescent="0.2">
      <c r="A2189" s="1077"/>
      <c r="B2189" s="1444">
        <v>1939</v>
      </c>
      <c r="C2189" s="1081">
        <v>1.039892665290991</v>
      </c>
      <c r="D2189" s="1081">
        <v>0.99196329903582026</v>
      </c>
      <c r="E2189" s="1081">
        <v>0.97699004263638167</v>
      </c>
      <c r="F2189" s="1081">
        <v>1.0128838738998667</v>
      </c>
      <c r="G2189" s="1081">
        <v>0.99001111978968703</v>
      </c>
      <c r="H2189" s="1081">
        <v>0.98962434839139657</v>
      </c>
      <c r="I2189" s="1081">
        <v>0.98055977863919364</v>
      </c>
      <c r="K2189">
        <v>2.3830113815921763</v>
      </c>
      <c r="L2189">
        <v>0</v>
      </c>
      <c r="M2189">
        <v>1.641616545174904E-3</v>
      </c>
      <c r="N2189">
        <v>0.13934022171351093</v>
      </c>
      <c r="O2189">
        <v>2.0201712261637982E-2</v>
      </c>
      <c r="P2189">
        <v>2.7868012065978127E-2</v>
      </c>
      <c r="Q2189">
        <v>5.1647479901372785E-3</v>
      </c>
      <c r="R2189">
        <v>1.6197204048862303E-3</v>
      </c>
      <c r="S2189">
        <v>0.24384181720669024</v>
      </c>
      <c r="T2189">
        <v>1.3888077299730825</v>
      </c>
      <c r="U2189">
        <v>0.20376610314902099</v>
      </c>
      <c r="V2189">
        <v>0.24151494851381275</v>
      </c>
      <c r="W2189">
        <v>9.2809116378548565E-2</v>
      </c>
      <c r="X2189">
        <v>1.5310523478632362E-2</v>
      </c>
      <c r="Y2189">
        <v>4.4083450014123469E-3</v>
      </c>
    </row>
    <row r="2190" spans="1:25" x14ac:dyDescent="0.2">
      <c r="A2190" s="1077"/>
      <c r="B2190" s="1444">
        <v>1940</v>
      </c>
      <c r="C2190" s="1081">
        <v>0.98787450309869773</v>
      </c>
      <c r="D2190" s="1081">
        <v>0.98226296236984312</v>
      </c>
      <c r="E2190" s="1081">
        <v>1.0092877548229606</v>
      </c>
      <c r="F2190" s="1081">
        <v>1.0212722275963648</v>
      </c>
      <c r="G2190" s="1081">
        <v>1.0161593167789928</v>
      </c>
      <c r="H2190" s="1081">
        <v>1.0034437101306424</v>
      </c>
      <c r="I2190" s="1081">
        <v>1.0126957693298313</v>
      </c>
      <c r="K2190">
        <v>2.4644822394425101</v>
      </c>
      <c r="L2190">
        <v>0</v>
      </c>
      <c r="M2190">
        <v>1.6423120654992962E-3</v>
      </c>
      <c r="N2190">
        <v>0.15372355925410078</v>
      </c>
      <c r="O2190">
        <v>2.1333251432938759E-2</v>
      </c>
      <c r="P2190">
        <v>2.9301713855185946E-2</v>
      </c>
      <c r="Q2190">
        <v>5.6347070858128083E-3</v>
      </c>
      <c r="R2190">
        <v>1.6207083282374624E-3</v>
      </c>
      <c r="S2190">
        <v>0.2678909305819257</v>
      </c>
      <c r="T2190">
        <v>1.4010217498261077</v>
      </c>
      <c r="U2190">
        <v>0.2146073766601892</v>
      </c>
      <c r="V2190">
        <v>0.24902278237831893</v>
      </c>
      <c r="W2190">
        <v>0.10043203483720982</v>
      </c>
      <c r="X2190">
        <v>1.7124703464874252E-2</v>
      </c>
      <c r="Y2190">
        <v>4.411033803105556E-3</v>
      </c>
    </row>
    <row r="2191" spans="1:25" x14ac:dyDescent="0.2">
      <c r="A2191" s="1077"/>
      <c r="B2191" s="1444">
        <v>1941</v>
      </c>
      <c r="C2191" s="1081">
        <v>0.98047164320351166</v>
      </c>
      <c r="D2191" s="1081">
        <v>0.99014199614009313</v>
      </c>
      <c r="E2191" s="1081">
        <v>1.0151523732173957</v>
      </c>
      <c r="F2191" s="1081">
        <v>1.008894869341536</v>
      </c>
      <c r="G2191" s="1081">
        <v>0.9854131217357458</v>
      </c>
      <c r="H2191" s="1081">
        <v>1.0308636786092902</v>
      </c>
      <c r="I2191" s="1081">
        <v>0.98935219367847316</v>
      </c>
      <c r="K2191">
        <v>2.451574842163089</v>
      </c>
      <c r="L2191">
        <v>0</v>
      </c>
      <c r="M2191">
        <v>1.67638655593015E-3</v>
      </c>
      <c r="N2191">
        <v>0.15977209217186258</v>
      </c>
      <c r="O2191">
        <v>2.1460563623728585E-2</v>
      </c>
      <c r="P2191">
        <v>2.9113379519226629E-2</v>
      </c>
      <c r="Q2191">
        <v>5.7016210930318266E-3</v>
      </c>
      <c r="R2191">
        <v>1.6549211478303751E-3</v>
      </c>
      <c r="S2191">
        <v>0.26504447129399267</v>
      </c>
      <c r="T2191">
        <v>1.384170279117694</v>
      </c>
      <c r="U2191">
        <v>0.21624821223737292</v>
      </c>
      <c r="V2191">
        <v>0.24423030560258202</v>
      </c>
      <c r="W2191">
        <v>0.10402398503161062</v>
      </c>
      <c r="X2191">
        <v>1.7327248060300955E-2</v>
      </c>
      <c r="Y2191">
        <v>4.5041498197845187E-3</v>
      </c>
    </row>
    <row r="2192" spans="1:25" x14ac:dyDescent="0.2">
      <c r="A2192" s="1077"/>
      <c r="B2192" s="1444">
        <v>1942</v>
      </c>
      <c r="C2192" s="1081">
        <v>0.9699415316239729</v>
      </c>
      <c r="D2192" s="1081">
        <v>0.99880230393392111</v>
      </c>
      <c r="E2192" s="1081">
        <v>1.0195909666334022</v>
      </c>
      <c r="F2192" s="1081">
        <v>0.9660551347155576</v>
      </c>
      <c r="G2192" s="1081">
        <v>1.0026316486283353</v>
      </c>
      <c r="H2192" s="1081">
        <v>1.0032160960452032</v>
      </c>
      <c r="I2192" s="1081">
        <v>1.0177490656243995</v>
      </c>
      <c r="K2192">
        <v>2.4013382417859894</v>
      </c>
      <c r="L2192">
        <v>0</v>
      </c>
      <c r="M2192">
        <v>1.6308560993006059E-3</v>
      </c>
      <c r="N2192">
        <v>0.1574720821871177</v>
      </c>
      <c r="O2192">
        <v>2.1655072674165894E-2</v>
      </c>
      <c r="P2192">
        <v>2.8574796255180317E-2</v>
      </c>
      <c r="Q2192">
        <v>5.7787781051895472E-3</v>
      </c>
      <c r="R2192">
        <v>1.6093981917896813E-3</v>
      </c>
      <c r="S2192">
        <v>0.27198622101088027</v>
      </c>
      <c r="T2192">
        <v>1.3254886433027631</v>
      </c>
      <c r="U2192">
        <v>0.21861158184333418</v>
      </c>
      <c r="V2192">
        <v>0.24784499072155897</v>
      </c>
      <c r="W2192">
        <v>0.10226005430106271</v>
      </c>
      <c r="X2192">
        <v>1.7307227952167683E-2</v>
      </c>
      <c r="Y2192">
        <v>4.380251340080174E-3</v>
      </c>
    </row>
    <row r="2193" spans="1:25" x14ac:dyDescent="0.2">
      <c r="A2193" s="1077"/>
      <c r="B2193" s="1444">
        <v>1943</v>
      </c>
      <c r="C2193" s="1081">
        <v>0.99415332438383908</v>
      </c>
      <c r="D2193" s="1081">
        <v>1.0243258453626394</v>
      </c>
      <c r="E2193" s="1081">
        <v>1.0023716269402878</v>
      </c>
      <c r="F2193" s="1081">
        <v>1.021024148143993</v>
      </c>
      <c r="G2193" s="1081">
        <v>0.96894294556193439</v>
      </c>
      <c r="H2193" s="1081">
        <v>0.96732156444664741</v>
      </c>
      <c r="I2193" s="1081">
        <v>1.0247137654986835</v>
      </c>
      <c r="K2193">
        <v>2.4310953654323995</v>
      </c>
      <c r="L2193">
        <v>0</v>
      </c>
      <c r="M2193">
        <v>1.5812907890264672E-3</v>
      </c>
      <c r="N2193">
        <v>0.14488035766452931</v>
      </c>
      <c r="O2193">
        <v>2.0999266238621233E-2</v>
      </c>
      <c r="P2193">
        <v>2.8910735613404383E-2</v>
      </c>
      <c r="Q2193">
        <v>5.5081902890116623E-3</v>
      </c>
      <c r="R2193">
        <v>1.5597129926729623E-3</v>
      </c>
      <c r="S2193">
        <v>0.26056010891681841</v>
      </c>
      <c r="T2193">
        <v>1.4005285177757494</v>
      </c>
      <c r="U2193">
        <v>0.21322816915882503</v>
      </c>
      <c r="V2193">
        <v>0.24058629015429275</v>
      </c>
      <c r="W2193">
        <v>9.5042608433557635E-2</v>
      </c>
      <c r="X2193">
        <v>1.6627674377137368E-2</v>
      </c>
      <c r="Y2193">
        <v>4.2450246068059519E-3</v>
      </c>
    </row>
    <row r="2194" spans="1:25" x14ac:dyDescent="0.2">
      <c r="A2194" s="1077"/>
      <c r="B2194" s="1444">
        <v>1944</v>
      </c>
      <c r="C2194" s="1081">
        <v>1.0224929942669252</v>
      </c>
      <c r="D2194" s="1081">
        <v>1.028396053124587</v>
      </c>
      <c r="E2194" s="1081">
        <v>1.0291801633090751</v>
      </c>
      <c r="F2194" s="1081">
        <v>1.0466472181460251</v>
      </c>
      <c r="G2194" s="1081">
        <v>0.97649684931795278</v>
      </c>
      <c r="H2194" s="1081">
        <v>1.0044457379174108</v>
      </c>
      <c r="I2194" s="1081">
        <v>0.983726391883608</v>
      </c>
      <c r="K2194">
        <v>2.453666776844373</v>
      </c>
      <c r="L2194">
        <v>0</v>
      </c>
      <c r="M2194">
        <v>1.5085939222038991E-3</v>
      </c>
      <c r="N2194">
        <v>0.14994322007605038</v>
      </c>
      <c r="O2194">
        <v>2.041677583475943E-2</v>
      </c>
      <c r="P2194">
        <v>2.9692092737226818E-2</v>
      </c>
      <c r="Q2194">
        <v>5.5003928946587123E-3</v>
      </c>
      <c r="R2194">
        <v>1.4887689726083648E-3</v>
      </c>
      <c r="S2194">
        <v>0.24595153666518246</v>
      </c>
      <c r="T2194">
        <v>1.4362841785861595</v>
      </c>
      <c r="U2194">
        <v>0.2074081222618451</v>
      </c>
      <c r="V2194">
        <v>0.2400445341738833</v>
      </c>
      <c r="W2194">
        <v>9.6828049664843402E-2</v>
      </c>
      <c r="X2194">
        <v>1.7565760528477175E-2</v>
      </c>
      <c r="Y2194">
        <v>4.0519383708800469E-3</v>
      </c>
    </row>
    <row r="2195" spans="1:25" x14ac:dyDescent="0.2">
      <c r="A2195" s="1077"/>
      <c r="B2195" s="1444">
        <v>1945</v>
      </c>
      <c r="C2195" s="1081">
        <v>0.96858367579664939</v>
      </c>
      <c r="D2195" s="1081">
        <v>0.97870505760019244</v>
      </c>
      <c r="E2195" s="1081">
        <v>0.99564411510141781</v>
      </c>
      <c r="F2195" s="1081">
        <v>0.97843232216471621</v>
      </c>
      <c r="G2195" s="1081">
        <v>1.0299072451897822</v>
      </c>
      <c r="H2195" s="1081">
        <v>0.97079386582634342</v>
      </c>
      <c r="I2195" s="1081">
        <v>1.0047740046200246</v>
      </c>
      <c r="K2195">
        <v>2.4071719226308388</v>
      </c>
      <c r="L2195">
        <v>0</v>
      </c>
      <c r="M2195">
        <v>1.6683866792483377E-3</v>
      </c>
      <c r="N2195">
        <v>0.14979184798569214</v>
      </c>
      <c r="O2195">
        <v>2.1766116027770389E-2</v>
      </c>
      <c r="P2195">
        <v>2.8319086481032568E-2</v>
      </c>
      <c r="Q2195">
        <v>5.6708385899712959E-3</v>
      </c>
      <c r="R2195">
        <v>1.645701829420837E-3</v>
      </c>
      <c r="S2195">
        <v>0.26857274486535454</v>
      </c>
      <c r="T2195">
        <v>1.3419634022944547</v>
      </c>
      <c r="U2195">
        <v>0.21883344300013982</v>
      </c>
      <c r="V2195">
        <v>0.25267829890288279</v>
      </c>
      <c r="W2195">
        <v>9.8658586899940004E-2</v>
      </c>
      <c r="X2195">
        <v>1.6461184559208347E-2</v>
      </c>
      <c r="Y2195">
        <v>4.4790578742212516E-3</v>
      </c>
    </row>
    <row r="2196" spans="1:25" x14ac:dyDescent="0.2">
      <c r="A2196" s="1077"/>
      <c r="B2196" s="1444">
        <v>1946</v>
      </c>
      <c r="C2196" s="1081">
        <v>0.9839847190388642</v>
      </c>
      <c r="D2196" s="1081">
        <v>1.0010448654430759</v>
      </c>
      <c r="E2196" s="1081">
        <v>1.0139062667177168</v>
      </c>
      <c r="F2196" s="1081">
        <v>0.9915984651742783</v>
      </c>
      <c r="G2196" s="1081">
        <v>1.0304198591375722</v>
      </c>
      <c r="H2196" s="1081">
        <v>1.0098102675052074</v>
      </c>
      <c r="I2196" s="1081">
        <v>0.96005719684827895</v>
      </c>
      <c r="K2196">
        <v>2.4143899280151548</v>
      </c>
      <c r="L2196">
        <v>0</v>
      </c>
      <c r="M2196">
        <v>1.6365833887301826E-3</v>
      </c>
      <c r="N2196">
        <v>0.15535103911657455</v>
      </c>
      <c r="O2196">
        <v>2.1331644069283381E-2</v>
      </c>
      <c r="P2196">
        <v>2.8686902303209933E-2</v>
      </c>
      <c r="Q2196">
        <v>5.6603322681042468E-3</v>
      </c>
      <c r="R2196">
        <v>1.6151907392638158E-3</v>
      </c>
      <c r="S2196">
        <v>0.25312495932829981</v>
      </c>
      <c r="T2196">
        <v>1.3604133850047897</v>
      </c>
      <c r="U2196">
        <v>0.21547181260920489</v>
      </c>
      <c r="V2196">
        <v>0.25169021108528933</v>
      </c>
      <c r="W2196">
        <v>0.10121962182750704</v>
      </c>
      <c r="X2196">
        <v>1.7065396307564821E-2</v>
      </c>
      <c r="Y2196">
        <v>4.396016744792005E-3</v>
      </c>
    </row>
    <row r="2197" spans="1:25" x14ac:dyDescent="0.2">
      <c r="A2197" s="1077"/>
      <c r="B2197" s="1444">
        <v>1947</v>
      </c>
      <c r="C2197" s="1081">
        <v>1.0253657544798545</v>
      </c>
      <c r="D2197" s="1081">
        <v>0.98201621153386709</v>
      </c>
      <c r="E2197" s="1081">
        <v>1.029018343581759</v>
      </c>
      <c r="F2197" s="1081">
        <v>0.97722268222335029</v>
      </c>
      <c r="G2197" s="1081">
        <v>0.98025691815903415</v>
      </c>
      <c r="H2197" s="1081">
        <v>0.99922806398252528</v>
      </c>
      <c r="I2197" s="1081">
        <v>1.0325966424529875</v>
      </c>
      <c r="K2197">
        <v>2.3745814851568268</v>
      </c>
      <c r="L2197">
        <v>0</v>
      </c>
      <c r="M2197">
        <v>1.5123337198252036E-3</v>
      </c>
      <c r="N2197">
        <v>0.15023116856568994</v>
      </c>
      <c r="O2197">
        <v>2.0567222497278648E-2</v>
      </c>
      <c r="P2197">
        <v>2.8596647003147541E-2</v>
      </c>
      <c r="Q2197">
        <v>5.5400372003286836E-3</v>
      </c>
      <c r="R2197">
        <v>1.4923558476085141E-3</v>
      </c>
      <c r="S2197">
        <v>0.26300276475324785</v>
      </c>
      <c r="T2197">
        <v>1.3410114249748404</v>
      </c>
      <c r="U2197">
        <v>0.20682648652277583</v>
      </c>
      <c r="V2197">
        <v>0.24051563353114233</v>
      </c>
      <c r="W2197">
        <v>9.70231162871001E-2</v>
      </c>
      <c r="X2197">
        <v>1.7225261031276019E-2</v>
      </c>
      <c r="Y2197">
        <v>4.0617006622174264E-3</v>
      </c>
    </row>
    <row r="2198" spans="1:25" x14ac:dyDescent="0.2">
      <c r="A2198" s="1077"/>
      <c r="B2198" s="1444">
        <v>1948</v>
      </c>
      <c r="C2198" s="1081">
        <v>0.98077591674394482</v>
      </c>
      <c r="D2198" s="1081">
        <v>1.0330878012488773</v>
      </c>
      <c r="E2198" s="1081">
        <v>1.0143859728103179</v>
      </c>
      <c r="F2198" s="1081">
        <v>1.0061309732596138</v>
      </c>
      <c r="G2198" s="1081">
        <v>1.0030974788525955</v>
      </c>
      <c r="H2198" s="1081">
        <v>1.0071631871506896</v>
      </c>
      <c r="I2198" s="1081">
        <v>1.0212333652618124</v>
      </c>
      <c r="K2198">
        <v>2.4420393144315304</v>
      </c>
      <c r="L2198">
        <v>0</v>
      </c>
      <c r="M2198">
        <v>1.6247003008128993E-3</v>
      </c>
      <c r="N2198">
        <v>0.15444111704039798</v>
      </c>
      <c r="O2198">
        <v>2.1253921763680531E-2</v>
      </c>
      <c r="P2198">
        <v>2.9093946362754589E-2</v>
      </c>
      <c r="Q2198">
        <v>5.6424076178590177E-3</v>
      </c>
      <c r="R2198">
        <v>1.6034071644284212E-3</v>
      </c>
      <c r="S2198">
        <v>0.26570303973907416</v>
      </c>
      <c r="T2198">
        <v>1.380361579104922</v>
      </c>
      <c r="U2198">
        <v>0.2161784467666113</v>
      </c>
      <c r="V2198">
        <v>0.24723195965412526</v>
      </c>
      <c r="W2198">
        <v>0.10059839065655075</v>
      </c>
      <c r="X2198">
        <v>1.7191853123394746E-2</v>
      </c>
      <c r="Y2198">
        <v>4.3639457385444627E-3</v>
      </c>
    </row>
    <row r="2199" spans="1:25" x14ac:dyDescent="0.2">
      <c r="A2199" s="1077"/>
      <c r="B2199" s="1444">
        <v>1949</v>
      </c>
      <c r="C2199" s="1081">
        <v>1.007537477877259</v>
      </c>
      <c r="D2199" s="1081">
        <v>0.98425646723011184</v>
      </c>
      <c r="E2199" s="1081">
        <v>1.0229152107106336</v>
      </c>
      <c r="F2199" s="1081">
        <v>0.99530712971963797</v>
      </c>
      <c r="G2199" s="1081">
        <v>1.0203726089952101</v>
      </c>
      <c r="H2199" s="1081">
        <v>1.0395266736363291</v>
      </c>
      <c r="I2199" s="1081">
        <v>0.99382766624222729</v>
      </c>
      <c r="K2199">
        <v>2.4230765542089503</v>
      </c>
      <c r="L2199">
        <v>0</v>
      </c>
      <c r="M2199">
        <v>1.620833443713128E-3</v>
      </c>
      <c r="N2199">
        <v>0.15815519466840394</v>
      </c>
      <c r="O2199">
        <v>2.0916616947269345E-2</v>
      </c>
      <c r="P2199">
        <v>2.8940585751079679E-2</v>
      </c>
      <c r="Q2199">
        <v>5.600181126030313E-3</v>
      </c>
      <c r="R2199">
        <v>1.6002523253630387E-3</v>
      </c>
      <c r="S2199">
        <v>0.26065808091615239</v>
      </c>
      <c r="T2199">
        <v>1.3656960865259247</v>
      </c>
      <c r="U2199">
        <v>0.21046547353504824</v>
      </c>
      <c r="V2199">
        <v>0.24845987372630413</v>
      </c>
      <c r="W2199">
        <v>0.10250430368758819</v>
      </c>
      <c r="X2199">
        <v>1.7345379136898792E-2</v>
      </c>
      <c r="Y2199">
        <v>4.3553593066009109E-3</v>
      </c>
    </row>
    <row r="2200" spans="1:25" x14ac:dyDescent="0.2">
      <c r="A2200" s="1077"/>
      <c r="B2200" s="1444">
        <v>1950</v>
      </c>
      <c r="C2200" s="1081">
        <v>1.0242465527312297</v>
      </c>
      <c r="D2200" s="1081">
        <v>0.96310808045120144</v>
      </c>
      <c r="E2200" s="1081">
        <v>0.98903491601175719</v>
      </c>
      <c r="F2200" s="1081">
        <v>0.96648607718058543</v>
      </c>
      <c r="G2200" s="1081">
        <v>1.0351847859268908</v>
      </c>
      <c r="H2200" s="1081">
        <v>1.0251963563809929</v>
      </c>
      <c r="I2200" s="1081">
        <v>1.0326500304635435</v>
      </c>
      <c r="K2200">
        <v>2.3723236532579652</v>
      </c>
      <c r="L2200">
        <v>0</v>
      </c>
      <c r="M2200">
        <v>1.6950836017816677E-3</v>
      </c>
      <c r="N2200">
        <v>0.14928746760938208</v>
      </c>
      <c r="O2200">
        <v>2.0651793980525166E-2</v>
      </c>
      <c r="P2200">
        <v>2.7748871522707094E-2</v>
      </c>
      <c r="Q2200">
        <v>5.3447408382299982E-3</v>
      </c>
      <c r="R2200">
        <v>1.6732588010597738E-3</v>
      </c>
      <c r="S2200">
        <v>0.26780723673278628</v>
      </c>
      <c r="T2200">
        <v>1.3254406568013644</v>
      </c>
      <c r="U2200">
        <v>0.20691886699767542</v>
      </c>
      <c r="V2200">
        <v>0.25010427033860949</v>
      </c>
      <c r="W2200">
        <v>9.8715737480065666E-2</v>
      </c>
      <c r="X2200">
        <v>1.5771776890473425E-2</v>
      </c>
      <c r="Y2200">
        <v>4.5540588668691777E-3</v>
      </c>
    </row>
    <row r="2201" spans="1:25" x14ac:dyDescent="0.2">
      <c r="A2201" s="1077"/>
      <c r="B2201" s="1444">
        <v>1951</v>
      </c>
      <c r="C2201" s="1081">
        <v>1.0013166250799448</v>
      </c>
      <c r="D2201" s="1081">
        <v>0.97901959253004378</v>
      </c>
      <c r="E2201" s="1081">
        <v>1.0290650904910217</v>
      </c>
      <c r="F2201" s="1081">
        <v>1.0042633553775844</v>
      </c>
      <c r="G2201" s="1081">
        <v>1.0063888402108767</v>
      </c>
      <c r="H2201" s="1081">
        <v>0.96507794158466231</v>
      </c>
      <c r="I2201" s="1081">
        <v>1.0429968869780879</v>
      </c>
      <c r="K2201">
        <v>2.4280678923135572</v>
      </c>
      <c r="L2201">
        <v>0</v>
      </c>
      <c r="M2201">
        <v>1.4965887804615555E-3</v>
      </c>
      <c r="N2201">
        <v>0.14861762792488203</v>
      </c>
      <c r="O2201">
        <v>2.1075392554596221E-2</v>
      </c>
      <c r="P2201">
        <v>2.9356029186364322E-2</v>
      </c>
      <c r="Q2201">
        <v>5.6771816483512563E-3</v>
      </c>
      <c r="R2201">
        <v>1.4761193238324942E-3</v>
      </c>
      <c r="S2201">
        <v>0.26940838354183616</v>
      </c>
      <c r="T2201">
        <v>1.3781194968055615</v>
      </c>
      <c r="U2201">
        <v>0.21179410346374875</v>
      </c>
      <c r="V2201">
        <v>0.24643661146829313</v>
      </c>
      <c r="W2201">
        <v>9.5978444218867948E-2</v>
      </c>
      <c r="X2201">
        <v>1.7607580760813004E-2</v>
      </c>
      <c r="Y2201">
        <v>4.0175101968677246E-3</v>
      </c>
    </row>
    <row r="2202" spans="1:25" x14ac:dyDescent="0.2">
      <c r="A2202" s="1077"/>
      <c r="B2202" s="1444">
        <v>1952</v>
      </c>
      <c r="C2202" s="1081">
        <v>1.0270444108618983</v>
      </c>
      <c r="D2202" s="1081">
        <v>0.99584691391675861</v>
      </c>
      <c r="E2202" s="1081">
        <v>1.0006134163206242</v>
      </c>
      <c r="F2202" s="1081">
        <v>0.99717399349110136</v>
      </c>
      <c r="G2202" s="1081">
        <v>0.98733830989787719</v>
      </c>
      <c r="H2202" s="1081">
        <v>0.96528264552705478</v>
      </c>
      <c r="I2202" s="1081">
        <v>0.98259167016991023</v>
      </c>
      <c r="K2202">
        <v>2.3681056484270844</v>
      </c>
      <c r="L2202">
        <v>0</v>
      </c>
      <c r="M2202">
        <v>1.5425448637941754E-3</v>
      </c>
      <c r="N2202">
        <v>0.14057762146256841</v>
      </c>
      <c r="O2202">
        <v>2.0452110619203868E-2</v>
      </c>
      <c r="P2202">
        <v>2.8137150358558315E-2</v>
      </c>
      <c r="Q2202">
        <v>5.3552043298537855E-3</v>
      </c>
      <c r="R2202">
        <v>1.5214513212031425E-3</v>
      </c>
      <c r="S2202">
        <v>0.24511992235747271</v>
      </c>
      <c r="T2202">
        <v>1.3677755703957446</v>
      </c>
      <c r="U2202">
        <v>0.20639368619498938</v>
      </c>
      <c r="V2202">
        <v>0.24172372008177653</v>
      </c>
      <c r="W2202">
        <v>9.2316286204090742E-2</v>
      </c>
      <c r="X2202">
        <v>1.6134581015393629E-2</v>
      </c>
      <c r="Y2202">
        <v>4.140888950021712E-3</v>
      </c>
    </row>
    <row r="2203" spans="1:25" x14ac:dyDescent="0.2">
      <c r="A2203" s="1077"/>
      <c r="B2203" s="1444">
        <v>1953</v>
      </c>
      <c r="C2203" s="1081">
        <v>1.039148979553999</v>
      </c>
      <c r="D2203" s="1081">
        <v>1.0084182869731362</v>
      </c>
      <c r="E2203" s="1081">
        <v>0.96510338480993885</v>
      </c>
      <c r="F2203" s="1081">
        <v>1.0289890714828096</v>
      </c>
      <c r="G2203" s="1081">
        <v>0.95481973043621071</v>
      </c>
      <c r="H2203" s="1081">
        <v>0.9814281950288235</v>
      </c>
      <c r="I2203" s="1081">
        <v>0.99124325108180089</v>
      </c>
      <c r="K2203">
        <v>2.3939975477118294</v>
      </c>
      <c r="L2203">
        <v>0</v>
      </c>
      <c r="M2203">
        <v>1.6636342121483052E-3</v>
      </c>
      <c r="N2203">
        <v>0.13620212926739048</v>
      </c>
      <c r="O2203">
        <v>2.0135587998298333E-2</v>
      </c>
      <c r="P2203">
        <v>2.7829015557601599E-2</v>
      </c>
      <c r="Q2203">
        <v>5.0857154764160284E-3</v>
      </c>
      <c r="R2203">
        <v>1.6412590840244928E-3</v>
      </c>
      <c r="S2203">
        <v>0.24389232659032165</v>
      </c>
      <c r="T2203">
        <v>1.4106273003862377</v>
      </c>
      <c r="U2203">
        <v>0.20387301551467771</v>
      </c>
      <c r="V2203">
        <v>0.23558598634750536</v>
      </c>
      <c r="W2203">
        <v>9.1377105080159157E-2</v>
      </c>
      <c r="X2203">
        <v>1.4944774435542452E-2</v>
      </c>
      <c r="Y2203">
        <v>4.4669661858030302E-3</v>
      </c>
    </row>
    <row r="2204" spans="1:25" x14ac:dyDescent="0.2">
      <c r="A2204" s="1077"/>
      <c r="B2204" s="1444">
        <v>1954</v>
      </c>
      <c r="C2204" s="1081">
        <v>1.011231944776632</v>
      </c>
      <c r="D2204" s="1081">
        <v>0.97100711948543716</v>
      </c>
      <c r="E2204" s="1081">
        <v>0.96882686298857357</v>
      </c>
      <c r="F2204" s="1081">
        <v>1.0174880993335826</v>
      </c>
      <c r="G2204" s="1081">
        <v>0.9594552945220105</v>
      </c>
      <c r="H2204" s="1081">
        <v>0.98851109120734582</v>
      </c>
      <c r="I2204" s="1081">
        <v>1.0179323372031197</v>
      </c>
      <c r="K2204">
        <v>2.4177685181339661</v>
      </c>
      <c r="L2204">
        <v>0</v>
      </c>
      <c r="M2204">
        <v>1.722991561896486E-3</v>
      </c>
      <c r="N2204">
        <v>0.14267539190791081</v>
      </c>
      <c r="O2204">
        <v>2.0866725124027766E-2</v>
      </c>
      <c r="P2204">
        <v>2.8061534916832359E-2</v>
      </c>
      <c r="Q2204">
        <v>5.2905110598391132E-3</v>
      </c>
      <c r="R2204">
        <v>1.6999841470961847E-3</v>
      </c>
      <c r="S2204">
        <v>0.26296384761712116</v>
      </c>
      <c r="T2204">
        <v>1.3949421462271343</v>
      </c>
      <c r="U2204">
        <v>0.20951384709532672</v>
      </c>
      <c r="V2204">
        <v>0.23802196861014563</v>
      </c>
      <c r="W2204">
        <v>9.5502773393748422E-2</v>
      </c>
      <c r="X2204">
        <v>1.5325983147907327E-2</v>
      </c>
      <c r="Y2204">
        <v>4.626796448772336E-3</v>
      </c>
    </row>
    <row r="2205" spans="1:25" x14ac:dyDescent="0.2">
      <c r="A2205" s="1077"/>
      <c r="B2205" s="1444">
        <v>1955</v>
      </c>
      <c r="C2205" s="1081">
        <v>1.0417560847460945</v>
      </c>
      <c r="D2205" s="1081">
        <v>1.0397752544058148</v>
      </c>
      <c r="E2205" s="1081">
        <v>1.007752810571187</v>
      </c>
      <c r="F2205" s="1081">
        <v>0.97949081742319322</v>
      </c>
      <c r="G2205" s="1081">
        <v>1.026732104256963</v>
      </c>
      <c r="H2205" s="1081">
        <v>0.99990004340294159</v>
      </c>
      <c r="I2205" s="1081">
        <v>0.96692450012240005</v>
      </c>
      <c r="K2205">
        <v>2.3404681611889138</v>
      </c>
      <c r="L2205">
        <v>0</v>
      </c>
      <c r="M2205">
        <v>1.5374570724089485E-3</v>
      </c>
      <c r="N2205">
        <v>0.14323676140634886</v>
      </c>
      <c r="O2205">
        <v>1.9977222307768102E-2</v>
      </c>
      <c r="P2205">
        <v>2.7863928773519925E-2</v>
      </c>
      <c r="Q2205">
        <v>5.2684452782108347E-3</v>
      </c>
      <c r="R2205">
        <v>1.517160970737477E-3</v>
      </c>
      <c r="S2205">
        <v>0.23547261977151776</v>
      </c>
      <c r="T2205">
        <v>1.343671781531919</v>
      </c>
      <c r="U2205">
        <v>0.20350243685347083</v>
      </c>
      <c r="V2205">
        <v>0.24756632497383066</v>
      </c>
      <c r="W2205">
        <v>9.3665546380247058E-2</v>
      </c>
      <c r="X2205">
        <v>1.6134177983379922E-2</v>
      </c>
      <c r="Y2205">
        <v>4.1292120303678213E-3</v>
      </c>
    </row>
    <row r="2206" spans="1:25" x14ac:dyDescent="0.2">
      <c r="A2206" s="1077"/>
      <c r="B2206" s="1444">
        <v>1956</v>
      </c>
      <c r="C2206" s="1081">
        <v>0.96650986296885888</v>
      </c>
      <c r="D2206" s="1081">
        <v>1.0046612242980113</v>
      </c>
      <c r="E2206" s="1081">
        <v>0.9814119210940756</v>
      </c>
      <c r="F2206" s="1081">
        <v>1.0004150895334842</v>
      </c>
      <c r="G2206" s="1081">
        <v>1.0043351904639315</v>
      </c>
      <c r="H2206" s="1081">
        <v>0.98957611270727175</v>
      </c>
      <c r="I2206" s="1081">
        <v>0.99290994932621224</v>
      </c>
      <c r="K2206">
        <v>2.4296423396958637</v>
      </c>
      <c r="L2206">
        <v>0</v>
      </c>
      <c r="M2206">
        <v>1.7452073226982454E-3</v>
      </c>
      <c r="N2206">
        <v>0.15012821761346942</v>
      </c>
      <c r="O2206">
        <v>2.1677824091487594E-2</v>
      </c>
      <c r="P2206">
        <v>2.8306706410613145E-2</v>
      </c>
      <c r="Q2206">
        <v>5.5671048242517058E-3</v>
      </c>
      <c r="R2206">
        <v>1.7219283376368477E-3</v>
      </c>
      <c r="S2206">
        <v>0.26400175099030243</v>
      </c>
      <c r="T2206">
        <v>1.3718065212735053</v>
      </c>
      <c r="U2206">
        <v>0.21925274500949155</v>
      </c>
      <c r="V2206">
        <v>0.24850041343244922</v>
      </c>
      <c r="W2206">
        <v>9.9727780312000011E-2</v>
      </c>
      <c r="X2206">
        <v>1.6010033421830758E-2</v>
      </c>
      <c r="Y2206">
        <v>4.6865213015235517E-3</v>
      </c>
    </row>
    <row r="2207" spans="1:25" x14ac:dyDescent="0.2">
      <c r="A2207" s="1077"/>
      <c r="B2207" s="1444">
        <v>1957</v>
      </c>
      <c r="C2207" s="1081">
        <v>1.032846619404252</v>
      </c>
      <c r="D2207" s="1081">
        <v>1.0235764040618487</v>
      </c>
      <c r="E2207" s="1081">
        <v>0.99353021005830888</v>
      </c>
      <c r="F2207" s="1081">
        <v>1.0150927005275854</v>
      </c>
      <c r="G2207" s="1081">
        <v>0.99977010871577954</v>
      </c>
      <c r="H2207" s="1081">
        <v>0.99044543882309721</v>
      </c>
      <c r="I2207" s="1081">
        <v>0.97947187899814891</v>
      </c>
      <c r="K2207">
        <v>2.3915446175225199</v>
      </c>
      <c r="L2207">
        <v>0</v>
      </c>
      <c r="M2207">
        <v>1.5875274045113262E-3</v>
      </c>
      <c r="N2207">
        <v>0.14166308843021119</v>
      </c>
      <c r="O2207">
        <v>2.0210180086747645E-2</v>
      </c>
      <c r="P2207">
        <v>2.8280963544608399E-2</v>
      </c>
      <c r="Q2207">
        <v>5.254252585535287E-3</v>
      </c>
      <c r="R2207">
        <v>1.5663702677655761E-3</v>
      </c>
      <c r="S2207">
        <v>0.24160217320695707</v>
      </c>
      <c r="T2207">
        <v>1.3921983808230272</v>
      </c>
      <c r="U2207">
        <v>0.20521079991482058</v>
      </c>
      <c r="V2207">
        <v>0.24353106970940713</v>
      </c>
      <c r="W2207">
        <v>9.3422481475034735E-2</v>
      </c>
      <c r="X2207">
        <v>1.5929241367877957E-2</v>
      </c>
      <c r="Y2207">
        <v>4.2631435150379008E-3</v>
      </c>
    </row>
    <row r="2208" spans="1:25" x14ac:dyDescent="0.2">
      <c r="A2208" s="1077"/>
      <c r="B2208" s="1444">
        <v>1958</v>
      </c>
      <c r="C2208" s="1081">
        <v>0.9888358062951359</v>
      </c>
      <c r="D2208" s="1081">
        <v>1.0001417196595168</v>
      </c>
      <c r="E2208" s="1081">
        <v>0.99833765793393903</v>
      </c>
      <c r="F2208" s="1081">
        <v>0.99674657444821513</v>
      </c>
      <c r="G2208" s="1081">
        <v>0.99452769387357864</v>
      </c>
      <c r="H2208" s="1081">
        <v>1.0161085893971911</v>
      </c>
      <c r="I2208" s="1081">
        <v>0.97546549038714736</v>
      </c>
      <c r="K2208">
        <v>2.4135335511926863</v>
      </c>
      <c r="L2208">
        <v>0</v>
      </c>
      <c r="M2208">
        <v>1.6928842657088754E-3</v>
      </c>
      <c r="N2208">
        <v>0.15332769126621171</v>
      </c>
      <c r="O2208">
        <v>2.1220750825584816E-2</v>
      </c>
      <c r="P2208">
        <v>2.8392560510509771E-2</v>
      </c>
      <c r="Q2208">
        <v>5.5437661495443156E-3</v>
      </c>
      <c r="R2208">
        <v>1.6708928410802393E-3</v>
      </c>
      <c r="S2208">
        <v>0.25644356394465212</v>
      </c>
      <c r="T2208">
        <v>1.367140244853345</v>
      </c>
      <c r="U2208">
        <v>0.21436086968121601</v>
      </c>
      <c r="V2208">
        <v>0.24530694533139488</v>
      </c>
      <c r="W2208">
        <v>0.1008255023338675</v>
      </c>
      <c r="X2208">
        <v>1.6446028217245313E-2</v>
      </c>
      <c r="Y2208">
        <v>4.5476195037433822E-3</v>
      </c>
    </row>
    <row r="2209" spans="1:25" x14ac:dyDescent="0.2">
      <c r="A2209" s="1077"/>
      <c r="B2209" s="1444">
        <v>1959</v>
      </c>
      <c r="C2209" s="1081">
        <v>1.0321596291291317</v>
      </c>
      <c r="D2209" s="1081">
        <v>0.9900490266958234</v>
      </c>
      <c r="E2209" s="1081">
        <v>1.0303144714126631</v>
      </c>
      <c r="F2209" s="1081">
        <v>1.0255832097851545</v>
      </c>
      <c r="G2209" s="1081">
        <v>0.98363007374455658</v>
      </c>
      <c r="H2209" s="1081">
        <v>0.98660813099005717</v>
      </c>
      <c r="I2209" s="1081">
        <v>0.98811343449883815</v>
      </c>
      <c r="K2209">
        <v>2.4204023062256086</v>
      </c>
      <c r="L2209">
        <v>0</v>
      </c>
      <c r="M2209">
        <v>1.4767547258232908E-3</v>
      </c>
      <c r="N2209">
        <v>0.1472459488822605</v>
      </c>
      <c r="O2209">
        <v>2.0396097607800385E-2</v>
      </c>
      <c r="P2209">
        <v>2.9323681490262505E-2</v>
      </c>
      <c r="Q2209">
        <v>5.5009887342262458E-3</v>
      </c>
      <c r="R2209">
        <v>1.4569973210493393E-3</v>
      </c>
      <c r="S2209">
        <v>0.24797382433117648</v>
      </c>
      <c r="T2209">
        <v>1.4074039459623748</v>
      </c>
      <c r="U2209">
        <v>0.20546942614794</v>
      </c>
      <c r="V2209">
        <v>0.24068604839467825</v>
      </c>
      <c r="W2209">
        <v>9.5023646718713523E-2</v>
      </c>
      <c r="X2209">
        <v>1.743298895208965E-2</v>
      </c>
      <c r="Y2209">
        <v>3.9654664088585008E-3</v>
      </c>
    </row>
    <row r="2210" spans="1:25" x14ac:dyDescent="0.2">
      <c r="A2210" s="1077"/>
      <c r="B2210" s="1444">
        <v>1960</v>
      </c>
      <c r="C2210" s="1081">
        <v>0.98751015450578294</v>
      </c>
      <c r="D2210" s="1081">
        <v>1.0403260276033879</v>
      </c>
      <c r="E2210" s="1081">
        <v>0.98989395927982182</v>
      </c>
      <c r="F2210" s="1081">
        <v>0.99633911365714112</v>
      </c>
      <c r="G2210" s="1081">
        <v>1.0290646962700578</v>
      </c>
      <c r="H2210" s="1081">
        <v>1.0039494207237136</v>
      </c>
      <c r="I2210" s="1081">
        <v>1.0033577821430859</v>
      </c>
      <c r="K2210">
        <v>2.4134227738842879</v>
      </c>
      <c r="L2210">
        <v>0</v>
      </c>
      <c r="M2210">
        <v>1.6897305762787868E-3</v>
      </c>
      <c r="N2210">
        <v>0.1491618679772741</v>
      </c>
      <c r="O2210">
        <v>2.1060260142651183E-2</v>
      </c>
      <c r="P2210">
        <v>2.8308134710844004E-2</v>
      </c>
      <c r="Q2210">
        <v>5.4551890439122853E-3</v>
      </c>
      <c r="R2210">
        <v>1.6675142703208865E-3</v>
      </c>
      <c r="S2210">
        <v>0.2579011971903446</v>
      </c>
      <c r="T2210">
        <v>1.3663996338453017</v>
      </c>
      <c r="U2210">
        <v>0.21461943125206545</v>
      </c>
      <c r="V2210">
        <v>0.25132135785344545</v>
      </c>
      <c r="W2210">
        <v>9.858191851531603E-2</v>
      </c>
      <c r="X2210">
        <v>1.6097575511207333E-2</v>
      </c>
      <c r="Y2210">
        <v>4.538424147881975E-3</v>
      </c>
    </row>
    <row r="2211" spans="1:25" x14ac:dyDescent="0.2">
      <c r="A2211" s="1077"/>
      <c r="B2211" s="1444">
        <v>1961</v>
      </c>
      <c r="C2211" s="1081">
        <v>1.0054573716364108</v>
      </c>
      <c r="D2211" s="1081">
        <v>0.99952771648591698</v>
      </c>
      <c r="E2211" s="1081">
        <v>1.0032525288055707</v>
      </c>
      <c r="F2211" s="1081">
        <v>1.0081732393056912</v>
      </c>
      <c r="G2211" s="1081">
        <v>1.0073104259287922</v>
      </c>
      <c r="H2211" s="1081">
        <v>1.0166069623066152</v>
      </c>
      <c r="I2211" s="1081">
        <v>0.98107207872956759</v>
      </c>
      <c r="K2211">
        <v>2.4209671625023113</v>
      </c>
      <c r="L2211">
        <v>0</v>
      </c>
      <c r="M2211">
        <v>1.6490402902020205E-3</v>
      </c>
      <c r="N2211">
        <v>0.15159183437922141</v>
      </c>
      <c r="O2211">
        <v>2.0876007932824635E-2</v>
      </c>
      <c r="P2211">
        <v>2.8643629337871648E-2</v>
      </c>
      <c r="Q2211">
        <v>5.4807024301170596E-3</v>
      </c>
      <c r="R2211">
        <v>1.6276289227152706E-3</v>
      </c>
      <c r="S2211">
        <v>0.25381239269781841</v>
      </c>
      <c r="T2211">
        <v>1.3829202747966327</v>
      </c>
      <c r="U2211">
        <v>0.21083390668977409</v>
      </c>
      <c r="V2211">
        <v>0.24642910247046548</v>
      </c>
      <c r="W2211">
        <v>9.9393451214762008E-2</v>
      </c>
      <c r="X2211">
        <v>1.6577402540410069E-2</v>
      </c>
      <c r="Y2211">
        <v>4.4298693799007943E-3</v>
      </c>
    </row>
    <row r="2212" spans="1:25" x14ac:dyDescent="0.2">
      <c r="A2212" s="1077"/>
      <c r="B2212" s="1444">
        <v>1962</v>
      </c>
      <c r="C2212" s="1081">
        <v>1.0103053638552824</v>
      </c>
      <c r="D2212" s="1081">
        <v>0.99707014240605485</v>
      </c>
      <c r="E2212" s="1081">
        <v>1.0078715506894047</v>
      </c>
      <c r="F2212" s="1081">
        <v>0.98987468997431804</v>
      </c>
      <c r="G2212" s="1081">
        <v>1.0279768862873795</v>
      </c>
      <c r="H2212" s="1081">
        <v>1.0068816233695832</v>
      </c>
      <c r="I2212" s="1081">
        <v>0.98758726194792057</v>
      </c>
      <c r="K2212">
        <v>2.3951333081274617</v>
      </c>
      <c r="L2212">
        <v>0</v>
      </c>
      <c r="M2212">
        <v>1.6107871053363512E-3</v>
      </c>
      <c r="N2212">
        <v>0.15013627305582566</v>
      </c>
      <c r="O2212">
        <v>2.079012739430117E-2</v>
      </c>
      <c r="P2212">
        <v>2.8429175497546751E-2</v>
      </c>
      <c r="Q2212">
        <v>5.4834783538362381E-3</v>
      </c>
      <c r="R2212">
        <v>1.5896704102917661E-3</v>
      </c>
      <c r="S2212">
        <v>0.25381258388097111</v>
      </c>
      <c r="T2212">
        <v>1.3579189905598266</v>
      </c>
      <c r="U2212">
        <v>0.20983785280239392</v>
      </c>
      <c r="V2212">
        <v>0.24964310644668727</v>
      </c>
      <c r="W2212">
        <v>9.8170397088323688E-2</v>
      </c>
      <c r="X2212">
        <v>1.6605880920691984E-2</v>
      </c>
      <c r="Y2212">
        <v>4.3265588221042721E-3</v>
      </c>
    </row>
    <row r="2213" spans="1:25" x14ac:dyDescent="0.2">
      <c r="A2213" s="1077"/>
      <c r="B2213" s="1444">
        <v>1963</v>
      </c>
      <c r="C2213" s="1081">
        <v>1.0232628869175719</v>
      </c>
      <c r="D2213" s="1081">
        <v>0.98866008357247448</v>
      </c>
      <c r="E2213" s="1081">
        <v>1.0162006747446926</v>
      </c>
      <c r="F2213" s="1081">
        <v>1.034335790718393</v>
      </c>
      <c r="G2213" s="1081">
        <v>1.0215594193221758</v>
      </c>
      <c r="H2213" s="1081">
        <v>1.0221077135961616</v>
      </c>
      <c r="I2213" s="1081">
        <v>1.0119117512133853</v>
      </c>
      <c r="K2213">
        <v>2.4610358525998968</v>
      </c>
      <c r="L2213">
        <v>0</v>
      </c>
      <c r="M2213">
        <v>1.5896952274510336E-3</v>
      </c>
      <c r="N2213">
        <v>0.15197293675256962</v>
      </c>
      <c r="O2213">
        <v>2.0570576829090644E-2</v>
      </c>
      <c r="P2213">
        <v>2.9461192028060988E-2</v>
      </c>
      <c r="Q2213">
        <v>5.4708824490757885E-3</v>
      </c>
      <c r="R2213">
        <v>1.5691654886927037E-3</v>
      </c>
      <c r="S2213">
        <v>0.25921581688720829</v>
      </c>
      <c r="T2213">
        <v>1.4190979031099031</v>
      </c>
      <c r="U2213">
        <v>0.20720856259826462</v>
      </c>
      <c r="V2213">
        <v>0.24773478521065642</v>
      </c>
      <c r="W2213">
        <v>9.8885258988873015E-2</v>
      </c>
      <c r="X2213">
        <v>1.7167716299992555E-2</v>
      </c>
      <c r="Y2213">
        <v>4.2707511849572116E-3</v>
      </c>
    </row>
    <row r="2214" spans="1:25" x14ac:dyDescent="0.2">
      <c r="A2214" s="1077"/>
      <c r="B2214" s="1444">
        <v>1964</v>
      </c>
      <c r="C2214" s="1081">
        <v>0.99556114390878025</v>
      </c>
      <c r="D2214" s="1081">
        <v>1.0385186318843731</v>
      </c>
      <c r="E2214" s="1081">
        <v>1.0211348927472073</v>
      </c>
      <c r="F2214" s="1081">
        <v>0.97475554704230327</v>
      </c>
      <c r="G2214" s="1081">
        <v>1.0265774983875198</v>
      </c>
      <c r="H2214" s="1081">
        <v>1.0054064907247475</v>
      </c>
      <c r="I2214" s="1081">
        <v>0.99648457910031574</v>
      </c>
      <c r="K2214">
        <v>2.3833744314991021</v>
      </c>
      <c r="L2214">
        <v>0</v>
      </c>
      <c r="M2214">
        <v>1.5736915281629933E-3</v>
      </c>
      <c r="N2214">
        <v>0.15266620335934072</v>
      </c>
      <c r="O2214">
        <v>2.091861246227944E-2</v>
      </c>
      <c r="P2214">
        <v>2.8488478228870906E-2</v>
      </c>
      <c r="Q2214">
        <v>5.590822525343985E-3</v>
      </c>
      <c r="R2214">
        <v>1.5530308705527117E-3</v>
      </c>
      <c r="S2214">
        <v>0.25465680041994171</v>
      </c>
      <c r="T2214">
        <v>1.3374588382174815</v>
      </c>
      <c r="U2214">
        <v>0.21299118364060268</v>
      </c>
      <c r="V2214">
        <v>0.25027050382308119</v>
      </c>
      <c r="W2214">
        <v>9.9049702903597825E-2</v>
      </c>
      <c r="X2214">
        <v>1.7077108503013878E-2</v>
      </c>
      <c r="Y2214">
        <v>4.2268380731555946E-3</v>
      </c>
    </row>
    <row r="2215" spans="1:25" x14ac:dyDescent="0.2">
      <c r="A2215" s="1077"/>
      <c r="B2215" s="1444">
        <v>1965</v>
      </c>
      <c r="C2215" s="1081">
        <v>1.0057171046275371</v>
      </c>
      <c r="D2215" s="1081">
        <v>1.0239590684573023</v>
      </c>
      <c r="E2215" s="1081">
        <v>0.95222461145276871</v>
      </c>
      <c r="F2215" s="1081">
        <v>1.0309832689100626</v>
      </c>
      <c r="G2215" s="1081">
        <v>0.98855008734189131</v>
      </c>
      <c r="H2215" s="1081">
        <v>0.96938371188291994</v>
      </c>
      <c r="I2215" s="1081">
        <v>0.97185666662213344</v>
      </c>
      <c r="K2215">
        <v>2.4135131897878757</v>
      </c>
      <c r="L2215">
        <v>0</v>
      </c>
      <c r="M2215">
        <v>1.7376461359381212E-3</v>
      </c>
      <c r="N2215">
        <v>0.13679308928959813</v>
      </c>
      <c r="O2215">
        <v>2.0726652798643094E-2</v>
      </c>
      <c r="P2215">
        <v>2.7779357286721901E-2</v>
      </c>
      <c r="Q2215">
        <v>5.166113189182934E-3</v>
      </c>
      <c r="R2215">
        <v>1.7139852043885795E-3</v>
      </c>
      <c r="S2215">
        <v>0.24410460071772644</v>
      </c>
      <c r="T2215">
        <v>1.4130764527102206</v>
      </c>
      <c r="U2215">
        <v>0.21060665362445868</v>
      </c>
      <c r="V2215">
        <v>0.24339416702868397</v>
      </c>
      <c r="W2215">
        <v>9.2502333772120457E-2</v>
      </c>
      <c r="X2215">
        <v>1.4722527590793849E-2</v>
      </c>
      <c r="Y2215">
        <v>4.6649027112749385E-3</v>
      </c>
    </row>
    <row r="2216" spans="1:25" x14ac:dyDescent="0.2">
      <c r="A2216" s="1077"/>
      <c r="B2216" s="1444">
        <v>1966</v>
      </c>
      <c r="C2216" s="1081">
        <v>1.023430622290165</v>
      </c>
      <c r="D2216" s="1081">
        <v>0.97558466262803456</v>
      </c>
      <c r="E2216" s="1081">
        <v>1.0184230410261745</v>
      </c>
      <c r="F2216" s="1081">
        <v>0.98199533091261682</v>
      </c>
      <c r="G2216" s="1081">
        <v>1.0155734122708393</v>
      </c>
      <c r="H2216" s="1081">
        <v>1.0321212454745636</v>
      </c>
      <c r="I2216" s="1081">
        <v>0.99722387263193013</v>
      </c>
      <c r="K2216">
        <v>2.3894647121137842</v>
      </c>
      <c r="L2216">
        <v>0</v>
      </c>
      <c r="M2216">
        <v>1.6022911193525936E-3</v>
      </c>
      <c r="N2216">
        <v>0.15422727705350622</v>
      </c>
      <c r="O2216">
        <v>2.0628987909939493E-2</v>
      </c>
      <c r="P2216">
        <v>2.8484653520613332E-2</v>
      </c>
      <c r="Q2216">
        <v>5.4985700900818365E-3</v>
      </c>
      <c r="R2216">
        <v>1.581799469504201E-3</v>
      </c>
      <c r="S2216">
        <v>0.25797417298339298</v>
      </c>
      <c r="T2216">
        <v>1.3473347006852563</v>
      </c>
      <c r="U2216">
        <v>0.20718204444957922</v>
      </c>
      <c r="V2216">
        <v>0.24669497857090608</v>
      </c>
      <c r="W2216">
        <v>0.10022143679020924</v>
      </c>
      <c r="X2216">
        <v>1.6933244994211383E-2</v>
      </c>
      <c r="Y2216">
        <v>4.3051367159354526E-3</v>
      </c>
    </row>
    <row r="2217" spans="1:25" x14ac:dyDescent="0.2">
      <c r="A2217" s="1077"/>
      <c r="B2217" s="1444">
        <v>1967</v>
      </c>
      <c r="C2217" s="1081">
        <v>0.99848844521514279</v>
      </c>
      <c r="D2217" s="1081">
        <v>0.98660156212034511</v>
      </c>
      <c r="E2217" s="1081">
        <v>1.0039272398008146</v>
      </c>
      <c r="F2217" s="1081">
        <v>1.027229501268059</v>
      </c>
      <c r="G2217" s="1081">
        <v>0.99859085828076621</v>
      </c>
      <c r="H2217" s="1081">
        <v>0.98091055508495328</v>
      </c>
      <c r="I2217" s="1081">
        <v>1.0089504400754712</v>
      </c>
      <c r="K2217">
        <v>2.4496322039167757</v>
      </c>
      <c r="L2217">
        <v>0</v>
      </c>
      <c r="M2217">
        <v>1.6045886849245029E-3</v>
      </c>
      <c r="N2217">
        <v>0.14773566913539984</v>
      </c>
      <c r="O2217">
        <v>2.1082446786881478E-2</v>
      </c>
      <c r="P2217">
        <v>2.9126746587640154E-2</v>
      </c>
      <c r="Q2217">
        <v>5.5386476696828047E-3</v>
      </c>
      <c r="R2217">
        <v>1.5829963038653889E-3</v>
      </c>
      <c r="S2217">
        <v>0.26149129263241722</v>
      </c>
      <c r="T2217">
        <v>1.4090749212374405</v>
      </c>
      <c r="U2217">
        <v>0.21230772804566142</v>
      </c>
      <c r="V2217">
        <v>0.24537091987089407</v>
      </c>
      <c r="W2217">
        <v>9.6826372498461738E-2</v>
      </c>
      <c r="X2217">
        <v>1.679065772882694E-2</v>
      </c>
      <c r="Y2217">
        <v>4.3083941045302656E-3</v>
      </c>
    </row>
    <row r="2218" spans="1:25" x14ac:dyDescent="0.2">
      <c r="A2218" s="1077"/>
      <c r="B2218" s="1444">
        <v>1968</v>
      </c>
      <c r="C2218" s="1081">
        <v>0.98410210569474543</v>
      </c>
      <c r="D2218" s="1081">
        <v>1.0044777288877287</v>
      </c>
      <c r="E2218" s="1081">
        <v>1.0042835522807549</v>
      </c>
      <c r="F2218" s="1081">
        <v>1.0053165756868674</v>
      </c>
      <c r="G2218" s="1081">
        <v>0.95884133252920212</v>
      </c>
      <c r="H2218" s="1081">
        <v>1.0280241298716652</v>
      </c>
      <c r="I2218" s="1081">
        <v>1.0426256782532171</v>
      </c>
      <c r="K2218">
        <v>2.4463126197404312</v>
      </c>
      <c r="L2218">
        <v>0</v>
      </c>
      <c r="M2218">
        <v>1.6982579019577007E-3</v>
      </c>
      <c r="N2218">
        <v>0.15662607299351555</v>
      </c>
      <c r="O2218">
        <v>2.1306549268046409E-2</v>
      </c>
      <c r="P2218">
        <v>2.8883138488351494E-2</v>
      </c>
      <c r="Q2218">
        <v>5.5995230691395529E-3</v>
      </c>
      <c r="R2218">
        <v>1.6764523766342595E-3</v>
      </c>
      <c r="S2218">
        <v>0.27594872085501326</v>
      </c>
      <c r="T2218">
        <v>1.3790241984500069</v>
      </c>
      <c r="U2218">
        <v>0.21541263939536237</v>
      </c>
      <c r="V2218">
        <v>0.23949595805593335</v>
      </c>
      <c r="W2218">
        <v>0.10263150163083425</v>
      </c>
      <c r="X2218">
        <v>1.6843372332726099E-2</v>
      </c>
      <c r="Y2218">
        <v>4.5627507268210226E-3</v>
      </c>
    </row>
    <row r="2219" spans="1:25" x14ac:dyDescent="0.2">
      <c r="A2219" s="1077"/>
      <c r="B2219" s="1444">
        <v>1969</v>
      </c>
      <c r="C2219" s="1081">
        <v>0.99659916670425752</v>
      </c>
      <c r="D2219" s="1081">
        <v>1.004983255980552</v>
      </c>
      <c r="E2219" s="1081">
        <v>0.99124726817356745</v>
      </c>
      <c r="F2219" s="1081">
        <v>0.99806880688401922</v>
      </c>
      <c r="G2219" s="1081">
        <v>0.99451217998657648</v>
      </c>
      <c r="H2219" s="1081">
        <v>1.0465051358693167</v>
      </c>
      <c r="I2219" s="1081">
        <v>0.98561491097116583</v>
      </c>
      <c r="K2219">
        <v>2.4191016691299803</v>
      </c>
      <c r="L2219">
        <v>0</v>
      </c>
      <c r="M2219">
        <v>1.7536908559448903E-3</v>
      </c>
      <c r="N2219">
        <v>0.15552690072054526</v>
      </c>
      <c r="O2219">
        <v>2.1028373748136285E-2</v>
      </c>
      <c r="P2219">
        <v>2.8269667829237215E-2</v>
      </c>
      <c r="Q2219">
        <v>5.4543830582353169E-3</v>
      </c>
      <c r="R2219">
        <v>1.7315712242282914E-3</v>
      </c>
      <c r="S2219">
        <v>0.25897076596835639</v>
      </c>
      <c r="T2219">
        <v>1.3688009272726247</v>
      </c>
      <c r="U2219">
        <v>0.21266673082420298</v>
      </c>
      <c r="V2219">
        <v>0.24483811564663444</v>
      </c>
      <c r="W2219">
        <v>0.10270534364158403</v>
      </c>
      <c r="X2219">
        <v>1.6149813992089302E-2</v>
      </c>
      <c r="Y2219">
        <v>4.7127660600487509E-3</v>
      </c>
    </row>
    <row r="2220" spans="1:25" x14ac:dyDescent="0.2">
      <c r="A2220" s="1077"/>
      <c r="B2220" s="1444">
        <v>1970</v>
      </c>
      <c r="C2220" s="1081">
        <v>1.0079096383051149</v>
      </c>
      <c r="D2220" s="1081">
        <v>1.0000266772543371</v>
      </c>
      <c r="E2220" s="1081">
        <v>0.96656155955529821</v>
      </c>
      <c r="F2220" s="1081">
        <v>1.0300269837652991</v>
      </c>
      <c r="G2220" s="1081">
        <v>0.96470326259299055</v>
      </c>
      <c r="H2220" s="1081">
        <v>1.01357942512817</v>
      </c>
      <c r="I2220" s="1081">
        <v>1.0239138111341222</v>
      </c>
      <c r="K2220">
        <v>2.4425362349441739</v>
      </c>
      <c r="L2220">
        <v>0</v>
      </c>
      <c r="M2220">
        <v>1.7693152932882067E-3</v>
      </c>
      <c r="N2220">
        <v>0.14555835298559272</v>
      </c>
      <c r="O2220">
        <v>2.0798828734228298E-2</v>
      </c>
      <c r="P2220">
        <v>2.8273380398650513E-2</v>
      </c>
      <c r="Q2220">
        <v>5.2610858353422177E-3</v>
      </c>
      <c r="R2220">
        <v>1.7462736386075909E-3</v>
      </c>
      <c r="S2220">
        <v>0.26361847877082423</v>
      </c>
      <c r="T2220">
        <v>1.4120824125441263</v>
      </c>
      <c r="U2220">
        <v>0.2101968117961597</v>
      </c>
      <c r="V2220">
        <v>0.23913025606020111</v>
      </c>
      <c r="W2220">
        <v>9.7567217342328996E-2</v>
      </c>
      <c r="X2220">
        <v>1.5319670946061979E-2</v>
      </c>
      <c r="Y2220">
        <v>4.7527811853396076E-3</v>
      </c>
    </row>
    <row r="2221" spans="1:25" x14ac:dyDescent="0.2">
      <c r="A2221" s="1077"/>
      <c r="B2221" s="1444">
        <v>1971</v>
      </c>
      <c r="C2221" s="1081">
        <v>1.0221316490244761</v>
      </c>
      <c r="D2221" s="1081">
        <v>0.98420468642230174</v>
      </c>
      <c r="E2221" s="1081">
        <v>1.0030536201980684</v>
      </c>
      <c r="F2221" s="1081">
        <v>1.0004252227016555</v>
      </c>
      <c r="G2221" s="1081">
        <v>1.0019551955154598</v>
      </c>
      <c r="H2221" s="1081">
        <v>1.0238187287158256</v>
      </c>
      <c r="I2221" s="1081">
        <v>0.99957501738951227</v>
      </c>
      <c r="K2221">
        <v>2.405909103048502</v>
      </c>
      <c r="L2221">
        <v>0</v>
      </c>
      <c r="M2221">
        <v>1.6398851404622425E-3</v>
      </c>
      <c r="N2221">
        <v>0.15067364219971077</v>
      </c>
      <c r="O2221">
        <v>2.0605237167971021E-2</v>
      </c>
      <c r="P2221">
        <v>2.8463573476102465E-2</v>
      </c>
      <c r="Q2221">
        <v>5.4085357728230745E-3</v>
      </c>
      <c r="R2221">
        <v>1.6187426287831601E-3</v>
      </c>
      <c r="S2221">
        <v>0.256955065072554</v>
      </c>
      <c r="T2221">
        <v>1.3722879443238325</v>
      </c>
      <c r="U2221">
        <v>0.20739385736049148</v>
      </c>
      <c r="V2221">
        <v>0.24450301063170654</v>
      </c>
      <c r="W2221">
        <v>9.8803075612263383E-2</v>
      </c>
      <c r="X2221">
        <v>1.6430620125539641E-2</v>
      </c>
      <c r="Y2221">
        <v>4.4056838171835965E-3</v>
      </c>
    </row>
    <row r="2222" spans="1:25" x14ac:dyDescent="0.2">
      <c r="A2222" s="1077"/>
      <c r="B2222" s="1444">
        <v>1972</v>
      </c>
      <c r="C2222" s="1081">
        <v>1.0259840129187525</v>
      </c>
      <c r="D2222" s="1081">
        <v>0.98237409913851315</v>
      </c>
      <c r="E2222" s="1081">
        <v>1.0067844095457099</v>
      </c>
      <c r="F2222" s="1081">
        <v>1.0028706759263175</v>
      </c>
      <c r="G2222" s="1081">
        <v>0.96460718693951319</v>
      </c>
      <c r="H2222" s="1081">
        <v>0.99764314448783387</v>
      </c>
      <c r="I2222" s="1081">
        <v>1.0135107451802943</v>
      </c>
      <c r="K2222">
        <v>2.3958768619061419</v>
      </c>
      <c r="L2222">
        <v>0</v>
      </c>
      <c r="M2222">
        <v>1.5803243270195691E-3</v>
      </c>
      <c r="N2222">
        <v>0.14679613402137703</v>
      </c>
      <c r="O2222">
        <v>2.0538702689638231E-2</v>
      </c>
      <c r="P2222">
        <v>2.8497504740106084E-2</v>
      </c>
      <c r="Q2222">
        <v>5.411271513534305E-3</v>
      </c>
      <c r="R2222">
        <v>1.559415136424408E-3</v>
      </c>
      <c r="S2222">
        <v>0.25762329288651575</v>
      </c>
      <c r="T2222">
        <v>1.3757233858147977</v>
      </c>
      <c r="U2222">
        <v>0.20662757433564546</v>
      </c>
      <c r="V2222">
        <v>0.23788361577459227</v>
      </c>
      <c r="W2222">
        <v>9.6048045410684624E-2</v>
      </c>
      <c r="X2222">
        <v>1.6504029969558028E-2</v>
      </c>
      <c r="Y2222">
        <v>4.2442139402856733E-3</v>
      </c>
    </row>
    <row r="2223" spans="1:25" x14ac:dyDescent="0.2">
      <c r="A2223" s="1077"/>
      <c r="B2223" s="1444">
        <v>1973</v>
      </c>
      <c r="C2223" s="1081">
        <v>0.99891813488103109</v>
      </c>
      <c r="D2223" s="1081">
        <v>1.0101428409639595</v>
      </c>
      <c r="E2223" s="1081">
        <v>1.0086747819490456</v>
      </c>
      <c r="F2223" s="1081">
        <v>0.97151250406340561</v>
      </c>
      <c r="G2223" s="1081">
        <v>1.0232421754545797</v>
      </c>
      <c r="H2223" s="1081">
        <v>0.99002388144390785</v>
      </c>
      <c r="I2223" s="1081">
        <v>1.0037555568709193</v>
      </c>
      <c r="K2223">
        <v>2.3741418842928192</v>
      </c>
      <c r="L2223">
        <v>0</v>
      </c>
      <c r="M2223">
        <v>1.5946268829460527E-3</v>
      </c>
      <c r="N2223">
        <v>0.14895723469977395</v>
      </c>
      <c r="O2223">
        <v>2.0967487739777829E-2</v>
      </c>
      <c r="P2223">
        <v>2.8186331896878612E-2</v>
      </c>
      <c r="Q2223">
        <v>5.5347043401189596E-3</v>
      </c>
      <c r="R2223">
        <v>1.5733660816320972E-3</v>
      </c>
      <c r="S2223">
        <v>0.25778422205308965</v>
      </c>
      <c r="T2223">
        <v>1.3327464844685732</v>
      </c>
      <c r="U2223">
        <v>0.21223266449685735</v>
      </c>
      <c r="V2223">
        <v>0.24953588734744608</v>
      </c>
      <c r="W2223">
        <v>9.7353268299808282E-2</v>
      </c>
      <c r="X2223">
        <v>1.6582675937593969E-2</v>
      </c>
      <c r="Y2223">
        <v>4.2821838142131511E-3</v>
      </c>
    </row>
    <row r="2224" spans="1:25" x14ac:dyDescent="0.2">
      <c r="A2224" s="1077"/>
      <c r="B2224" s="1444">
        <v>1974</v>
      </c>
      <c r="C2224" s="1081">
        <v>0.96748857205528971</v>
      </c>
      <c r="D2224" s="1081">
        <v>0.99219726181303813</v>
      </c>
      <c r="E2224" s="1081">
        <v>0.99438747588116527</v>
      </c>
      <c r="F2224" s="1081">
        <v>1.0154485642672462</v>
      </c>
      <c r="G2224" s="1081">
        <v>0.96954492093246225</v>
      </c>
      <c r="H2224" s="1081">
        <v>1.0360635849669493</v>
      </c>
      <c r="I2224" s="1081">
        <v>0.97839083792034021</v>
      </c>
      <c r="K2224">
        <v>2.4620884757105435</v>
      </c>
      <c r="L2224">
        <v>0</v>
      </c>
      <c r="M2224">
        <v>1.7818470257013235E-3</v>
      </c>
      <c r="N2224">
        <v>0.15951055058492286</v>
      </c>
      <c r="O2224">
        <v>2.1724351968893406E-2</v>
      </c>
      <c r="P2224">
        <v>2.8806228167989799E-2</v>
      </c>
      <c r="Q2224">
        <v>5.6527929977168694E-3</v>
      </c>
      <c r="R2224">
        <v>1.7591457519797195E-3</v>
      </c>
      <c r="S2224">
        <v>0.2656242117168357</v>
      </c>
      <c r="T2224">
        <v>1.3927052520470209</v>
      </c>
      <c r="U2224">
        <v>0.21907670500652163</v>
      </c>
      <c r="V2224">
        <v>0.24244610610137257</v>
      </c>
      <c r="W2224">
        <v>0.10513849848308061</v>
      </c>
      <c r="X2224">
        <v>1.6638665075260795E-2</v>
      </c>
      <c r="Y2224">
        <v>4.7878148346475087E-3</v>
      </c>
    </row>
    <row r="2225" spans="1:25" x14ac:dyDescent="0.2">
      <c r="A2225" s="1077"/>
      <c r="B2225" s="1444">
        <v>1975</v>
      </c>
      <c r="C2225" s="1081">
        <v>0.99724815179713311</v>
      </c>
      <c r="D2225" s="1081">
        <v>0.99742439036333796</v>
      </c>
      <c r="E2225" s="1081">
        <v>1.0391095057188477</v>
      </c>
      <c r="F2225" s="1081">
        <v>1.018258914140169</v>
      </c>
      <c r="G2225" s="1081">
        <v>0.95797533552937508</v>
      </c>
      <c r="H2225" s="1081">
        <v>0.98099533045548049</v>
      </c>
      <c r="I2225" s="1081">
        <v>1.0064940892120877</v>
      </c>
      <c r="K2225">
        <v>2.4375710872813627</v>
      </c>
      <c r="L2225">
        <v>0</v>
      </c>
      <c r="M2225">
        <v>1.4897050668294652E-3</v>
      </c>
      <c r="N2225">
        <v>0.15251486591843566</v>
      </c>
      <c r="O2225">
        <v>2.1081566572487401E-2</v>
      </c>
      <c r="P2225">
        <v>2.961113121943288E-2</v>
      </c>
      <c r="Q2225">
        <v>5.7353940768676585E-3</v>
      </c>
      <c r="R2225">
        <v>1.4696603662562716E-3</v>
      </c>
      <c r="S2225">
        <v>0.26004519213773547</v>
      </c>
      <c r="T2225">
        <v>1.3975478372620005</v>
      </c>
      <c r="U2225">
        <v>0.21269276469669279</v>
      </c>
      <c r="V2225">
        <v>0.23839726217631685</v>
      </c>
      <c r="W2225">
        <v>9.792452722150384E-2</v>
      </c>
      <c r="X2225">
        <v>1.8040659656922663E-2</v>
      </c>
      <c r="Y2225">
        <v>3.9999310435400413E-3</v>
      </c>
    </row>
    <row r="2226" spans="1:25" x14ac:dyDescent="0.2">
      <c r="A2226" s="1077"/>
      <c r="B2226" s="1444">
        <v>1976</v>
      </c>
      <c r="C2226" s="1081">
        <v>1.0169684107341801</v>
      </c>
      <c r="D2226" s="1081">
        <v>1.0182496245829757</v>
      </c>
      <c r="E2226" s="1081">
        <v>0.96342167203412687</v>
      </c>
      <c r="F2226" s="1081">
        <v>0.96378886003330322</v>
      </c>
      <c r="G2226" s="1081">
        <v>1.0165594123156008</v>
      </c>
      <c r="H2226" s="1081">
        <v>0.9888658529829587</v>
      </c>
      <c r="I2226" s="1081">
        <v>1.0099198863016552</v>
      </c>
      <c r="K2226">
        <v>2.3357461151176415</v>
      </c>
      <c r="L2226">
        <v>0</v>
      </c>
      <c r="M2226">
        <v>1.7150881916219252E-3</v>
      </c>
      <c r="N2226">
        <v>0.13971552359371334</v>
      </c>
      <c r="O2226">
        <v>2.0529799134712545E-2</v>
      </c>
      <c r="P2226">
        <v>2.6947338240350623E-2</v>
      </c>
      <c r="Q2226">
        <v>5.1763491943484993E-3</v>
      </c>
      <c r="R2226">
        <v>1.6921945281316616E-3</v>
      </c>
      <c r="S2226">
        <v>0.25328823425126967</v>
      </c>
      <c r="T2226">
        <v>1.3212104136566383</v>
      </c>
      <c r="U2226">
        <v>0.20831396431178892</v>
      </c>
      <c r="V2226">
        <v>0.24745504003093574</v>
      </c>
      <c r="W2226">
        <v>9.3830647329912822E-2</v>
      </c>
      <c r="X2226">
        <v>1.4696103363662368E-2</v>
      </c>
      <c r="Y2226">
        <v>4.6055956737981038E-3</v>
      </c>
    </row>
    <row r="2227" spans="1:25" x14ac:dyDescent="0.2">
      <c r="A2227" s="1077"/>
      <c r="B2227" s="1444">
        <v>1977</v>
      </c>
      <c r="C2227" s="1081">
        <v>1.006785757383694</v>
      </c>
      <c r="D2227" s="1081">
        <v>1.0337557687938048</v>
      </c>
      <c r="E2227" s="1081">
        <v>1.0005247711515906</v>
      </c>
      <c r="F2227" s="1081">
        <v>1.0223759208570355</v>
      </c>
      <c r="G2227" s="1081">
        <v>1.0331734290741199</v>
      </c>
      <c r="H2227" s="1081">
        <v>1.0142405169487592</v>
      </c>
      <c r="I2227" s="1081">
        <v>0.98394184519997041</v>
      </c>
      <c r="K2227">
        <v>2.4370317973213149</v>
      </c>
      <c r="L2227">
        <v>0</v>
      </c>
      <c r="M2227">
        <v>1.6401618489576813E-3</v>
      </c>
      <c r="N2227">
        <v>0.14953378644356843</v>
      </c>
      <c r="O2227">
        <v>2.0692811218250812E-2</v>
      </c>
      <c r="P2227">
        <v>2.8851011886232628E-2</v>
      </c>
      <c r="Q2227">
        <v>5.4177470395306336E-3</v>
      </c>
      <c r="R2227">
        <v>1.6188160719406658E-3</v>
      </c>
      <c r="S2227">
        <v>0.24978174367543068</v>
      </c>
      <c r="T2227">
        <v>1.4023418807646306</v>
      </c>
      <c r="U2227">
        <v>0.21054646160040238</v>
      </c>
      <c r="V2227">
        <v>0.2507736780394893</v>
      </c>
      <c r="W2227">
        <v>9.8202905070223362E-2</v>
      </c>
      <c r="X2227">
        <v>1.6505233655324587E-2</v>
      </c>
      <c r="Y2227">
        <v>4.4058837052477961E-3</v>
      </c>
    </row>
    <row r="2228" spans="1:25" x14ac:dyDescent="0.2">
      <c r="A2228" s="1077"/>
      <c r="B2228" s="1444">
        <v>1978</v>
      </c>
      <c r="C2228" s="1081">
        <v>0.97701649503853494</v>
      </c>
      <c r="D2228" s="1081">
        <v>1.0416262125857574</v>
      </c>
      <c r="E2228" s="1081">
        <v>0.99082528830032623</v>
      </c>
      <c r="F2228" s="1081">
        <v>0.9925581243781072</v>
      </c>
      <c r="G2228" s="1081">
        <v>0.96987657112806214</v>
      </c>
      <c r="H2228" s="1081">
        <v>0.97659961444842758</v>
      </c>
      <c r="I2228" s="1081">
        <v>0.99875608540280414</v>
      </c>
      <c r="K2228">
        <v>2.3960928318515937</v>
      </c>
      <c r="L2228">
        <v>0</v>
      </c>
      <c r="M2228">
        <v>1.6576955901069683E-3</v>
      </c>
      <c r="N2228">
        <v>0.14669182841383593</v>
      </c>
      <c r="O2228">
        <v>2.1281235882474325E-2</v>
      </c>
      <c r="P2228">
        <v>2.8148762069551216E-2</v>
      </c>
      <c r="Q2228">
        <v>5.5176184233773334E-3</v>
      </c>
      <c r="R2228">
        <v>1.6352900998061689E-3</v>
      </c>
      <c r="S2228">
        <v>0.25696649131673965</v>
      </c>
      <c r="T2228">
        <v>1.3612342624698701</v>
      </c>
      <c r="U2228">
        <v>0.21692780769260875</v>
      </c>
      <c r="V2228">
        <v>0.24188615465508514</v>
      </c>
      <c r="W2228">
        <v>9.6895395614295526E-2</v>
      </c>
      <c r="X2228">
        <v>1.6114960225617668E-2</v>
      </c>
      <c r="Y2228">
        <v>4.4507205784358695E-3</v>
      </c>
    </row>
    <row r="2229" spans="1:25" x14ac:dyDescent="0.2">
      <c r="A2229" s="1077"/>
      <c r="B2229" s="1444">
        <v>1979</v>
      </c>
      <c r="C2229" s="1081">
        <v>1.0017882597325407</v>
      </c>
      <c r="D2229" s="1081">
        <v>1.0059987860631987</v>
      </c>
      <c r="E2229" s="1081">
        <v>1.0178179934240117</v>
      </c>
      <c r="F2229" s="1081">
        <v>1.0263601836631484</v>
      </c>
      <c r="G2229" s="1081">
        <v>0.97198061575143246</v>
      </c>
      <c r="H2229" s="1081">
        <v>0.97795381282251681</v>
      </c>
      <c r="I2229" s="1081">
        <v>0.99448555336806099</v>
      </c>
      <c r="K2229">
        <v>2.4361041602670643</v>
      </c>
      <c r="L2229">
        <v>0</v>
      </c>
      <c r="M2229">
        <v>1.5424992148985928E-3</v>
      </c>
      <c r="N2229">
        <v>0.14809491812784215</v>
      </c>
      <c r="O2229">
        <v>2.0932394653141638E-2</v>
      </c>
      <c r="P2229">
        <v>2.9239276113737618E-2</v>
      </c>
      <c r="Q2229">
        <v>5.57608336082347E-3</v>
      </c>
      <c r="R2229">
        <v>1.5216795935891509E-3</v>
      </c>
      <c r="S2229">
        <v>0.2542519399443412</v>
      </c>
      <c r="T2229">
        <v>1.4081914759906415</v>
      </c>
      <c r="U2229">
        <v>0.21165587906147926</v>
      </c>
      <c r="V2229">
        <v>0.24057392686123402</v>
      </c>
      <c r="W2229">
        <v>9.6270571651622824E-2</v>
      </c>
      <c r="X2229">
        <v>1.7197003891299689E-2</v>
      </c>
      <c r="Y2229">
        <v>4.1415102322064556E-3</v>
      </c>
    </row>
    <row r="2230" spans="1:25" x14ac:dyDescent="0.2">
      <c r="A2230" s="1077"/>
      <c r="B2230" s="1444">
        <v>1980</v>
      </c>
      <c r="C2230" s="1081">
        <v>1.0084224152194199</v>
      </c>
      <c r="D2230" s="1081">
        <v>0.98734878862435338</v>
      </c>
      <c r="E2230" s="1081">
        <v>1.01738900244067</v>
      </c>
      <c r="F2230" s="1081">
        <v>0.98861953694121807</v>
      </c>
      <c r="G2230" s="1081">
        <v>0.99528141511941459</v>
      </c>
      <c r="H2230" s="1081">
        <v>0.96243892214340598</v>
      </c>
      <c r="I2230" s="1081">
        <v>0.98508075650686966</v>
      </c>
      <c r="K2230">
        <v>2.377711889395159</v>
      </c>
      <c r="L2230">
        <v>0</v>
      </c>
      <c r="M2230">
        <v>1.5156141327026936E-3</v>
      </c>
      <c r="N2230">
        <v>0.14529340489305084</v>
      </c>
      <c r="O2230">
        <v>2.0880186125212065E-2</v>
      </c>
      <c r="P2230">
        <v>2.8502890446998028E-2</v>
      </c>
      <c r="Q2230">
        <v>5.5598009984345427E-3</v>
      </c>
      <c r="R2230">
        <v>1.4948276175293449E-3</v>
      </c>
      <c r="S2230">
        <v>0.25126111624127695</v>
      </c>
      <c r="T2230">
        <v>1.3564011736202481</v>
      </c>
      <c r="U2230">
        <v>0.21026199061161893</v>
      </c>
      <c r="V2230">
        <v>0.24414270005897593</v>
      </c>
      <c r="W2230">
        <v>9.4473173021391799E-2</v>
      </c>
      <c r="X2230">
        <v>1.6887811888002906E-2</v>
      </c>
      <c r="Y2230">
        <v>4.0684280051231933E-3</v>
      </c>
    </row>
    <row r="2231" spans="1:25" x14ac:dyDescent="0.2">
      <c r="A2231" s="1077"/>
      <c r="B2231" s="1444">
        <v>1981</v>
      </c>
      <c r="C2231" s="1081">
        <v>1.0306152931610406</v>
      </c>
      <c r="D2231" s="1081">
        <v>1.0150639880373362</v>
      </c>
      <c r="E2231" s="1081">
        <v>0.99412220131698614</v>
      </c>
      <c r="F2231" s="1081">
        <v>1.0266713867666746</v>
      </c>
      <c r="G2231" s="1081">
        <v>0.97462562237716444</v>
      </c>
      <c r="H2231" s="1081">
        <v>0.98727308218014009</v>
      </c>
      <c r="I2231" s="1081">
        <v>1.0279667693064767</v>
      </c>
      <c r="K2231">
        <v>2.4179285493652962</v>
      </c>
      <c r="L2231">
        <v>0</v>
      </c>
      <c r="M2231">
        <v>1.5868370737720842E-3</v>
      </c>
      <c r="N2231">
        <v>0.14184893063765605</v>
      </c>
      <c r="O2231">
        <v>2.0291561267101264E-2</v>
      </c>
      <c r="P2231">
        <v>2.8639776699110282E-2</v>
      </c>
      <c r="Q2231">
        <v>5.278560970672354E-3</v>
      </c>
      <c r="R2231">
        <v>1.5656211834956049E-3</v>
      </c>
      <c r="S2231">
        <v>0.25491136287458571</v>
      </c>
      <c r="T2231">
        <v>1.408091663431515</v>
      </c>
      <c r="U2231">
        <v>0.20565705162295891</v>
      </c>
      <c r="V2231">
        <v>0.23936503248179691</v>
      </c>
      <c r="W2231">
        <v>9.3511970107721956E-2</v>
      </c>
      <c r="X2231">
        <v>1.6092750407860887E-2</v>
      </c>
      <c r="Y2231">
        <v>4.2611047545906043E-3</v>
      </c>
    </row>
    <row r="2232" spans="1:25" x14ac:dyDescent="0.2">
      <c r="A2232" s="1077"/>
      <c r="B2232" s="1444">
        <v>1982</v>
      </c>
      <c r="C2232" s="1081">
        <v>0.96234915109459274</v>
      </c>
      <c r="D2232" s="1081">
        <v>0.98773692894691878</v>
      </c>
      <c r="E2232" s="1081">
        <v>0.98361909869580033</v>
      </c>
      <c r="F2232" s="1081">
        <v>1.0067665602646971</v>
      </c>
      <c r="G2232" s="1081">
        <v>1.0101911918537894</v>
      </c>
      <c r="H2232" s="1081">
        <v>0.98971813654222229</v>
      </c>
      <c r="I2232" s="1081">
        <v>0.97162648448344591</v>
      </c>
      <c r="K2232">
        <v>2.4413857068306744</v>
      </c>
      <c r="L2232">
        <v>0</v>
      </c>
      <c r="M2232">
        <v>1.7515531081023533E-3</v>
      </c>
      <c r="N2232">
        <v>0.15168380339192042</v>
      </c>
      <c r="O2232">
        <v>2.1854596584480069E-2</v>
      </c>
      <c r="P2232">
        <v>2.8471264031442907E-2</v>
      </c>
      <c r="Q2232">
        <v>5.6250893665468274E-3</v>
      </c>
      <c r="R2232">
        <v>1.7281928304930675E-3</v>
      </c>
      <c r="S2232">
        <v>0.26171365990848899</v>
      </c>
      <c r="T2232">
        <v>1.3805637827802231</v>
      </c>
      <c r="U2232">
        <v>0.22020850105152309</v>
      </c>
      <c r="V2232">
        <v>0.24977192209674934</v>
      </c>
      <c r="W2232">
        <v>0.10062719869203166</v>
      </c>
      <c r="X2232">
        <v>1.6185678018890731E-2</v>
      </c>
      <c r="Y2232">
        <v>4.7035711859886682E-3</v>
      </c>
    </row>
    <row r="2233" spans="1:25" x14ac:dyDescent="0.2">
      <c r="A2233" s="1077"/>
      <c r="B2233" s="1444">
        <v>1983</v>
      </c>
      <c r="C2233" s="1081">
        <v>1.0295959632442455</v>
      </c>
      <c r="D2233" s="1081">
        <v>0.98462805781014462</v>
      </c>
      <c r="E2233" s="1081">
        <v>1.0103507516543939</v>
      </c>
      <c r="F2233" s="1081">
        <v>1.0306692318901447</v>
      </c>
      <c r="G2233" s="1081">
        <v>1.0176725867797607</v>
      </c>
      <c r="H2233" s="1081">
        <v>1.0000638736221685</v>
      </c>
      <c r="I2233" s="1081">
        <v>1.0146516633222651</v>
      </c>
      <c r="K2233">
        <v>2.4426784133317114</v>
      </c>
      <c r="L2233">
        <v>0</v>
      </c>
      <c r="M2233">
        <v>1.5661613966481177E-3</v>
      </c>
      <c r="N2233">
        <v>0.14706030002019721</v>
      </c>
      <c r="O2233">
        <v>2.0458643680479241E-2</v>
      </c>
      <c r="P2233">
        <v>2.9200541653543445E-2</v>
      </c>
      <c r="Q2233">
        <v>5.4094444345224469E-3</v>
      </c>
      <c r="R2233">
        <v>1.5454897537275772E-3</v>
      </c>
      <c r="S2233">
        <v>0.25694499418991767</v>
      </c>
      <c r="T2233">
        <v>1.4139366752772333</v>
      </c>
      <c r="U2233">
        <v>0.20591455506844286</v>
      </c>
      <c r="V2233">
        <v>0.24671749947000229</v>
      </c>
      <c r="W2233">
        <v>9.6018521258165068E-2</v>
      </c>
      <c r="X2233">
        <v>1.6831596283043468E-2</v>
      </c>
      <c r="Y2233">
        <v>4.2063136390860728E-3</v>
      </c>
    </row>
    <row r="2234" spans="1:25" x14ac:dyDescent="0.2">
      <c r="A2234" s="1077"/>
      <c r="B2234" s="1444">
        <v>1984</v>
      </c>
      <c r="C2234" s="1081">
        <v>0.98829544369892885</v>
      </c>
      <c r="D2234" s="1081">
        <v>0.98535362031845808</v>
      </c>
      <c r="E2234" s="1081">
        <v>1.0255231660242958</v>
      </c>
      <c r="F2234" s="1081">
        <v>1.0184737214365573</v>
      </c>
      <c r="G2234" s="1081">
        <v>0.97342566812847775</v>
      </c>
      <c r="H2234" s="1081">
        <v>1.0005055969391397</v>
      </c>
      <c r="I2234" s="1081">
        <v>1.017935395751312</v>
      </c>
      <c r="K2234">
        <v>2.4568978070812566</v>
      </c>
      <c r="L2234">
        <v>0</v>
      </c>
      <c r="M2234">
        <v>1.581365097842172E-3</v>
      </c>
      <c r="N2234">
        <v>0.15544442027645974</v>
      </c>
      <c r="O2234">
        <v>2.1320399533371278E-2</v>
      </c>
      <c r="P2234">
        <v>2.951159202460225E-2</v>
      </c>
      <c r="Q2234">
        <v>5.7230738105149429E-3</v>
      </c>
      <c r="R2234">
        <v>1.5605019975768763E-3</v>
      </c>
      <c r="S2234">
        <v>0.26861748938609026</v>
      </c>
      <c r="T2234">
        <v>1.3975415057075378</v>
      </c>
      <c r="U2234">
        <v>0.2145722730281821</v>
      </c>
      <c r="V2234">
        <v>0.24164520842046808</v>
      </c>
      <c r="W2234">
        <v>0.10059428930151523</v>
      </c>
      <c r="X2234">
        <v>1.770124667472223E-2</v>
      </c>
      <c r="Y2234">
        <v>4.2471720180590087E-3</v>
      </c>
    </row>
    <row r="2235" spans="1:25" x14ac:dyDescent="0.2">
      <c r="A2235" s="1077"/>
      <c r="B2235" s="1444">
        <v>1985</v>
      </c>
      <c r="C2235" s="1081">
        <v>1.0302536098348198</v>
      </c>
      <c r="D2235" s="1081">
        <v>1.000206728835767</v>
      </c>
      <c r="E2235" s="1081">
        <v>0.99161941230169481</v>
      </c>
      <c r="F2235" s="1081">
        <v>0.97539282825698115</v>
      </c>
      <c r="G2235" s="1081">
        <v>1.0144908242656849</v>
      </c>
      <c r="H2235" s="1081">
        <v>1.0172265790209098</v>
      </c>
      <c r="I2235" s="1081">
        <v>0.97236936919611938</v>
      </c>
      <c r="K2235">
        <v>2.3514117046803893</v>
      </c>
      <c r="L2235">
        <v>0</v>
      </c>
      <c r="M2235">
        <v>1.6494005609609457E-3</v>
      </c>
      <c r="N2235">
        <v>0.1463886831884525</v>
      </c>
      <c r="O2235">
        <v>2.0363028065556125E-2</v>
      </c>
      <c r="P2235">
        <v>2.7595974612065411E-2</v>
      </c>
      <c r="Q2235">
        <v>5.2837898662556823E-3</v>
      </c>
      <c r="R2235">
        <v>1.6279975606873455E-3</v>
      </c>
      <c r="S2235">
        <v>0.2453825831959689</v>
      </c>
      <c r="T2235">
        <v>1.3377098057005903</v>
      </c>
      <c r="U2235">
        <v>0.20572095555061209</v>
      </c>
      <c r="V2235">
        <v>0.24620451583561076</v>
      </c>
      <c r="W2235">
        <v>9.664921166691505E-2</v>
      </c>
      <c r="X2235">
        <v>1.5703687307695877E-2</v>
      </c>
      <c r="Y2235">
        <v>4.4308726909393073E-3</v>
      </c>
    </row>
    <row r="2236" spans="1:25" x14ac:dyDescent="0.2">
      <c r="A2236" s="1077"/>
      <c r="B2236" s="1444">
        <v>1986</v>
      </c>
      <c r="C2236" s="1081">
        <v>0.96284290703289821</v>
      </c>
      <c r="D2236" s="1081">
        <v>0.99243642643303331</v>
      </c>
      <c r="E2236" s="1081">
        <v>0.98856892613334613</v>
      </c>
      <c r="F2236" s="1081">
        <v>0.98463664195816658</v>
      </c>
      <c r="G2236" s="1081">
        <v>0.97795375468512358</v>
      </c>
      <c r="H2236" s="1081">
        <v>1.0087655435511755</v>
      </c>
      <c r="I2236" s="1081">
        <v>0.96186135000199402</v>
      </c>
      <c r="K2236">
        <v>2.4088451387244727</v>
      </c>
      <c r="L2236">
        <v>0</v>
      </c>
      <c r="M2236">
        <v>1.7643159206959516E-3</v>
      </c>
      <c r="N2236">
        <v>0.15513306706818072</v>
      </c>
      <c r="O2236">
        <v>2.1824001407021065E-2</v>
      </c>
      <c r="P2236">
        <v>2.8068940811897196E-2</v>
      </c>
      <c r="Q2236">
        <v>5.6454498908359877E-3</v>
      </c>
      <c r="R2236">
        <v>1.7412297271717939E-3</v>
      </c>
      <c r="S2236">
        <v>0.25999404388071007</v>
      </c>
      <c r="T2236">
        <v>1.3503224712955124</v>
      </c>
      <c r="U2236">
        <v>0.22011310946133589</v>
      </c>
      <c r="V2236">
        <v>0.24421364313776764</v>
      </c>
      <c r="W2236">
        <v>0.10260978393447898</v>
      </c>
      <c r="X2236">
        <v>1.6204660709123339E-2</v>
      </c>
      <c r="Y2236">
        <v>4.739053321136325E-3</v>
      </c>
    </row>
    <row r="2237" spans="1:25" x14ac:dyDescent="0.2">
      <c r="A2237" s="1077"/>
      <c r="B2237" s="1444">
        <v>1987</v>
      </c>
      <c r="C2237" s="1081">
        <v>1.0288420645537344</v>
      </c>
      <c r="D2237" s="1081">
        <v>1.0140474014563667</v>
      </c>
      <c r="E2237" s="1081">
        <v>0.99416467078495208</v>
      </c>
      <c r="F2237" s="1081">
        <v>0.95833362274546141</v>
      </c>
      <c r="G2237" s="1081">
        <v>0.9603484593238879</v>
      </c>
      <c r="H2237" s="1081">
        <v>1.0474360508460079</v>
      </c>
      <c r="I2237" s="1081">
        <v>1.0316836480830576</v>
      </c>
      <c r="K2237">
        <v>2.3426177507883148</v>
      </c>
      <c r="L2237">
        <v>0</v>
      </c>
      <c r="M2237">
        <v>1.6866615398132782E-3</v>
      </c>
      <c r="N2237">
        <v>0.15090906224877837</v>
      </c>
      <c r="O2237">
        <v>2.0331042723824036E-2</v>
      </c>
      <c r="P2237">
        <v>2.7430173596670403E-2</v>
      </c>
      <c r="Q2237">
        <v>5.2890580255625626E-3</v>
      </c>
      <c r="R2237">
        <v>1.665406268985835E-3</v>
      </c>
      <c r="S2237">
        <v>0.26151803902887083</v>
      </c>
      <c r="T2237">
        <v>1.3143665101036301</v>
      </c>
      <c r="U2237">
        <v>0.20601164638164265</v>
      </c>
      <c r="V2237">
        <v>0.23703068915456402</v>
      </c>
      <c r="W2237">
        <v>9.9482215367281135E-2</v>
      </c>
      <c r="X2237">
        <v>1.5737882565166249E-2</v>
      </c>
      <c r="Y2237">
        <v>4.5326868631504185E-3</v>
      </c>
    </row>
    <row r="2238" spans="1:25" x14ac:dyDescent="0.2">
      <c r="A2238" s="1077"/>
      <c r="B2238" s="1444">
        <v>1988</v>
      </c>
      <c r="C2238" s="1081">
        <v>1.0293448313903175</v>
      </c>
      <c r="D2238" s="1081">
        <v>0.97216332603064881</v>
      </c>
      <c r="E2238" s="1081">
        <v>1.0007392935732333</v>
      </c>
      <c r="F2238" s="1081">
        <v>0.98531138507900273</v>
      </c>
      <c r="G2238" s="1081">
        <v>1.0193397029494342</v>
      </c>
      <c r="H2238" s="1081">
        <v>0.99395373767363704</v>
      </c>
      <c r="I2238" s="1081">
        <v>1.006091935271201</v>
      </c>
      <c r="K2238">
        <v>2.3755062420182673</v>
      </c>
      <c r="L2238">
        <v>0</v>
      </c>
      <c r="M2238">
        <v>1.5928106075104391E-3</v>
      </c>
      <c r="N2238">
        <v>0.1452718034397662</v>
      </c>
      <c r="O2238">
        <v>2.0514830546341144E-2</v>
      </c>
      <c r="P2238">
        <v>2.8131173149966885E-2</v>
      </c>
      <c r="Q2238">
        <v>5.3723064444710098E-3</v>
      </c>
      <c r="R2238">
        <v>1.5716579865859648E-3</v>
      </c>
      <c r="S2238">
        <v>0.25589061879915548</v>
      </c>
      <c r="T2238">
        <v>1.3515068842977171</v>
      </c>
      <c r="U2238">
        <v>0.20593284748017837</v>
      </c>
      <c r="V2238">
        <v>0.2470523036446009</v>
      </c>
      <c r="W2238">
        <v>9.5391787703579548E-2</v>
      </c>
      <c r="X2238">
        <v>1.6185304190844529E-2</v>
      </c>
      <c r="Y2238">
        <v>4.2775349425709609E-3</v>
      </c>
    </row>
    <row r="2239" spans="1:25" x14ac:dyDescent="0.2">
      <c r="A2239" s="1077"/>
      <c r="B2239" s="1444">
        <v>1989</v>
      </c>
      <c r="C2239" s="1081">
        <v>1.0075605692785325</v>
      </c>
      <c r="D2239" s="1081">
        <v>0.98300904841425529</v>
      </c>
      <c r="E2239" s="1081">
        <v>1.034017498351842</v>
      </c>
      <c r="F2239" s="1081">
        <v>1.0330617825030588</v>
      </c>
      <c r="G2239" s="1081">
        <v>0.98974659461202275</v>
      </c>
      <c r="H2239" s="1081">
        <v>1.0183057841743894</v>
      </c>
      <c r="I2239" s="1081">
        <v>1.0308018185691232</v>
      </c>
      <c r="K2239">
        <v>2.4762421203558365</v>
      </c>
      <c r="L2239">
        <v>0</v>
      </c>
      <c r="M2239">
        <v>1.5518409053639215E-3</v>
      </c>
      <c r="N2239">
        <v>0.15653546198367735</v>
      </c>
      <c r="O2239">
        <v>2.0929346204992386E-2</v>
      </c>
      <c r="P2239">
        <v>2.9943501663699489E-2</v>
      </c>
      <c r="Q2239">
        <v>5.6654899077103228E-3</v>
      </c>
      <c r="R2239">
        <v>1.5317252029062917E-3</v>
      </c>
      <c r="S2239">
        <v>0.26876014351966027</v>
      </c>
      <c r="T2239">
        <v>1.4177500170516346</v>
      </c>
      <c r="U2239">
        <v>0.21049847738377031</v>
      </c>
      <c r="V2239">
        <v>0.2431935903715049</v>
      </c>
      <c r="W2239">
        <v>0.10080199760625026</v>
      </c>
      <c r="X2239">
        <v>1.8015359296158159E-2</v>
      </c>
      <c r="Y2239">
        <v>4.1688510692334908E-3</v>
      </c>
    </row>
    <row r="2240" spans="1:25" x14ac:dyDescent="0.2">
      <c r="A2240" s="1077"/>
      <c r="B2240" s="1444">
        <v>1990</v>
      </c>
      <c r="C2240" s="1081">
        <v>1.0138174020077058</v>
      </c>
      <c r="D2240" s="1081">
        <v>0.99603077242139015</v>
      </c>
      <c r="E2240" s="1081">
        <v>0.9959132928829677</v>
      </c>
      <c r="F2240" s="1081">
        <v>1.0247089935951725</v>
      </c>
      <c r="G2240" s="1081">
        <v>1.0273031653830031</v>
      </c>
      <c r="H2240" s="1081">
        <v>1.01059768269862</v>
      </c>
      <c r="I2240" s="1081">
        <v>0.99337702148601503</v>
      </c>
      <c r="K2240">
        <v>2.4406688985121066</v>
      </c>
      <c r="L2240">
        <v>0</v>
      </c>
      <c r="M2240">
        <v>1.6519863582526884E-3</v>
      </c>
      <c r="N2240">
        <v>0.14852068353366271</v>
      </c>
      <c r="O2240">
        <v>2.0715023753279282E-2</v>
      </c>
      <c r="P2240">
        <v>2.8822456511340196E-2</v>
      </c>
      <c r="Q2240">
        <v>5.3984559833632675E-3</v>
      </c>
      <c r="R2240">
        <v>1.6304091935307654E-3</v>
      </c>
      <c r="S2240">
        <v>0.25476273053590665</v>
      </c>
      <c r="T2240">
        <v>1.4054398738736193</v>
      </c>
      <c r="U2240">
        <v>0.20907060747760611</v>
      </c>
      <c r="V2240">
        <v>0.24935860450900937</v>
      </c>
      <c r="W2240">
        <v>9.7805648918112997E-2</v>
      </c>
      <c r="X2240">
        <v>1.6358954220381913E-2</v>
      </c>
      <c r="Y2240">
        <v>4.4374363605445425E-3</v>
      </c>
    </row>
    <row r="2241" spans="1:25" x14ac:dyDescent="0.2">
      <c r="A2241" s="1077"/>
      <c r="B2241" s="1444">
        <v>1991</v>
      </c>
      <c r="C2241" s="1081">
        <v>1.018289214270895</v>
      </c>
      <c r="D2241" s="1081">
        <v>1.0105162840027013</v>
      </c>
      <c r="E2241" s="1081">
        <v>0.99731749397366587</v>
      </c>
      <c r="F2241" s="1081">
        <v>0.9668655374719527</v>
      </c>
      <c r="G2241" s="1081">
        <v>0.99037740903364413</v>
      </c>
      <c r="H2241" s="1081">
        <v>0.9957369680867908</v>
      </c>
      <c r="I2241" s="1081">
        <v>1.0068359482268585</v>
      </c>
      <c r="K2241">
        <v>2.3459571341899674</v>
      </c>
      <c r="L2241">
        <v>0</v>
      </c>
      <c r="M2241">
        <v>1.6107106934090145E-3</v>
      </c>
      <c r="N2241">
        <v>0.14539689907037559</v>
      </c>
      <c r="O2241">
        <v>2.0559558692092139E-2</v>
      </c>
      <c r="P2241">
        <v>2.7660227448744735E-2</v>
      </c>
      <c r="Q2241">
        <v>5.3655230212490542E-3</v>
      </c>
      <c r="R2241">
        <v>1.5893586654653151E-3</v>
      </c>
      <c r="S2241">
        <v>0.25399775871888564</v>
      </c>
      <c r="T2241">
        <v>1.326134011352248</v>
      </c>
      <c r="U2241">
        <v>0.20815718606257508</v>
      </c>
      <c r="V2241">
        <v>0.24277676910336532</v>
      </c>
      <c r="W2241">
        <v>9.5668446127633186E-2</v>
      </c>
      <c r="X2241">
        <v>1.5936396265287867E-2</v>
      </c>
      <c r="Y2241">
        <v>4.3257103554533273E-3</v>
      </c>
    </row>
    <row r="2242" spans="1:25" x14ac:dyDescent="0.2">
      <c r="A2242" s="1077"/>
      <c r="B2242" s="1444">
        <v>1992</v>
      </c>
      <c r="C2242" s="1081">
        <v>1.0319547533845936</v>
      </c>
      <c r="D2242" s="1081">
        <v>1.0184886902002666</v>
      </c>
      <c r="E2242" s="1081">
        <v>0.99958795227496933</v>
      </c>
      <c r="F2242" s="1081">
        <v>1.0310385917099369</v>
      </c>
      <c r="G2242" s="1081">
        <v>0.99863833278050995</v>
      </c>
      <c r="H2242" s="1081">
        <v>1.0130673789945766</v>
      </c>
      <c r="I2242" s="1081">
        <v>0.99443009472914301</v>
      </c>
      <c r="K2242">
        <v>2.4279932800449742</v>
      </c>
      <c r="L2242">
        <v>0</v>
      </c>
      <c r="M2242">
        <v>1.6066675419589783E-3</v>
      </c>
      <c r="N2242">
        <v>0.1460638759999611</v>
      </c>
      <c r="O2242">
        <v>2.0253711416057529E-2</v>
      </c>
      <c r="P2242">
        <v>2.8797404516883021E-2</v>
      </c>
      <c r="Q2242">
        <v>5.297791909665053E-3</v>
      </c>
      <c r="R2242">
        <v>1.585733460617939E-3</v>
      </c>
      <c r="S2242">
        <v>0.24800907588531484</v>
      </c>
      <c r="T2242">
        <v>1.4142031418915677</v>
      </c>
      <c r="U2242">
        <v>0.20540820788626324</v>
      </c>
      <c r="V2242">
        <v>0.24336803061066045</v>
      </c>
      <c r="W2242">
        <v>9.5977542949628902E-2</v>
      </c>
      <c r="X2242">
        <v>1.6319587317405126E-2</v>
      </c>
      <c r="Y2242">
        <v>4.3158437429072251E-3</v>
      </c>
    </row>
    <row r="2243" spans="1:25" x14ac:dyDescent="0.2">
      <c r="A2243" s="1077"/>
      <c r="B2243" s="1444">
        <v>1993</v>
      </c>
      <c r="C2243" s="1081">
        <v>1.0472049255087552</v>
      </c>
      <c r="D2243" s="1081">
        <v>1.0177276772125432</v>
      </c>
      <c r="E2243" s="1081">
        <v>0.96680582489950107</v>
      </c>
      <c r="F2243" s="1081">
        <v>0.97727719957910597</v>
      </c>
      <c r="G2243" s="1081">
        <v>0.99243799717630443</v>
      </c>
      <c r="H2243" s="1081">
        <v>0.9898745302948726</v>
      </c>
      <c r="I2243" s="1081">
        <v>1.0197623480032154</v>
      </c>
      <c r="K2243">
        <v>2.3309169064084738</v>
      </c>
      <c r="L2243">
        <v>0</v>
      </c>
      <c r="M2243">
        <v>1.6558547206925185E-3</v>
      </c>
      <c r="N2243">
        <v>0.13628189635061827</v>
      </c>
      <c r="O2243">
        <v>1.9941404408337204E-2</v>
      </c>
      <c r="P2243">
        <v>2.7042989307112859E-2</v>
      </c>
      <c r="Q2243">
        <v>5.0454612559282215E-3</v>
      </c>
      <c r="R2243">
        <v>1.6337742514253202E-3</v>
      </c>
      <c r="S2243">
        <v>0.24854536051545167</v>
      </c>
      <c r="T2243">
        <v>1.3397719170261821</v>
      </c>
      <c r="U2243">
        <v>0.20231018571391807</v>
      </c>
      <c r="V2243">
        <v>0.24154849559086605</v>
      </c>
      <c r="W2243">
        <v>9.1335627776186812E-2</v>
      </c>
      <c r="X2243">
        <v>1.4669053994297365E-2</v>
      </c>
      <c r="Y2243">
        <v>4.4465949388424854E-3</v>
      </c>
    </row>
    <row r="2244" spans="1:25" x14ac:dyDescent="0.2">
      <c r="A2244" s="1077"/>
      <c r="B2244" s="1444">
        <v>1994</v>
      </c>
      <c r="C2244" s="1081">
        <v>0.99733335210050689</v>
      </c>
      <c r="D2244" s="1081">
        <v>1.032355704216787</v>
      </c>
      <c r="E2244" s="1081">
        <v>0.99062927431953396</v>
      </c>
      <c r="F2244" s="1081">
        <v>1.0362831750233961</v>
      </c>
      <c r="G2244" s="1081">
        <v>1.0030959883351658</v>
      </c>
      <c r="H2244" s="1081">
        <v>0.99663319189506117</v>
      </c>
      <c r="I2244" s="1081">
        <v>1.029088429704732</v>
      </c>
      <c r="K2244">
        <v>2.4623598328539011</v>
      </c>
      <c r="L2244">
        <v>0</v>
      </c>
      <c r="M2244">
        <v>1.6611758847129784E-3</v>
      </c>
      <c r="N2244">
        <v>0.14695317925333531</v>
      </c>
      <c r="O2244">
        <v>2.0888625719257835E-2</v>
      </c>
      <c r="P2244">
        <v>2.9028479362143082E-2</v>
      </c>
      <c r="Q2244">
        <v>5.4147533218581794E-3</v>
      </c>
      <c r="R2244">
        <v>1.6391746786117273E-3</v>
      </c>
      <c r="S2244">
        <v>0.26227889077522504</v>
      </c>
      <c r="T2244">
        <v>1.4211961763033061</v>
      </c>
      <c r="U2244">
        <v>0.21250806148736623</v>
      </c>
      <c r="V2244">
        <v>0.24626050451159878</v>
      </c>
      <c r="W2244">
        <v>9.707941979927405E-2</v>
      </c>
      <c r="X2244">
        <v>1.6312450405241669E-2</v>
      </c>
      <c r="Y2244">
        <v>4.4612931213935409E-3</v>
      </c>
    </row>
    <row r="2245" spans="1:25" x14ac:dyDescent="0.2">
      <c r="A2245" s="1077"/>
      <c r="B2245" s="1444">
        <v>1995</v>
      </c>
      <c r="C2245" s="1081">
        <v>0.98454369481141601</v>
      </c>
      <c r="D2245" s="1081">
        <v>1.0268312014885999</v>
      </c>
      <c r="E2245" s="1081">
        <v>0.98862735500603627</v>
      </c>
      <c r="F2245" s="1081">
        <v>0.99120610274388532</v>
      </c>
      <c r="G2245" s="1081">
        <v>0.99137449470580774</v>
      </c>
      <c r="H2245" s="1081">
        <v>0.99230946794604924</v>
      </c>
      <c r="I2245" s="1081">
        <v>1.0016331362164657</v>
      </c>
      <c r="K2245">
        <v>2.3999389825174888</v>
      </c>
      <c r="L2245">
        <v>0</v>
      </c>
      <c r="M2245">
        <v>1.6844027706230395E-3</v>
      </c>
      <c r="N2245">
        <v>0.14810004843553701</v>
      </c>
      <c r="O2245">
        <v>2.1183631995851902E-2</v>
      </c>
      <c r="P2245">
        <v>2.812332739399066E-2</v>
      </c>
      <c r="Q2245">
        <v>5.480122513488163E-3</v>
      </c>
      <c r="R2245">
        <v>1.6619967345732436E-3</v>
      </c>
      <c r="S2245">
        <v>0.25890046999309835</v>
      </c>
      <c r="T2245">
        <v>1.3593330246644544</v>
      </c>
      <c r="U2245">
        <v>0.21526169602045631</v>
      </c>
      <c r="V2245">
        <v>0.24507798722329013</v>
      </c>
      <c r="W2245">
        <v>9.7954496495666066E-2</v>
      </c>
      <c r="X2245">
        <v>1.6023176583271206E-2</v>
      </c>
      <c r="Y2245">
        <v>4.5234072344320624E-3</v>
      </c>
    </row>
    <row r="2246" spans="1:25" x14ac:dyDescent="0.2">
      <c r="A2246" s="1077"/>
      <c r="B2246" s="1444">
        <v>1996</v>
      </c>
      <c r="C2246" s="1081">
        <v>0.98571159512925688</v>
      </c>
      <c r="D2246" s="1081">
        <v>1.0023840254047591</v>
      </c>
      <c r="E2246" s="1081">
        <v>0.98295111637926913</v>
      </c>
      <c r="F2246" s="1081">
        <v>1.0339537917497115</v>
      </c>
      <c r="G2246" s="1081">
        <v>0.96058631680908657</v>
      </c>
      <c r="H2246" s="1081">
        <v>1.0080010785834506</v>
      </c>
      <c r="I2246" s="1081">
        <v>0.99217197661466494</v>
      </c>
      <c r="K2246">
        <v>2.4593629905866949</v>
      </c>
      <c r="L2246">
        <v>0</v>
      </c>
      <c r="M2246">
        <v>1.7383984852549429E-3</v>
      </c>
      <c r="N2246">
        <v>0.15027756988812999</v>
      </c>
      <c r="O2246">
        <v>2.1267185325008653E-2</v>
      </c>
      <c r="P2246">
        <v>2.8738112107143537E-2</v>
      </c>
      <c r="Q2246">
        <v>5.4701889521216601E-3</v>
      </c>
      <c r="R2246">
        <v>1.7156341718288465E-3</v>
      </c>
      <c r="S2246">
        <v>0.26054951180946428</v>
      </c>
      <c r="T2246">
        <v>1.4178303362494051</v>
      </c>
      <c r="U2246">
        <v>0.21498700825498601</v>
      </c>
      <c r="V2246">
        <v>0.23976297389893167</v>
      </c>
      <c r="W2246">
        <v>9.973441643449768E-2</v>
      </c>
      <c r="X2246">
        <v>1.609906132336833E-2</v>
      </c>
      <c r="Y2246">
        <v>4.6693906570653742E-3</v>
      </c>
    </row>
    <row r="2247" spans="1:25" x14ac:dyDescent="0.2">
      <c r="A2247" s="1077"/>
      <c r="B2247" s="1444">
        <v>1997</v>
      </c>
      <c r="C2247" s="1081">
        <v>0.97951471393531919</v>
      </c>
      <c r="D2247" s="1081">
        <v>1.0281779691355861</v>
      </c>
      <c r="E2247" s="1081">
        <v>1.0032522562512054</v>
      </c>
      <c r="F2247" s="1081">
        <v>0.99444980987872689</v>
      </c>
      <c r="G2247" s="1081">
        <v>1.0109270214836548</v>
      </c>
      <c r="H2247" s="1081">
        <v>0.99726827641966598</v>
      </c>
      <c r="I2247" s="1081">
        <v>0.98760606193388323</v>
      </c>
      <c r="K2247">
        <v>2.4137500520844504</v>
      </c>
      <c r="L2247">
        <v>0</v>
      </c>
      <c r="M2247">
        <v>1.6502242911181307E-3</v>
      </c>
      <c r="N2247">
        <v>0.15166185327676235</v>
      </c>
      <c r="O2247">
        <v>2.1296095626143485E-2</v>
      </c>
      <c r="P2247">
        <v>2.8536491492629025E-2</v>
      </c>
      <c r="Q2247">
        <v>5.5909890198659164E-3</v>
      </c>
      <c r="R2247">
        <v>1.6283820503599318E-3</v>
      </c>
      <c r="S2247">
        <v>0.25695928478288216</v>
      </c>
      <c r="T2247">
        <v>1.364095717698395</v>
      </c>
      <c r="U2247">
        <v>0.2164178870660714</v>
      </c>
      <c r="V2247">
        <v>0.24869028669896773</v>
      </c>
      <c r="W2247">
        <v>9.9439376218145456E-2</v>
      </c>
      <c r="X2247">
        <v>1.665199330026584E-2</v>
      </c>
      <c r="Y2247">
        <v>4.431919145081102E-3</v>
      </c>
    </row>
    <row r="2248" spans="1:25" x14ac:dyDescent="0.2">
      <c r="A2248" s="1077"/>
      <c r="B2248" s="1444">
        <v>1998</v>
      </c>
      <c r="C2248" s="1081">
        <v>0.97219971893540924</v>
      </c>
      <c r="D2248" s="1081">
        <v>1.0037763377441125</v>
      </c>
      <c r="E2248" s="1081">
        <v>0.99998906616772265</v>
      </c>
      <c r="F2248" s="1081">
        <v>0.97379060471339574</v>
      </c>
      <c r="G2248" s="1081">
        <v>1.0016411181132083</v>
      </c>
      <c r="H2248" s="1081">
        <v>1.015728064134382</v>
      </c>
      <c r="I2248" s="1081">
        <v>0.99323520537816701</v>
      </c>
      <c r="K2248">
        <v>2.4014336940161858</v>
      </c>
      <c r="L2248">
        <v>0</v>
      </c>
      <c r="M2248">
        <v>1.7139541761928203E-3</v>
      </c>
      <c r="N2248">
        <v>0.1560117592745833</v>
      </c>
      <c r="O2248">
        <v>2.1567784122639062E-2</v>
      </c>
      <c r="P2248">
        <v>2.8197648796449148E-2</v>
      </c>
      <c r="Q2248">
        <v>5.6437910993750303E-3</v>
      </c>
      <c r="R2248">
        <v>1.6916807014940008E-3</v>
      </c>
      <c r="S2248">
        <v>0.2650836727794606</v>
      </c>
      <c r="T2248">
        <v>1.3356885510140657</v>
      </c>
      <c r="U2248">
        <v>0.21803477561201107</v>
      </c>
      <c r="V2248">
        <v>0.24759557656399075</v>
      </c>
      <c r="W2248">
        <v>0.10248978632983276</v>
      </c>
      <c r="X2248">
        <v>1.6538424691404128E-2</v>
      </c>
      <c r="Y2248">
        <v>4.6041972070732969E-3</v>
      </c>
    </row>
    <row r="2249" spans="1:25" x14ac:dyDescent="0.2">
      <c r="A2249" s="1077"/>
      <c r="B2249" s="1444">
        <v>1999</v>
      </c>
      <c r="C2249" s="1081">
        <v>0.99950437723727437</v>
      </c>
      <c r="D2249" s="1081">
        <v>0.97232885025586824</v>
      </c>
      <c r="E2249" s="1081">
        <v>1.0074692517033961</v>
      </c>
      <c r="F2249" s="1081">
        <v>0.96278578592377162</v>
      </c>
      <c r="G2249" s="1081">
        <v>1.0325514127581754</v>
      </c>
      <c r="H2249" s="1081">
        <v>1.0140774814100726</v>
      </c>
      <c r="I2249" s="1081">
        <v>1.0041210587247893</v>
      </c>
      <c r="K2249">
        <v>2.3786906904175003</v>
      </c>
      <c r="L2249">
        <v>0</v>
      </c>
      <c r="M2249">
        <v>1.6502982148972622E-3</v>
      </c>
      <c r="N2249">
        <v>0.15364671989171103</v>
      </c>
      <c r="O2249">
        <v>2.1131013953122283E-2</v>
      </c>
      <c r="P2249">
        <v>2.8112161187114963E-2</v>
      </c>
      <c r="Q2249">
        <v>5.5711447407438761E-3</v>
      </c>
      <c r="R2249">
        <v>1.6288170658036671E-3</v>
      </c>
      <c r="S2249">
        <v>0.26477825171588343</v>
      </c>
      <c r="T2249">
        <v>1.3207497986153705</v>
      </c>
      <c r="U2249">
        <v>0.21210405503528781</v>
      </c>
      <c r="V2249">
        <v>0.25109307946523379</v>
      </c>
      <c r="W2249">
        <v>0.10048967122589733</v>
      </c>
      <c r="X2249">
        <v>1.6603172622511698E-2</v>
      </c>
      <c r="Y2249">
        <v>4.4331031137161466E-3</v>
      </c>
    </row>
    <row r="2250" spans="1:25" x14ac:dyDescent="0.2">
      <c r="A2250" s="1077"/>
      <c r="B2250" s="1444">
        <v>2000</v>
      </c>
      <c r="C2250" s="1081">
        <v>1.0035678891761424</v>
      </c>
      <c r="D2250" s="1081">
        <v>1.031319255279175</v>
      </c>
      <c r="E2250" s="1081">
        <v>0.99473892518272611</v>
      </c>
      <c r="F2250" s="1081">
        <v>1.0257358386279956</v>
      </c>
      <c r="G2250" s="1081">
        <v>0.999030597188025</v>
      </c>
      <c r="H2250" s="1081">
        <v>1.0151228398301659</v>
      </c>
      <c r="I2250" s="1081">
        <v>0.97006819271894507</v>
      </c>
      <c r="K2250">
        <v>2.434021233905582</v>
      </c>
      <c r="L2250">
        <v>0</v>
      </c>
      <c r="M2250">
        <v>1.6675944158310227E-3</v>
      </c>
      <c r="N2250">
        <v>0.14940155625857635</v>
      </c>
      <c r="O2250">
        <v>2.0766141964779244E-2</v>
      </c>
      <c r="P2250">
        <v>2.8687323569140267E-2</v>
      </c>
      <c r="Q2250">
        <v>5.4053765854640713E-3</v>
      </c>
      <c r="R2250">
        <v>1.6459104831041934E-3</v>
      </c>
      <c r="S2250">
        <v>0.24736517817710227</v>
      </c>
      <c r="T2250">
        <v>1.4068222148638772</v>
      </c>
      <c r="U2250">
        <v>0.21120186395843293</v>
      </c>
      <c r="V2250">
        <v>0.24516264585978184</v>
      </c>
      <c r="W2250">
        <v>9.8454681342871539E-2</v>
      </c>
      <c r="X2250">
        <v>1.6296309497515003E-2</v>
      </c>
      <c r="Y2250">
        <v>4.4796257607646797E-3</v>
      </c>
    </row>
  </sheetData>
  <mergeCells count="3">
    <mergeCell ref="P12:Q12"/>
    <mergeCell ref="R12:U12"/>
    <mergeCell ref="B11:C11"/>
  </mergeCells>
  <dataValidations disablePrompts="1"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zoomScaleNormal="100" workbookViewId="0"/>
  </sheetViews>
  <sheetFormatPr defaultColWidth="11" defaultRowHeight="12.75" x14ac:dyDescent="0.2"/>
  <cols>
    <col min="1" max="1" width="27.28515625" style="53" customWidth="1"/>
    <col min="2" max="2" width="28.7109375" style="53" customWidth="1"/>
    <col min="3" max="3" width="25.28515625" style="53" customWidth="1"/>
    <col min="4" max="4" width="18.7109375" style="53" customWidth="1"/>
    <col min="5" max="5" width="49.7109375" style="53" customWidth="1"/>
    <col min="6" max="6" width="24.85546875" style="53" customWidth="1"/>
    <col min="7" max="7" width="25.7109375" style="53" customWidth="1"/>
    <col min="8" max="8" width="21.140625" style="53" customWidth="1"/>
    <col min="9" max="9" width="29.7109375" style="53" customWidth="1"/>
    <col min="10" max="10" width="27.28515625" style="53" customWidth="1"/>
    <col min="11" max="11" width="25" style="53" customWidth="1"/>
    <col min="12" max="12" width="25.85546875" style="53" customWidth="1"/>
    <col min="13" max="13" width="21" style="53" customWidth="1"/>
    <col min="14" max="14" width="22.7109375" style="53" customWidth="1"/>
    <col min="15" max="15" width="28.28515625" style="53" customWidth="1"/>
    <col min="16" max="16" width="28.85546875" style="53" customWidth="1"/>
    <col min="17" max="17" width="26.85546875" style="53" customWidth="1"/>
    <col min="18" max="18" width="23.5703125" style="53" customWidth="1"/>
    <col min="19" max="19" width="22.140625" style="53" customWidth="1"/>
    <col min="20" max="20" width="20.85546875" style="53" customWidth="1"/>
    <col min="21" max="21" width="21.42578125" style="53" customWidth="1"/>
    <col min="22" max="22" width="18.85546875" style="53" customWidth="1"/>
    <col min="23" max="23" width="20.42578125" style="53" customWidth="1"/>
    <col min="24" max="24" width="19.28515625" style="53" customWidth="1"/>
    <col min="25" max="25" width="14.7109375" style="53" customWidth="1"/>
    <col min="26" max="26" width="15.7109375" style="53" customWidth="1"/>
    <col min="27" max="27" width="15.5703125" style="53" customWidth="1"/>
    <col min="28" max="28" width="15.7109375" style="53" customWidth="1"/>
    <col min="29" max="29" width="16.7109375" style="53" customWidth="1"/>
    <col min="30" max="30" width="14.85546875" style="53" customWidth="1"/>
    <col min="31" max="31" width="15.42578125" style="53" customWidth="1"/>
    <col min="32" max="32" width="11" style="53"/>
    <col min="33" max="33" width="14.85546875" style="53" customWidth="1"/>
    <col min="34" max="16384" width="11" style="53"/>
  </cols>
  <sheetData>
    <row r="1" spans="1:23" ht="15" customHeight="1" thickBot="1" x14ac:dyDescent="0.25">
      <c r="D1" s="41"/>
    </row>
    <row r="2" spans="1:23" ht="15" customHeight="1" thickTop="1" x14ac:dyDescent="0.25">
      <c r="A2" s="590" t="s">
        <v>493</v>
      </c>
      <c r="B2" s="584"/>
      <c r="C2" s="585"/>
      <c r="D2" s="41"/>
    </row>
    <row r="3" spans="1:23" ht="15" customHeight="1" x14ac:dyDescent="0.2">
      <c r="A3" s="591" t="s">
        <v>494</v>
      </c>
      <c r="B3" s="586"/>
      <c r="C3" s="587"/>
      <c r="E3" s="148"/>
      <c r="F3" s="40"/>
      <c r="G3" s="41"/>
    </row>
    <row r="4" spans="1:23" ht="30.75" customHeight="1" x14ac:dyDescent="0.2">
      <c r="A4" s="591" t="s">
        <v>495</v>
      </c>
      <c r="B4" s="586"/>
      <c r="C4" s="587"/>
      <c r="T4" s="151"/>
      <c r="U4" s="134"/>
      <c r="V4" s="134"/>
      <c r="W4" s="134"/>
    </row>
    <row r="5" spans="1:23" ht="26.25" customHeight="1" x14ac:dyDescent="0.2">
      <c r="A5" s="591" t="s">
        <v>79</v>
      </c>
      <c r="B5" s="586"/>
      <c r="C5" s="587"/>
      <c r="T5" s="151"/>
      <c r="U5" s="134"/>
      <c r="V5" s="134"/>
      <c r="W5" s="134"/>
    </row>
    <row r="6" spans="1:23" ht="15" customHeight="1" thickBot="1" x14ac:dyDescent="0.25">
      <c r="A6" s="592" t="s">
        <v>496</v>
      </c>
      <c r="B6" s="588"/>
      <c r="C6" s="589"/>
      <c r="T6" s="151"/>
      <c r="U6" s="134"/>
      <c r="V6" s="134"/>
      <c r="W6" s="134"/>
    </row>
    <row r="7" spans="1:23" ht="15" customHeight="1" thickTop="1" x14ac:dyDescent="0.2">
      <c r="T7" s="151"/>
      <c r="U7" s="134"/>
      <c r="V7" s="134"/>
      <c r="W7" s="134"/>
    </row>
    <row r="8" spans="1:23" ht="15" customHeight="1" x14ac:dyDescent="0.2">
      <c r="T8" s="151"/>
      <c r="U8" s="134"/>
      <c r="V8" s="134"/>
      <c r="W8" s="134"/>
    </row>
    <row r="9" spans="1:23" ht="15" customHeight="1" x14ac:dyDescent="0.2">
      <c r="T9" s="151"/>
      <c r="U9" s="134"/>
      <c r="V9" s="134"/>
      <c r="W9" s="134"/>
    </row>
    <row r="10" spans="1:23" ht="15" customHeight="1" x14ac:dyDescent="0.2">
      <c r="T10" s="151"/>
      <c r="U10" s="134"/>
      <c r="V10" s="134"/>
      <c r="W10" s="134"/>
    </row>
    <row r="11" spans="1:23" ht="15" customHeight="1" x14ac:dyDescent="0.2">
      <c r="T11" s="151"/>
      <c r="U11" s="134"/>
      <c r="V11" s="134"/>
      <c r="W11" s="134"/>
    </row>
    <row r="12" spans="1:23" ht="29.25" customHeight="1" x14ac:dyDescent="0.2">
      <c r="T12" s="151"/>
      <c r="U12" s="134"/>
      <c r="V12" s="134"/>
      <c r="W12" s="134"/>
    </row>
    <row r="13" spans="1:23" ht="15" customHeight="1" x14ac:dyDescent="0.25">
      <c r="A13" s="137"/>
      <c r="B13" s="147"/>
      <c r="C13" s="147"/>
      <c r="D13" s="147"/>
      <c r="E13" s="147"/>
      <c r="F13" s="134"/>
      <c r="G13" s="40"/>
      <c r="H13" s="41"/>
    </row>
    <row r="14" spans="1:23" ht="15" customHeight="1" thickBot="1" x14ac:dyDescent="0.3">
      <c r="A14" s="133"/>
    </row>
    <row r="15" spans="1:23" ht="29.25" customHeight="1" thickTop="1" thickBot="1" x14ac:dyDescent="0.25">
      <c r="A15" s="155" t="s">
        <v>89</v>
      </c>
      <c r="B15" s="150"/>
      <c r="D15" s="1607" t="s">
        <v>65</v>
      </c>
      <c r="E15" s="1608"/>
    </row>
    <row r="16" spans="1:23" ht="39" thickTop="1" x14ac:dyDescent="0.2">
      <c r="A16" s="156" t="s">
        <v>90</v>
      </c>
      <c r="B16" s="157"/>
      <c r="D16" s="317" t="str">
        <f>"Hydrogen Cost (Year "&amp;TEXT(ref_year,"0")&amp;" Real $/kg)"</f>
        <v>Hydrogen Cost (Year 2016 Real $/kg)</v>
      </c>
      <c r="E16" s="1195">
        <f ca="1">H2_price_nominal/INFLATION_FACTOR</f>
        <v>2.4111382454761534</v>
      </c>
    </row>
    <row r="17" spans="1:10" ht="38.25" x14ac:dyDescent="0.2">
      <c r="A17" s="158" t="s">
        <v>91</v>
      </c>
      <c r="B17" s="159">
        <f ca="1">output_kgyear</f>
        <v>50995026</v>
      </c>
      <c r="D17" s="138" t="s">
        <v>936</v>
      </c>
      <c r="E17" s="1066">
        <f ca="1">+SUM(X57:AB57)/AC57*(1+inflation_rate)^construct</f>
        <v>2.3661808100845474</v>
      </c>
    </row>
    <row r="18" spans="1:10" ht="25.5" x14ac:dyDescent="0.2">
      <c r="A18" s="158" t="s">
        <v>92</v>
      </c>
      <c r="B18" s="159">
        <f ca="1">B17*H2_LHV_MJ_p_kg/1000/mmBTU_to_GJ</f>
        <v>5810611.962430642</v>
      </c>
      <c r="D18" s="139" t="s">
        <v>984</v>
      </c>
      <c r="E18" s="140">
        <f ca="1">((E20+1)/(1+B30))-1</f>
        <v>8.0000000000000737E-2</v>
      </c>
    </row>
    <row r="19" spans="1:10" ht="28.5" customHeight="1" x14ac:dyDescent="0.2">
      <c r="A19" s="158" t="s">
        <v>93</v>
      </c>
      <c r="B19" s="159">
        <f ca="1">B17*H2_LHV_MJ_p_kg</f>
        <v>6130195620.3643274</v>
      </c>
      <c r="C19" s="136"/>
      <c r="D19" s="139" t="s">
        <v>992</v>
      </c>
      <c r="E19" s="140">
        <f ca="1">((E21+1)/(1+B30))-1</f>
        <v>8.577784516940179E-2</v>
      </c>
    </row>
    <row r="20" spans="1:10" ht="15" customHeight="1" x14ac:dyDescent="0.2">
      <c r="A20" s="160" t="s">
        <v>94</v>
      </c>
      <c r="B20" s="159">
        <f ca="1">design_cap</f>
        <v>155236</v>
      </c>
      <c r="D20" s="141" t="s">
        <v>983</v>
      </c>
      <c r="E20" s="142">
        <f ca="1">IRR(AA65:AA113)</f>
        <v>0.10052000000000061</v>
      </c>
    </row>
    <row r="21" spans="1:10" ht="15" customHeight="1" x14ac:dyDescent="0.2">
      <c r="A21" s="160" t="s">
        <v>95</v>
      </c>
      <c r="B21" s="159">
        <f ca="1">B20*365</f>
        <v>56661140</v>
      </c>
      <c r="D21" s="141" t="s">
        <v>991</v>
      </c>
      <c r="E21" s="142">
        <f ca="1">IRR(AC65:AC113)</f>
        <v>0.1064076242276204</v>
      </c>
    </row>
    <row r="22" spans="1:10" ht="15" customHeight="1" x14ac:dyDescent="0.2">
      <c r="A22" s="161" t="s">
        <v>96</v>
      </c>
      <c r="B22" s="162">
        <f ca="1">cap_factor</f>
        <v>0.9</v>
      </c>
      <c r="D22" s="144" t="s">
        <v>66</v>
      </c>
      <c r="E22" s="145">
        <f ca="1">(real_irr*(1+real_irr)^anal_period)/(((1+real_irr)^anal_period)-1)</f>
        <v>8.3860161500585326E-2</v>
      </c>
    </row>
    <row r="23" spans="1:10" ht="15" customHeight="1" x14ac:dyDescent="0.2">
      <c r="A23" s="160"/>
      <c r="B23" s="163"/>
      <c r="D23" s="144" t="s">
        <v>76</v>
      </c>
      <c r="E23" s="145">
        <f ca="1">(nominal_irr*(1+nominal_irr)^anal_period)/(((1+nominal_irr)^anal_period)-1)</f>
        <v>0.10274768859314053</v>
      </c>
    </row>
    <row r="24" spans="1:10" ht="24.75" customHeight="1" x14ac:dyDescent="0.2">
      <c r="A24" s="156" t="s">
        <v>97</v>
      </c>
      <c r="B24" s="157"/>
      <c r="D24" s="141" t="s">
        <v>77</v>
      </c>
      <c r="E24" s="145">
        <f ca="1">(E22*(1-total_tax_rate*INDEX(Depreciation!B12:H37,MATCH("NPV - Real IRR",Depreciation!B12:B37,0),MATCH(depr_length,recovery_period,0))))/(1-total_tax_rate)</f>
        <v>9.8212531813322054E-2</v>
      </c>
    </row>
    <row r="25" spans="1:10" ht="15" customHeight="1" x14ac:dyDescent="0.2">
      <c r="A25" s="139" t="s">
        <v>98</v>
      </c>
      <c r="B25" s="164">
        <f>startup_year</f>
        <v>2015</v>
      </c>
      <c r="D25" s="144" t="s">
        <v>78</v>
      </c>
      <c r="E25" s="145">
        <f ca="1">(E23*(1-total_tax_rate*INDEX(Depreciation!B12:H37,MATCH("NPV - Nominal IRR",Depreciation!B12:B37,0),MATCH(depr_length,recovery_period,0))))/(1-total_tax_rate)</f>
        <v>0.12265813940348715</v>
      </c>
    </row>
    <row r="26" spans="1:10" ht="15" customHeight="1" thickBot="1" x14ac:dyDescent="0.25">
      <c r="A26" s="160" t="s">
        <v>99</v>
      </c>
      <c r="B26" s="154">
        <f ca="1">real_irr</f>
        <v>0.08</v>
      </c>
      <c r="C26" s="165"/>
      <c r="D26" s="146" t="s">
        <v>249</v>
      </c>
      <c r="E26" s="1065">
        <f ca="1">NPV(nominal_irr,AA65:AA113)</f>
        <v>7.0926901178497249E-7</v>
      </c>
    </row>
    <row r="27" spans="1:10" ht="15" customHeight="1" thickTop="1" x14ac:dyDescent="0.2">
      <c r="A27" s="139" t="s">
        <v>989</v>
      </c>
      <c r="B27" s="154">
        <f ca="1">((1+B26)*(1+B30))-1</f>
        <v>0.10051999999999994</v>
      </c>
      <c r="C27" s="165"/>
      <c r="D27" s="166"/>
    </row>
    <row r="28" spans="1:10" ht="15" customHeight="1" x14ac:dyDescent="0.2">
      <c r="A28" s="160" t="s">
        <v>100</v>
      </c>
      <c r="B28" s="164">
        <f>anal_period</f>
        <v>40</v>
      </c>
      <c r="C28" s="165"/>
      <c r="D28" s="166"/>
      <c r="F28" s="166"/>
    </row>
    <row r="29" spans="1:10" ht="15" customHeight="1" x14ac:dyDescent="0.2">
      <c r="A29" s="160" t="s">
        <v>101</v>
      </c>
      <c r="B29" s="164">
        <f>plant_life</f>
        <v>40</v>
      </c>
      <c r="C29" s="165"/>
      <c r="D29" s="166"/>
    </row>
    <row r="30" spans="1:10" ht="15" customHeight="1" x14ac:dyDescent="0.2">
      <c r="A30" s="160" t="s">
        <v>102</v>
      </c>
      <c r="B30" s="154">
        <f>inflation_rate</f>
        <v>1.9E-2</v>
      </c>
      <c r="F30" s="1064"/>
      <c r="G30" s="1063"/>
      <c r="H30" s="1063"/>
      <c r="I30" s="1063"/>
      <c r="J30" s="1063"/>
    </row>
    <row r="31" spans="1:10" ht="15" customHeight="1" x14ac:dyDescent="0.2">
      <c r="A31" s="160" t="s">
        <v>103</v>
      </c>
      <c r="B31" s="167">
        <f>100%-equity</f>
        <v>0.6</v>
      </c>
    </row>
    <row r="32" spans="1:10" ht="15" customHeight="1" x14ac:dyDescent="0.2">
      <c r="A32" s="139" t="s">
        <v>104</v>
      </c>
      <c r="B32" s="168">
        <f>equity</f>
        <v>0.4</v>
      </c>
    </row>
    <row r="33" spans="1:12" ht="15" customHeight="1" x14ac:dyDescent="0.2">
      <c r="A33" s="139" t="s">
        <v>105</v>
      </c>
      <c r="B33" s="154">
        <f>total_tax_rate</f>
        <v>0.25739999999999996</v>
      </c>
    </row>
    <row r="34" spans="1:12" ht="15" customHeight="1" x14ac:dyDescent="0.2">
      <c r="A34" s="139"/>
      <c r="B34" s="169"/>
    </row>
    <row r="35" spans="1:12" ht="28.5" customHeight="1" x14ac:dyDescent="0.2">
      <c r="A35" s="170" t="s">
        <v>106</v>
      </c>
      <c r="B35" s="171"/>
    </row>
    <row r="36" spans="1:12" ht="15" customHeight="1" x14ac:dyDescent="0.2">
      <c r="A36" s="160" t="s">
        <v>107</v>
      </c>
      <c r="B36" s="164">
        <f>debt_period</f>
        <v>0</v>
      </c>
    </row>
    <row r="37" spans="1:12" ht="15" customHeight="1" x14ac:dyDescent="0.2">
      <c r="A37" s="160" t="s">
        <v>108</v>
      </c>
      <c r="B37" s="172">
        <f>debt_interest</f>
        <v>3.6999999999999998E-2</v>
      </c>
      <c r="K37" s="1063"/>
    </row>
    <row r="38" spans="1:12" ht="15" customHeight="1" x14ac:dyDescent="0.2">
      <c r="A38" s="139"/>
      <c r="B38" s="157"/>
      <c r="K38" s="1063"/>
    </row>
    <row r="39" spans="1:12" ht="28.5" customHeight="1" x14ac:dyDescent="0.2">
      <c r="A39" s="170" t="s">
        <v>109</v>
      </c>
      <c r="B39" s="157"/>
      <c r="F39" s="1063"/>
      <c r="G39" s="1063"/>
      <c r="H39" s="1063"/>
      <c r="I39" s="1063"/>
      <c r="J39" s="1063"/>
      <c r="K39" s="1063"/>
      <c r="L39" s="1063"/>
    </row>
    <row r="40" spans="1:12" ht="15" customHeight="1" x14ac:dyDescent="0.2">
      <c r="A40" s="139" t="s">
        <v>110</v>
      </c>
      <c r="B40" s="164">
        <f>construct</f>
        <v>3</v>
      </c>
      <c r="G40" s="1063"/>
      <c r="H40" s="1063"/>
    </row>
    <row r="41" spans="1:12" ht="15" customHeight="1" x14ac:dyDescent="0.2">
      <c r="A41" s="139" t="s">
        <v>111</v>
      </c>
      <c r="B41" s="162">
        <f>start_time</f>
        <v>1</v>
      </c>
    </row>
    <row r="42" spans="1:12" ht="15" customHeight="1" x14ac:dyDescent="0.2">
      <c r="A42" s="158" t="s">
        <v>112</v>
      </c>
      <c r="B42" s="167">
        <f>percnt_revs</f>
        <v>0.5</v>
      </c>
    </row>
    <row r="43" spans="1:12" ht="15" customHeight="1" x14ac:dyDescent="0.2">
      <c r="A43" s="158" t="s">
        <v>113</v>
      </c>
      <c r="B43" s="167">
        <f>percnt_var</f>
        <v>0.75</v>
      </c>
    </row>
    <row r="44" spans="1:12" ht="15" customHeight="1" x14ac:dyDescent="0.2">
      <c r="A44" s="158" t="s">
        <v>114</v>
      </c>
      <c r="B44" s="167">
        <f>percnt_fixed</f>
        <v>1</v>
      </c>
    </row>
    <row r="45" spans="1:12" ht="15" customHeight="1" x14ac:dyDescent="0.2">
      <c r="A45" s="139"/>
      <c r="B45" s="157"/>
    </row>
    <row r="46" spans="1:12" ht="28.5" customHeight="1" x14ac:dyDescent="0.2">
      <c r="A46" s="170" t="s">
        <v>115</v>
      </c>
      <c r="B46" s="157"/>
      <c r="F46" s="173"/>
    </row>
    <row r="47" spans="1:12" ht="15" customHeight="1" x14ac:dyDescent="0.2">
      <c r="A47" s="139" t="s">
        <v>389</v>
      </c>
      <c r="B47" s="174" t="str">
        <f>depr_type</f>
        <v>MACRS</v>
      </c>
      <c r="F47" s="173"/>
    </row>
    <row r="48" spans="1:12" ht="15" customHeight="1" x14ac:dyDescent="0.2">
      <c r="A48" s="139" t="s">
        <v>53</v>
      </c>
      <c r="B48" s="164">
        <f>depr_length</f>
        <v>20</v>
      </c>
      <c r="F48" s="173"/>
    </row>
    <row r="49" spans="1:32" ht="15" customHeight="1" x14ac:dyDescent="0.2">
      <c r="A49" s="139"/>
      <c r="B49" s="157"/>
      <c r="F49" s="173"/>
    </row>
    <row r="50" spans="1:32" ht="28.5" customHeight="1" x14ac:dyDescent="0.2">
      <c r="A50" s="170" t="s">
        <v>116</v>
      </c>
      <c r="B50" s="157"/>
    </row>
    <row r="51" spans="1:32" ht="30.75" customHeight="1" x14ac:dyDescent="0.2">
      <c r="A51" s="138" t="s">
        <v>980</v>
      </c>
      <c r="B51" s="175">
        <f ca="1">(total_cap-non_dep_cap)*INFLATION_FACTOR</f>
        <v>201886732.55587491</v>
      </c>
      <c r="F51" s="173"/>
    </row>
    <row r="52" spans="1:32" ht="30" customHeight="1" thickBot="1" x14ac:dyDescent="0.25">
      <c r="A52" s="138" t="s">
        <v>982</v>
      </c>
      <c r="B52" s="175">
        <f ca="1">non_dep_cap*INFLATION_FACTOR</f>
        <v>2700503.5569641618</v>
      </c>
      <c r="F52" s="173"/>
    </row>
    <row r="53" spans="1:32" ht="15" customHeight="1" thickBot="1" x14ac:dyDescent="0.25">
      <c r="A53" s="138" t="s">
        <v>117</v>
      </c>
      <c r="B53" s="175">
        <f ca="1">SUM(B51:B52)</f>
        <v>204587236.11283907</v>
      </c>
      <c r="F53" s="173"/>
      <c r="W53" s="1609" t="s">
        <v>1174</v>
      </c>
      <c r="X53" s="1610"/>
      <c r="Y53" s="1114"/>
      <c r="Z53" s="1114"/>
      <c r="AA53" s="1114"/>
      <c r="AB53" s="1114"/>
      <c r="AC53" s="1115"/>
    </row>
    <row r="54" spans="1:32" ht="15" customHeight="1" thickTop="1" x14ac:dyDescent="0.2">
      <c r="A54" s="138" t="s">
        <v>985</v>
      </c>
      <c r="B54" s="175">
        <f ca="1">decom_percent*depr_cap_infl</f>
        <v>20188673.255587492</v>
      </c>
      <c r="F54" s="173"/>
      <c r="W54" s="1116"/>
      <c r="X54" s="1109" t="s">
        <v>83</v>
      </c>
      <c r="Y54" s="1110" t="s">
        <v>1124</v>
      </c>
      <c r="Z54" s="1110" t="s">
        <v>1125</v>
      </c>
      <c r="AA54" s="1109" t="s">
        <v>1126</v>
      </c>
      <c r="AB54" s="1110" t="s">
        <v>1131</v>
      </c>
      <c r="AC54" s="1117" t="s">
        <v>1127</v>
      </c>
    </row>
    <row r="55" spans="1:32" ht="15" customHeight="1" x14ac:dyDescent="0.2">
      <c r="A55" s="138" t="s">
        <v>994</v>
      </c>
      <c r="B55" s="175">
        <f ca="1">salvage_perct*B53</f>
        <v>20458723.61128391</v>
      </c>
      <c r="F55" s="173"/>
      <c r="W55" s="1118" t="s">
        <v>1122</v>
      </c>
      <c r="X55" s="1111">
        <f ca="1">-SUM(H116:K116)</f>
        <v>94991292.839735791</v>
      </c>
      <c r="Y55" s="1111">
        <f ca="1">-U116</f>
        <v>74995939.266308054</v>
      </c>
      <c r="Z55" s="1111">
        <f ca="1">-Z116</f>
        <v>2049382.4787678625</v>
      </c>
      <c r="AA55" s="1111">
        <f ca="1">-SUM(L116:S116)</f>
        <v>1015923908.8878459</v>
      </c>
      <c r="AB55" s="1111">
        <f ca="1">+AF116</f>
        <v>0</v>
      </c>
      <c r="AC55" s="1119">
        <f ca="1">+AE116</f>
        <v>501103531.08796871</v>
      </c>
    </row>
    <row r="56" spans="1:32" ht="15" customHeight="1" x14ac:dyDescent="0.2">
      <c r="A56" s="160" t="s">
        <v>986</v>
      </c>
      <c r="B56" s="60">
        <f ca="1">fixed*INFLATION_FACTOR</f>
        <v>12439963.889870157</v>
      </c>
      <c r="F56" s="173"/>
      <c r="W56" s="1118" t="s">
        <v>1132</v>
      </c>
      <c r="X56" s="1112">
        <v>1</v>
      </c>
      <c r="Y56" s="1112">
        <f>-total_tax_rate</f>
        <v>-0.25739999999999996</v>
      </c>
      <c r="Z56" s="1112">
        <v>1</v>
      </c>
      <c r="AA56" s="1112">
        <f>1-total_tax_rate</f>
        <v>0.74260000000000004</v>
      </c>
      <c r="AB56" s="1112">
        <v>-1</v>
      </c>
      <c r="AC56" s="1120">
        <f>1-total_tax_rate</f>
        <v>0.74260000000000004</v>
      </c>
    </row>
    <row r="57" spans="1:32" ht="15" customHeight="1" x14ac:dyDescent="0.2">
      <c r="A57" s="160" t="s">
        <v>987</v>
      </c>
      <c r="B57" s="60">
        <f ca="1">total_other_raw*INFLATION_FACTOR</f>
        <v>10398035.077749416</v>
      </c>
      <c r="F57" s="173"/>
      <c r="W57" s="1118" t="s">
        <v>1123</v>
      </c>
      <c r="X57" s="1113">
        <f t="shared" ref="X57:Z57" ca="1" si="0">+X55*X56</f>
        <v>94991292.839735791</v>
      </c>
      <c r="Y57" s="1113">
        <f t="shared" ca="1" si="0"/>
        <v>-19303954.76714769</v>
      </c>
      <c r="Z57" s="1113">
        <f t="shared" ca="1" si="0"/>
        <v>2049382.4787678625</v>
      </c>
      <c r="AA57" s="1113">
        <f ca="1">+AA55*AA56</f>
        <v>754425094.74011433</v>
      </c>
      <c r="AB57" s="1113">
        <f ca="1">+AB55*AB56</f>
        <v>0</v>
      </c>
      <c r="AC57" s="1121">
        <f ca="1">+AC55*AC56</f>
        <v>372119482.1859256</v>
      </c>
    </row>
    <row r="58" spans="1:32" ht="45.75" customHeight="1" thickBot="1" x14ac:dyDescent="0.25">
      <c r="A58" s="176" t="s">
        <v>988</v>
      </c>
      <c r="B58" s="62">
        <f ca="1">(var_misc+royalties+operator_profit+CO2_OandMcost+waste_treat+solidwaste_treat)*INFLATION_FACTOR</f>
        <v>3060632.9360750969</v>
      </c>
      <c r="F58" s="173"/>
      <c r="W58" s="1122"/>
      <c r="X58" s="1123"/>
      <c r="Y58" s="1123"/>
      <c r="Z58" s="1123"/>
      <c r="AA58" s="1123"/>
      <c r="AB58" s="1123"/>
      <c r="AC58" s="1124"/>
    </row>
    <row r="59" spans="1:32" ht="15" customHeight="1" thickTop="1" x14ac:dyDescent="0.2">
      <c r="F59" s="173"/>
      <c r="W59" s="1125" t="s">
        <v>1121</v>
      </c>
      <c r="X59" s="1066">
        <f ca="1">+(1+real_irr)*(1+inflation_rate)-1</f>
        <v>0.10051999999999994</v>
      </c>
      <c r="Y59" s="1123"/>
      <c r="Z59" s="1123"/>
      <c r="AA59" s="1123"/>
      <c r="AB59" s="1123"/>
      <c r="AC59" s="1124"/>
    </row>
    <row r="60" spans="1:32" ht="15" customHeight="1" thickBot="1" x14ac:dyDescent="0.25">
      <c r="F60" s="173"/>
      <c r="W60" s="1126" t="str">
        <f>+D16</f>
        <v>Hydrogen Cost (Year 2016 Real $/kg)</v>
      </c>
      <c r="X60" s="1127">
        <f ca="1">+SUM(X57:AB57)/AC57*(1+inflation_rate)^construct/INFLATION_FACTOR</f>
        <v>2.4111382454761534</v>
      </c>
      <c r="Y60" s="1128"/>
      <c r="Z60" s="1128"/>
      <c r="AA60" s="1128"/>
      <c r="AB60" s="1128"/>
      <c r="AC60" s="1129"/>
    </row>
    <row r="61" spans="1:32" ht="39.75" customHeight="1" x14ac:dyDescent="0.2">
      <c r="F61" s="173"/>
    </row>
    <row r="62" spans="1:32" ht="17.25" customHeight="1" thickBot="1" x14ac:dyDescent="0.25">
      <c r="F62" s="173"/>
    </row>
    <row r="63" spans="1:32" ht="29.25" customHeight="1" thickTop="1" thickBot="1" x14ac:dyDescent="0.25">
      <c r="A63" s="49" t="s">
        <v>118</v>
      </c>
      <c r="B63" s="177"/>
      <c r="C63" s="177"/>
      <c r="D63" s="177"/>
      <c r="E63" s="177"/>
      <c r="F63" s="177"/>
      <c r="G63" s="177"/>
      <c r="H63" s="1153"/>
      <c r="I63" s="1153"/>
      <c r="J63" s="1153"/>
      <c r="K63" s="1153"/>
      <c r="L63" s="1153"/>
      <c r="M63" s="1153"/>
      <c r="N63" s="1153"/>
      <c r="O63" s="1153"/>
      <c r="P63" s="1153"/>
      <c r="Q63" s="1153"/>
      <c r="R63" s="1153"/>
      <c r="S63" s="1153"/>
      <c r="T63" s="1153"/>
      <c r="U63" s="1153"/>
      <c r="V63" s="1153"/>
      <c r="W63" s="1153"/>
      <c r="X63" s="1153"/>
      <c r="Y63" s="1153"/>
      <c r="Z63" s="1153"/>
      <c r="AA63" s="1153"/>
      <c r="AB63" s="1153"/>
      <c r="AC63" s="1154"/>
    </row>
    <row r="64" spans="1:32" ht="78" thickTop="1" thickBot="1" x14ac:dyDescent="0.25">
      <c r="A64" s="1130" t="s">
        <v>1129</v>
      </c>
      <c r="B64" s="1131" t="s">
        <v>40</v>
      </c>
      <c r="C64" s="1131" t="s">
        <v>56</v>
      </c>
      <c r="D64" s="1131" t="s">
        <v>119</v>
      </c>
      <c r="E64" s="1132" t="s">
        <v>120</v>
      </c>
      <c r="F64" s="1132" t="s">
        <v>1134</v>
      </c>
      <c r="G64" s="1133" t="s">
        <v>121</v>
      </c>
      <c r="H64" s="1155" t="s">
        <v>122</v>
      </c>
      <c r="I64" s="1156" t="s">
        <v>123</v>
      </c>
      <c r="J64" s="1156" t="s">
        <v>1128</v>
      </c>
      <c r="K64" s="1156" t="s">
        <v>135</v>
      </c>
      <c r="L64" s="1156" t="s">
        <v>994</v>
      </c>
      <c r="M64" s="1156" t="s">
        <v>84</v>
      </c>
      <c r="N64" s="1156" t="s">
        <v>136</v>
      </c>
      <c r="O64" s="1156" t="s">
        <v>1133</v>
      </c>
      <c r="P64" s="1156" t="s">
        <v>137</v>
      </c>
      <c r="Q64" s="1156" t="s">
        <v>1135</v>
      </c>
      <c r="R64" s="1156" t="s">
        <v>138</v>
      </c>
      <c r="S64" s="1156" t="s">
        <v>139</v>
      </c>
      <c r="T64" s="1156" t="s">
        <v>140</v>
      </c>
      <c r="U64" s="1156" t="s">
        <v>60</v>
      </c>
      <c r="V64" s="1156" t="s">
        <v>141</v>
      </c>
      <c r="W64" s="1156" t="s">
        <v>142</v>
      </c>
      <c r="X64" s="1156" t="s">
        <v>144</v>
      </c>
      <c r="Y64" s="1156" t="s">
        <v>145</v>
      </c>
      <c r="Z64" s="1156" t="s">
        <v>45</v>
      </c>
      <c r="AA64" s="1157" t="s">
        <v>146</v>
      </c>
      <c r="AB64" s="1157" t="s">
        <v>147</v>
      </c>
      <c r="AC64" s="1135" t="s">
        <v>148</v>
      </c>
      <c r="AD64" s="178"/>
      <c r="AE64" s="1134" t="s">
        <v>1120</v>
      </c>
      <c r="AF64" s="1135" t="s">
        <v>1130</v>
      </c>
    </row>
    <row r="65" spans="1:32" ht="13.5" thickTop="1" x14ac:dyDescent="0.2">
      <c r="A65" s="179">
        <f>startup_year-construct</f>
        <v>2012</v>
      </c>
      <c r="B65" s="180">
        <v>1</v>
      </c>
      <c r="C65" s="180">
        <f>IF(construct=0,1,-construct)</f>
        <v>-3</v>
      </c>
      <c r="D65" s="180">
        <f t="shared" ref="D65:D96" si="1">IF(C65="","",IF(C65&lt;=plant_life,C65,IF(D64=plant_life,1,D64+1)))</f>
        <v>-3</v>
      </c>
      <c r="E65" s="181">
        <f t="shared" ref="E65:E96" si="2">IF(C65="","",(1+inflation_rate)^(A65-$B$25))</f>
        <v>0.94509931410277337</v>
      </c>
      <c r="F65" s="182">
        <f t="shared" ref="F65:F96" si="3">IF(C65="","",IF(C65&lt;0,0,IF(AND(C65=1,start_time&lt;1),E65*(H2_price_nominal*output_kgyear*start_time*percnt_revs+H2_price_nominal*output_kgyear*(1-start_time)),IF(C65&lt;=start_time,H2_price_nominal*E65*output_kgyear*percnt_revs,H2_price_nominal*output_kgyear*E65))))</f>
        <v>0</v>
      </c>
      <c r="G65" s="1149">
        <f ca="1">-$B$31*depr_cap_infl*E65</f>
        <v>-114481807.47900446</v>
      </c>
      <c r="H65" s="1158">
        <f ca="1">IF(C65&lt;0,-E65*equity*depr_cap_infl*percent_cap1,IF(C65=1,-E65*equity*depr_cap_infl,0))</f>
        <v>-6105696.3988802386</v>
      </c>
      <c r="I65" s="183" t="str">
        <f>IF(OR(C65&lt;0,C65=""),"",-E65*INDEX('Replacement Costs'!$A$16:$H$57,MATCH(C65,'Replacement Costs'!$C$16:$C$57,0),MATCH("Total Yearly Replacement Costs",'Replacement Costs'!$A$16:$H$16,0)))</f>
        <v/>
      </c>
      <c r="J65" s="183">
        <f>IF(AND(C65&gt;=1,C65&lt;anal_period),WorkingCap*SUM(N65:R65)-WorkingCap*SUM(N64:R64),0)</f>
        <v>0</v>
      </c>
      <c r="K65" s="183">
        <f t="shared" ref="K65:K96" ca="1" si="4">IF(C65=-construct,-E65*non_dep_infl,"")</f>
        <v>-2552244.0594189293</v>
      </c>
      <c r="L65" s="183" t="str">
        <f t="shared" ref="L65:L96" si="5">IF(C65=anal_period,salvage*E65,"")</f>
        <v/>
      </c>
      <c r="M65" s="183" t="str">
        <f t="shared" ref="M65:M96" si="6">IF(D65=plant_life,-E65*decom,"")</f>
        <v/>
      </c>
      <c r="N65" s="183">
        <f t="shared" ref="N65:N96" si="7">IF(C65="","",IF(C65&lt;0,0,IF(AND(C65=1,start_time&lt;1),-(inflated_fixed*percnt_fixed*start_time+(inflated_fixed*(1-start_time))),IF(C65&lt;=start_time,-inflated_fixed*percnt_fixed*E65,-inflated_fixed*E65))))</f>
        <v>0</v>
      </c>
      <c r="O65" s="183">
        <f t="shared" ref="O65:O96" si="8">IF(C65="","",IF(C65&lt;0,0,IF(AND(C65=1,start_time&lt;1),-(SUM(B139:E139)*output_kgyear*E65*percnt_var*start_time+SUM(B139:E139)*output_kgyear*E65*(1-start_time)),IF(C65&lt;=start_time,-SUM(B139:E139)*output_kgyear*E65*percnt_var,-SUM(B139:E139)*output_kgyear*E65))))</f>
        <v>0</v>
      </c>
      <c r="P65" s="183">
        <f t="shared" ref="P65:P96" si="9">IF(C65="","",IF(C65&lt;0,0,IF(AND(C65=1,start_time&lt;1),-(inflated_otherraw*E65*percnt_var*start_time+inflated_otherraw*E65*(1-start_time)),IF(C65&lt;=start_time,-inflated_otherraw*E65*percnt_var,-(inflated_otherraw*E65)))))</f>
        <v>0</v>
      </c>
      <c r="Q65" s="183">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3">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3">
        <f ca="1">IF(B65="","",IF($B$31=0,"",-'Debt Financing Calculations'!E14))</f>
        <v>-4235826.8767231647</v>
      </c>
      <c r="T65" s="183">
        <f t="shared" ref="T65:T96" ca="1" si="12">IF(C65="","",F65+SUM(L65:S65))</f>
        <v>-4235826.8767231647</v>
      </c>
      <c r="U65" s="183">
        <f>IF(C65="","",IF(C65&lt;-1,0,IF(C65=anal_period,-LOOKUP(C65,depr_yr,depr_cost)-Depreciation!$C$141-Depreciation!$B$166,-LOOKUP(C65,depr_yr,depr_cost))))</f>
        <v>0</v>
      </c>
      <c r="V65" s="183">
        <f t="shared" ref="V65:V96" ca="1" si="13">IF(C65="","",SUM(T65:U65))</f>
        <v>-4235826.8767231647</v>
      </c>
      <c r="W65" s="184">
        <f t="shared" ref="W65:W96" si="14">IF(C65="","",$B$33)</f>
        <v>0.25739999999999996</v>
      </c>
      <c r="X65" s="183">
        <f t="shared" ref="X65:X96" ca="1" si="15">IF(C65="","",tax_credit-(V65*W65 +Upstream_CO2_taxpYear + Proc_CO2_taxpYear))</f>
        <v>1090301.8380685425</v>
      </c>
      <c r="Y65" s="183">
        <f t="shared" ref="Y65:Y96" ca="1" si="16">IF(C65="","",SUM(T65,X65))</f>
        <v>-3145525.0386546222</v>
      </c>
      <c r="Z65" s="183">
        <f>IF(C65="","",IF($B$31=0,"",-'Debt Financing Calculations'!F14))</f>
        <v>0</v>
      </c>
      <c r="AA65" s="183">
        <f t="shared" ref="AA65:AA96" ca="1" si="17">IF(C65="","",SUM(H65,I65,J65,K65,T65,X65,Z65))</f>
        <v>-11803465.496953789</v>
      </c>
      <c r="AB65" s="183">
        <f ca="1">AA65</f>
        <v>-11803465.496953789</v>
      </c>
      <c r="AC65" s="1136">
        <f t="shared" ref="AC65:AC96" ca="1" si="18">IF(C65="","",SUM(H65,I65,J65,K65,T65,Z65))</f>
        <v>-12893767.335022332</v>
      </c>
      <c r="AD65" s="134"/>
      <c r="AE65" s="1140">
        <f t="shared" ref="AE65:AE96" si="19">IF(C65="","",IF(C65&lt;0,0,IF(AND(C65=1,start_time&lt;1),(output_kgyear*start_time*percnt_revs+output_kgyear*(1-start_time)),IF(C65&lt;=start_time,output_kgyear*percnt_revs,output_kgyear))))</f>
        <v>0</v>
      </c>
      <c r="AF65" s="1136">
        <f t="shared" ref="AF65:AF96" si="20">IF(C65="","",tax_credit)</f>
        <v>0</v>
      </c>
    </row>
    <row r="66" spans="1:32" x14ac:dyDescent="0.2">
      <c r="A66" s="58">
        <f t="shared" ref="A66:A113" si="21">IF(B66&lt;&gt;"",A65+1,"")</f>
        <v>2013</v>
      </c>
      <c r="B66" s="185">
        <f>IF(MAX($B$65:B65)&lt;(construct+anal_period),B65+1,"")</f>
        <v>2</v>
      </c>
      <c r="C66" s="185">
        <f t="shared" ref="C66:C113" si="22">IF(B66="","",IF(C65=-1,1,C65+1))</f>
        <v>-2</v>
      </c>
      <c r="D66" s="185">
        <f t="shared" si="1"/>
        <v>-2</v>
      </c>
      <c r="E66" s="186">
        <f t="shared" si="2"/>
        <v>0.96305620107072598</v>
      </c>
      <c r="F66" s="59">
        <f t="shared" si="3"/>
        <v>0</v>
      </c>
      <c r="G66" s="1150"/>
      <c r="H66" s="1159">
        <f ca="1">IF(C66&lt;0,-E66*equity*depr_cap_infl*percent_cap2,0)</f>
        <v>-46662784.728442222</v>
      </c>
      <c r="I66" s="187" t="str">
        <f>IF(OR(C66&lt;0,C66=""),"",-E66*INDEX('Replacement Costs'!$A$16:$H$57,MATCH(C66,'Replacement Costs'!$C$16:$C$57,0),MATCH("Total Yearly Replacement Costs",'Replacement Costs'!$A$16:$H$16,0)))</f>
        <v/>
      </c>
      <c r="J66" s="187">
        <f>IF(AND(C66&gt;=1,C66&lt;anal_period),WorkingCap*SUM(N66:R66)-WorkingCap*SUM(N65:R65),IF(C66&lt;0,0,IF(B66="","",-SUM(J$65:J65))))</f>
        <v>0</v>
      </c>
      <c r="K66" s="187" t="str">
        <f t="shared" si="4"/>
        <v/>
      </c>
      <c r="L66" s="187" t="str">
        <f t="shared" si="5"/>
        <v/>
      </c>
      <c r="M66" s="187" t="str">
        <f t="shared" si="6"/>
        <v/>
      </c>
      <c r="N66" s="187">
        <f t="shared" si="7"/>
        <v>0</v>
      </c>
      <c r="O66" s="187">
        <f t="shared" si="8"/>
        <v>0</v>
      </c>
      <c r="P66" s="187">
        <f t="shared" si="9"/>
        <v>0</v>
      </c>
      <c r="Q66" s="187">
        <f t="shared" si="10"/>
        <v>0</v>
      </c>
      <c r="R66" s="187">
        <f t="shared" si="11"/>
        <v>0</v>
      </c>
      <c r="S66" s="187">
        <f ca="1">IF(B66="","",IF($B$31=0,"",-'Debt Financing Calculations'!E15))</f>
        <v>-4235826.8767231647</v>
      </c>
      <c r="T66" s="187">
        <f t="shared" ca="1" si="12"/>
        <v>-4235826.8767231647</v>
      </c>
      <c r="U66" s="187">
        <f>IF(C66="","",IF(C66&lt;-1,0,IF(C66=anal_period,-LOOKUP(C66,depr_yr,depr_cost)-Depreciation!$C$141-Depreciation!$B$166,-LOOKUP(C66,depr_yr,depr_cost))))</f>
        <v>0</v>
      </c>
      <c r="V66" s="187">
        <f t="shared" ca="1" si="13"/>
        <v>-4235826.8767231647</v>
      </c>
      <c r="W66" s="188">
        <f t="shared" si="14"/>
        <v>0.25739999999999996</v>
      </c>
      <c r="X66" s="187">
        <f t="shared" ca="1" si="15"/>
        <v>1090301.8380685425</v>
      </c>
      <c r="Y66" s="187">
        <f t="shared" ca="1" si="16"/>
        <v>-3145525.0386546222</v>
      </c>
      <c r="Z66" s="187">
        <f>IF(C66="","",IF($B$31=0,"",-'Debt Financing Calculations'!F15))</f>
        <v>0</v>
      </c>
      <c r="AA66" s="187">
        <f t="shared" ca="1" si="17"/>
        <v>-49808309.76709684</v>
      </c>
      <c r="AB66" s="187">
        <f t="shared" ref="AB66:AB113" ca="1" si="23">IF(C66="","",AB65+AA66)</f>
        <v>-61611775.264050633</v>
      </c>
      <c r="AC66" s="1137">
        <f t="shared" ca="1" si="18"/>
        <v>-50898611.605165385</v>
      </c>
      <c r="AD66" s="134"/>
      <c r="AE66" s="1141">
        <f t="shared" si="19"/>
        <v>0</v>
      </c>
      <c r="AF66" s="1137">
        <f t="shared" si="20"/>
        <v>0</v>
      </c>
    </row>
    <row r="67" spans="1:32" x14ac:dyDescent="0.2">
      <c r="A67" s="58">
        <f t="shared" si="21"/>
        <v>2014</v>
      </c>
      <c r="B67" s="185">
        <f>IF(MAX($B$65:B66)&lt;(construct+anal_period),B66+1,"")</f>
        <v>3</v>
      </c>
      <c r="C67" s="185">
        <f t="shared" si="22"/>
        <v>-1</v>
      </c>
      <c r="D67" s="185">
        <f t="shared" si="1"/>
        <v>-1</v>
      </c>
      <c r="E67" s="186">
        <f t="shared" si="2"/>
        <v>0.9813542688910698</v>
      </c>
      <c r="F67" s="59">
        <f t="shared" si="3"/>
        <v>0</v>
      </c>
      <c r="G67" s="1150"/>
      <c r="H67" s="1159">
        <f ca="1">IF(C67&lt;0,-E67*equity*depr_cap_infl*percent_cap3,0)</f>
        <v>-25359668.073750731</v>
      </c>
      <c r="I67" s="187" t="str">
        <f>IF(OR(C67&lt;0,C67=""),"",-E67*INDEX('Replacement Costs'!$A$16:$H$57,MATCH(C67,'Replacement Costs'!$C$16:$C$57,0),MATCH("Total Yearly Replacement Costs",'Replacement Costs'!$A$16:$H$16,0)))</f>
        <v/>
      </c>
      <c r="J67" s="187">
        <f>IF(AND(C67&gt;=1,C67&lt;anal_period),WorkingCap*SUM(N67:R67)-WorkingCap*SUM(N66:R66),IF(C67&lt;0,0,IF(B67="","",-SUM(J$65:J66))))</f>
        <v>0</v>
      </c>
      <c r="K67" s="187" t="str">
        <f t="shared" si="4"/>
        <v/>
      </c>
      <c r="L67" s="187" t="str">
        <f t="shared" si="5"/>
        <v/>
      </c>
      <c r="M67" s="187" t="str">
        <f t="shared" si="6"/>
        <v/>
      </c>
      <c r="N67" s="187">
        <f t="shared" si="7"/>
        <v>0</v>
      </c>
      <c r="O67" s="187">
        <f t="shared" si="8"/>
        <v>0</v>
      </c>
      <c r="P67" s="187">
        <f t="shared" si="9"/>
        <v>0</v>
      </c>
      <c r="Q67" s="187">
        <f t="shared" si="10"/>
        <v>0</v>
      </c>
      <c r="R67" s="187">
        <f t="shared" si="11"/>
        <v>0</v>
      </c>
      <c r="S67" s="187">
        <f ca="1">IF(B67="","",IF($B$31=0,"",-'Debt Financing Calculations'!E16))</f>
        <v>-4235826.8767231647</v>
      </c>
      <c r="T67" s="187">
        <f t="shared" ca="1" si="12"/>
        <v>-4235826.8767231647</v>
      </c>
      <c r="U67" s="187">
        <f>IF(C67="","",IF(C67&lt;-1,0,IF(C67=anal_period,-LOOKUP(C67,depr_yr,depr_cost)-Depreciation!$C$141-Depreciation!$B$166,-LOOKUP(C67,depr_yr,depr_cost))))</f>
        <v>0</v>
      </c>
      <c r="V67" s="187">
        <f t="shared" ca="1" si="13"/>
        <v>-4235826.8767231647</v>
      </c>
      <c r="W67" s="188">
        <f t="shared" si="14"/>
        <v>0.25739999999999996</v>
      </c>
      <c r="X67" s="187">
        <f t="shared" ca="1" si="15"/>
        <v>1090301.8380685425</v>
      </c>
      <c r="Y67" s="187">
        <f t="shared" ca="1" si="16"/>
        <v>-3145525.0386546222</v>
      </c>
      <c r="Z67" s="187">
        <f>IF(C67="","",IF($B$31=0,"",-'Debt Financing Calculations'!F16))</f>
        <v>0</v>
      </c>
      <c r="AA67" s="187">
        <f t="shared" ca="1" si="17"/>
        <v>-28505193.112405356</v>
      </c>
      <c r="AB67" s="187">
        <f t="shared" ca="1" si="23"/>
        <v>-90116968.376455992</v>
      </c>
      <c r="AC67" s="1137">
        <f t="shared" ca="1" si="18"/>
        <v>-29595494.950473897</v>
      </c>
      <c r="AD67" s="134"/>
      <c r="AE67" s="1141">
        <f t="shared" si="19"/>
        <v>0</v>
      </c>
      <c r="AF67" s="1137">
        <f t="shared" si="20"/>
        <v>0</v>
      </c>
    </row>
    <row r="68" spans="1:32" x14ac:dyDescent="0.2">
      <c r="A68" s="1071">
        <f t="shared" si="21"/>
        <v>2015</v>
      </c>
      <c r="B68" s="1072">
        <f>IF(MAX($B$65:B67)&lt;(construct+anal_period),B67+1,"")</f>
        <v>4</v>
      </c>
      <c r="C68" s="1072">
        <f t="shared" si="22"/>
        <v>1</v>
      </c>
      <c r="D68" s="1072">
        <f t="shared" si="1"/>
        <v>1</v>
      </c>
      <c r="E68" s="1073">
        <f t="shared" si="2"/>
        <v>1</v>
      </c>
      <c r="F68" s="1074">
        <f t="shared" ca="1" si="3"/>
        <v>60331725.965481281</v>
      </c>
      <c r="G68" s="1151"/>
      <c r="H68" s="1160">
        <f>IF(C68&lt;0,-E68*equity*depr_cap_infl*percent_cap4,0)</f>
        <v>0</v>
      </c>
      <c r="I68" s="1075">
        <f ca="1">IF(OR(C68&lt;0,C68=""),"",-E68*INDEX('Replacement Costs'!$A$16:$H$57,MATCH(C68,'Replacement Costs'!$C$16:$C$57,0),MATCH("Total Yearly Replacement Costs",'Replacement Costs'!$A$16:$H$16,0)))</f>
        <v>-1009433.6627793746</v>
      </c>
      <c r="J68" s="1075">
        <f ca="1">IF(AND(C68&gt;=1,C68&lt;anal_period),WorkingCap*SUM(N68:R68)-WorkingCap*SUM(N67:R67),IF(C68&lt;0,0,IF(B68="","",-SUM(J$65:J67))))</f>
        <v>-11895109.687081322</v>
      </c>
      <c r="K68" s="1075" t="str">
        <f t="shared" si="4"/>
        <v/>
      </c>
      <c r="L68" s="1075" t="str">
        <f t="shared" si="5"/>
        <v/>
      </c>
      <c r="M68" s="1075" t="str">
        <f t="shared" si="6"/>
        <v/>
      </c>
      <c r="N68" s="1075">
        <f t="shared" ca="1" si="7"/>
        <v>-12439963.889870157</v>
      </c>
      <c r="O68" s="1075">
        <f t="shared" ca="1" si="8"/>
        <v>-50453775.086010292</v>
      </c>
      <c r="P68" s="1075">
        <f t="shared" ca="1" si="9"/>
        <v>-7798526.3083120622</v>
      </c>
      <c r="Q68" s="1075">
        <f t="shared" ca="1" si="10"/>
        <v>0</v>
      </c>
      <c r="R68" s="1075">
        <f t="shared" ca="1" si="11"/>
        <v>-8608465.963016307</v>
      </c>
      <c r="S68" s="1075">
        <f ca="1">IF(B68="","",IF($B$31=0,"",-'Debt Financing Calculations'!E17))</f>
        <v>-4235826.8767231647</v>
      </c>
      <c r="T68" s="1075">
        <f t="shared" ca="1" si="12"/>
        <v>-23204832.158450708</v>
      </c>
      <c r="U68" s="1075">
        <f ca="1">IF(C68="","",IF(C68&lt;-1,0,IF(C68=anal_period,-LOOKUP(C68,depr_yr,depr_cost)-Depreciation!$C$141-Depreciation!$B$166,-LOOKUP(C68,depr_yr,depr_cost))))</f>
        <v>-7260727.1378571372</v>
      </c>
      <c r="V68" s="1075">
        <f t="shared" ca="1" si="13"/>
        <v>-30465559.296307847</v>
      </c>
      <c r="W68" s="1076">
        <f t="shared" si="14"/>
        <v>0.25739999999999996</v>
      </c>
      <c r="X68" s="1075">
        <f t="shared" ca="1" si="15"/>
        <v>7841834.9628696386</v>
      </c>
      <c r="Y68" s="1075">
        <f ca="1">IF(C68="","",SUM(T68,X68))</f>
        <v>-15362997.195581069</v>
      </c>
      <c r="Z68" s="1075">
        <f>IF(C68="","",IF($B$31=0,"",-'Debt Financing Calculations'!F17))</f>
        <v>0</v>
      </c>
      <c r="AA68" s="1075">
        <f t="shared" ca="1" si="17"/>
        <v>-28267540.545441769</v>
      </c>
      <c r="AB68" s="1075">
        <f t="shared" ca="1" si="23"/>
        <v>-118384508.92189777</v>
      </c>
      <c r="AC68" s="1138">
        <f t="shared" ca="1" si="18"/>
        <v>-36109375.508311406</v>
      </c>
      <c r="AD68" s="1067"/>
      <c r="AE68" s="1142">
        <f t="shared" ca="1" si="19"/>
        <v>25497513</v>
      </c>
      <c r="AF68" s="1138">
        <f t="shared" si="20"/>
        <v>0</v>
      </c>
    </row>
    <row r="69" spans="1:32" x14ac:dyDescent="0.2">
      <c r="A69" s="58">
        <f t="shared" si="21"/>
        <v>2016</v>
      </c>
      <c r="B69" s="185">
        <f>IF(MAX($B$65:B68)&lt;(construct+anal_period),B68+1,"")</f>
        <v>5</v>
      </c>
      <c r="C69" s="185">
        <f t="shared" si="22"/>
        <v>2</v>
      </c>
      <c r="D69" s="185">
        <f t="shared" si="1"/>
        <v>2</v>
      </c>
      <c r="E69" s="186">
        <f t="shared" si="2"/>
        <v>1.0189999999999999</v>
      </c>
      <c r="F69" s="59">
        <f t="shared" ca="1" si="3"/>
        <v>122956057.51765084</v>
      </c>
      <c r="G69" s="1150"/>
      <c r="H69" s="1159">
        <f t="shared" ref="H69:H113" si="24">IF(C69="","",0)</f>
        <v>0</v>
      </c>
      <c r="I69" s="187">
        <f ca="1">IF(OR(C69&lt;0,C69=""),"",-E69*INDEX('Replacement Costs'!$A$16:$H$57,MATCH(C69,'Replacement Costs'!$C$16:$C$57,0),MATCH("Total Yearly Replacement Costs",'Replacement Costs'!$A$16:$H$16,0)))</f>
        <v>-1028612.9023721827</v>
      </c>
      <c r="J69" s="187">
        <f ca="1">IF(AND(C69&gt;=1,C69&lt;anal_period),WorkingCap*SUM(N69:R69)-WorkingCap*SUM(N68:R68),IF(C69&lt;0,0,IF(B69="","",-SUM(J$65:J68))))</f>
        <v>-3571433.119511066</v>
      </c>
      <c r="K69" s="187" t="str">
        <f t="shared" si="4"/>
        <v/>
      </c>
      <c r="L69" s="187" t="str">
        <f t="shared" si="5"/>
        <v/>
      </c>
      <c r="M69" s="187" t="str">
        <f t="shared" si="6"/>
        <v/>
      </c>
      <c r="N69" s="187">
        <f t="shared" ca="1" si="7"/>
        <v>-12676323.203777689</v>
      </c>
      <c r="O69" s="187">
        <f t="shared" ca="1" si="8"/>
        <v>-68549862.416859314</v>
      </c>
      <c r="P69" s="187">
        <f t="shared" ca="1" si="9"/>
        <v>-10595597.744226655</v>
      </c>
      <c r="Q69" s="187">
        <f t="shared" ca="1" si="10"/>
        <v>0</v>
      </c>
      <c r="R69" s="187">
        <f t="shared" ca="1" si="11"/>
        <v>-11288502.012418946</v>
      </c>
      <c r="S69" s="187">
        <f ca="1">IF(B69="","",IF($B$31=0,"",-'Debt Financing Calculations'!E18))</f>
        <v>-4235826.8767231647</v>
      </c>
      <c r="T69" s="187">
        <f t="shared" ca="1" si="12"/>
        <v>15609945.263645083</v>
      </c>
      <c r="U69" s="187">
        <f ca="1">IF(C69="","",IF(C69&lt;-1,0,IF(C69=anal_period,-LOOKUP(C69,depr_yr,depr_cost)-Depreciation!$C$141-Depreciation!$B$166,-LOOKUP(C69,depr_yr,depr_cost))))</f>
        <v>-14015956.772689804</v>
      </c>
      <c r="V69" s="187">
        <f t="shared" ca="1" si="13"/>
        <v>1593988.4909552783</v>
      </c>
      <c r="W69" s="188">
        <f t="shared" si="14"/>
        <v>0.25739999999999996</v>
      </c>
      <c r="X69" s="187">
        <f t="shared" ca="1" si="15"/>
        <v>-410292.63757188857</v>
      </c>
      <c r="Y69" s="187">
        <f t="shared" ca="1" si="16"/>
        <v>15199652.626073195</v>
      </c>
      <c r="Z69" s="187">
        <f>IF(C69="","",IF($B$31=0,"",-'Debt Financing Calculations'!F18))</f>
        <v>0</v>
      </c>
      <c r="AA69" s="187">
        <f t="shared" ca="1" si="17"/>
        <v>10599606.604189945</v>
      </c>
      <c r="AB69" s="187">
        <f t="shared" ca="1" si="23"/>
        <v>-107784902.31770782</v>
      </c>
      <c r="AC69" s="1137">
        <f t="shared" ca="1" si="18"/>
        <v>11009899.241761833</v>
      </c>
      <c r="AD69" s="134"/>
      <c r="AE69" s="1141">
        <f t="shared" ca="1" si="19"/>
        <v>50995026</v>
      </c>
      <c r="AF69" s="1137">
        <f t="shared" si="20"/>
        <v>0</v>
      </c>
    </row>
    <row r="70" spans="1:32" x14ac:dyDescent="0.2">
      <c r="A70" s="58">
        <f t="shared" si="21"/>
        <v>2017</v>
      </c>
      <c r="B70" s="185">
        <f>IF(MAX($B$65:B69)&lt;(construct+anal_period),B69+1,"")</f>
        <v>6</v>
      </c>
      <c r="C70" s="185">
        <f t="shared" si="22"/>
        <v>3</v>
      </c>
      <c r="D70" s="185">
        <f t="shared" si="1"/>
        <v>3</v>
      </c>
      <c r="E70" s="186">
        <f t="shared" si="2"/>
        <v>1.0383609999999999</v>
      </c>
      <c r="F70" s="59">
        <f t="shared" ca="1" si="3"/>
        <v>125292222.61048619</v>
      </c>
      <c r="G70" s="1150"/>
      <c r="H70" s="1159">
        <f t="shared" si="24"/>
        <v>0</v>
      </c>
      <c r="I70" s="187">
        <f ca="1">IF(OR(C70&lt;0,C70=""),"",-E70*INDEX('Replacement Costs'!$A$16:$H$57,MATCH(C70,'Replacement Costs'!$C$16:$C$57,0),MATCH("Total Yearly Replacement Costs",'Replacement Costs'!$A$16:$H$16,0)))</f>
        <v>-1048156.5475172541</v>
      </c>
      <c r="J70" s="187">
        <f ca="1">IF(AND(C70&gt;=1,C70&lt;anal_period),WorkingCap*SUM(N70:R70)-WorkingCap*SUM(N69:R69),IF(C70&lt;0,0,IF(B70="","",-SUM(J$65:J69))))</f>
        <v>-303186.75560763292</v>
      </c>
      <c r="K70" s="187" t="str">
        <f t="shared" si="4"/>
        <v/>
      </c>
      <c r="L70" s="187" t="str">
        <f t="shared" si="5"/>
        <v/>
      </c>
      <c r="M70" s="187" t="str">
        <f t="shared" si="6"/>
        <v/>
      </c>
      <c r="N70" s="187">
        <f t="shared" ca="1" si="7"/>
        <v>-12917173.344649466</v>
      </c>
      <c r="O70" s="187">
        <f t="shared" ca="1" si="8"/>
        <v>-69852309.802779645</v>
      </c>
      <c r="P70" s="187">
        <f t="shared" ca="1" si="9"/>
        <v>-10796914.10136696</v>
      </c>
      <c r="Q70" s="187">
        <f t="shared" ca="1" si="10"/>
        <v>0</v>
      </c>
      <c r="R70" s="187">
        <f t="shared" ca="1" si="11"/>
        <v>-11565133.165870741</v>
      </c>
      <c r="S70" s="187">
        <f ca="1">IF(B70="","",IF($B$31=0,"",-'Debt Financing Calculations'!E19))</f>
        <v>-4235826.8767231647</v>
      </c>
      <c r="T70" s="187">
        <f t="shared" ca="1" si="12"/>
        <v>15924865.319096208</v>
      </c>
      <c r="U70" s="187">
        <f ca="1">IF(C70="","",IF(C70&lt;-1,0,IF(C70=anal_period,-LOOKUP(C70,depr_yr,depr_cost)-Depreciation!$C$141-Depreciation!$B$166,-LOOKUP(C70,depr_yr,depr_cost))))</f>
        <v>-13041528.129146706</v>
      </c>
      <c r="V70" s="187">
        <f t="shared" ca="1" si="13"/>
        <v>2883337.1899495013</v>
      </c>
      <c r="W70" s="188">
        <f t="shared" si="14"/>
        <v>0.25739999999999996</v>
      </c>
      <c r="X70" s="187">
        <f t="shared" ca="1" si="15"/>
        <v>-742170.99269300152</v>
      </c>
      <c r="Y70" s="187">
        <f t="shared" ca="1" si="16"/>
        <v>15182694.326403206</v>
      </c>
      <c r="Z70" s="187">
        <f>IF(C70="","",IF($B$31=0,"",-'Debt Financing Calculations'!F19))</f>
        <v>0</v>
      </c>
      <c r="AA70" s="187">
        <f t="shared" ca="1" si="17"/>
        <v>13831351.02327832</v>
      </c>
      <c r="AB70" s="187">
        <f t="shared" ca="1" si="23"/>
        <v>-93953551.294429496</v>
      </c>
      <c r="AC70" s="1137">
        <f t="shared" ca="1" si="18"/>
        <v>14573522.015971322</v>
      </c>
      <c r="AD70" s="134"/>
      <c r="AE70" s="1141">
        <f t="shared" ca="1" si="19"/>
        <v>50995026</v>
      </c>
      <c r="AF70" s="1137">
        <f t="shared" si="20"/>
        <v>0</v>
      </c>
    </row>
    <row r="71" spans="1:32" x14ac:dyDescent="0.2">
      <c r="A71" s="58">
        <f t="shared" si="21"/>
        <v>2018</v>
      </c>
      <c r="B71" s="185">
        <f>IF(MAX($B$65:B70)&lt;(construct+anal_period),B70+1,"")</f>
        <v>7</v>
      </c>
      <c r="C71" s="185">
        <f t="shared" si="22"/>
        <v>4</v>
      </c>
      <c r="D71" s="185">
        <f t="shared" si="1"/>
        <v>4</v>
      </c>
      <c r="E71" s="186">
        <f t="shared" si="2"/>
        <v>1.0580898589999999</v>
      </c>
      <c r="F71" s="59">
        <f t="shared" ca="1" si="3"/>
        <v>127672774.84008543</v>
      </c>
      <c r="G71" s="1150"/>
      <c r="H71" s="1159">
        <f t="shared" si="24"/>
        <v>0</v>
      </c>
      <c r="I71" s="187">
        <f ca="1">IF(OR(C71&lt;0,C71=""),"",-E71*INDEX('Replacement Costs'!$A$16:$H$57,MATCH(C71,'Replacement Costs'!$C$16:$C$57,0),MATCH("Total Yearly Replacement Costs",'Replacement Costs'!$A$16:$H$16,0)))</f>
        <v>-1068071.5219200819</v>
      </c>
      <c r="J71" s="187">
        <f ca="1">IF(AND(C71&gt;=1,C71&lt;anal_period),WorkingCap*SUM(N71:R71)-WorkingCap*SUM(N70:R70),IF(C71&lt;0,0,IF(B71="","",-SUM(J$65:J70))))</f>
        <v>-321184.39505987987</v>
      </c>
      <c r="K71" s="187" t="str">
        <f t="shared" si="4"/>
        <v/>
      </c>
      <c r="L71" s="187" t="str">
        <f t="shared" si="5"/>
        <v/>
      </c>
      <c r="M71" s="187" t="str">
        <f t="shared" si="6"/>
        <v/>
      </c>
      <c r="N71" s="187">
        <f t="shared" ca="1" si="7"/>
        <v>-13162599.638197804</v>
      </c>
      <c r="O71" s="187">
        <f t="shared" ca="1" si="8"/>
        <v>-71179503.68903245</v>
      </c>
      <c r="P71" s="187">
        <f t="shared" ca="1" si="9"/>
        <v>-11002055.469292933</v>
      </c>
      <c r="Q71" s="187">
        <f t="shared" ca="1" si="10"/>
        <v>0</v>
      </c>
      <c r="R71" s="187">
        <f t="shared" ca="1" si="11"/>
        <v>-11928600.918542821</v>
      </c>
      <c r="S71" s="187">
        <f ca="1">IF(B71="","",IF($B$31=0,"",-'Debt Financing Calculations'!E20))</f>
        <v>-4235826.8767231647</v>
      </c>
      <c r="T71" s="187">
        <f t="shared" ca="1" si="12"/>
        <v>16164188.248296246</v>
      </c>
      <c r="U71" s="187">
        <f ca="1">IF(C71="","",IF(C71&lt;-1,0,IF(C71=anal_period,-LOOKUP(C71,depr_yr,depr_cost)-Depreciation!$C$141-Depreciation!$B$166,-LOOKUP(C71,depr_yr,depr_cost))))</f>
        <v>-12144269.328206941</v>
      </c>
      <c r="V71" s="187">
        <f t="shared" ca="1" si="13"/>
        <v>4019918.9200893044</v>
      </c>
      <c r="W71" s="188">
        <f t="shared" si="14"/>
        <v>0.25739999999999996</v>
      </c>
      <c r="X71" s="187">
        <f t="shared" ca="1" si="15"/>
        <v>-1034727.1300309869</v>
      </c>
      <c r="Y71" s="187">
        <f t="shared" ca="1" si="16"/>
        <v>15129461.11826526</v>
      </c>
      <c r="Z71" s="187">
        <f>IF(C71="","",IF($B$31=0,"",-'Debt Financing Calculations'!F20))</f>
        <v>0</v>
      </c>
      <c r="AA71" s="187">
        <f t="shared" ca="1" si="17"/>
        <v>13740205.201285299</v>
      </c>
      <c r="AB71" s="187">
        <f t="shared" ca="1" si="23"/>
        <v>-80213346.093144193</v>
      </c>
      <c r="AC71" s="1137">
        <f t="shared" ca="1" si="18"/>
        <v>14774932.331316285</v>
      </c>
      <c r="AD71" s="134"/>
      <c r="AE71" s="1141">
        <f t="shared" ca="1" si="19"/>
        <v>50995026</v>
      </c>
      <c r="AF71" s="1137">
        <f t="shared" si="20"/>
        <v>0</v>
      </c>
    </row>
    <row r="72" spans="1:32" x14ac:dyDescent="0.2">
      <c r="A72" s="58">
        <f t="shared" si="21"/>
        <v>2019</v>
      </c>
      <c r="B72" s="185">
        <f>IF(MAX($B$65:B71)&lt;(construct+anal_period),B71+1,"")</f>
        <v>8</v>
      </c>
      <c r="C72" s="185">
        <f t="shared" si="22"/>
        <v>5</v>
      </c>
      <c r="D72" s="185">
        <f t="shared" si="1"/>
        <v>5</v>
      </c>
      <c r="E72" s="186">
        <f t="shared" si="2"/>
        <v>1.0781935663209998</v>
      </c>
      <c r="F72" s="59">
        <f t="shared" ca="1" si="3"/>
        <v>130098557.56204706</v>
      </c>
      <c r="G72" s="1150"/>
      <c r="H72" s="1159">
        <f t="shared" si="24"/>
        <v>0</v>
      </c>
      <c r="I72" s="187">
        <f ca="1">IF(OR(C72&lt;0,C72=""),"",-E72*INDEX('Replacement Costs'!$A$16:$H$57,MATCH(C72,'Replacement Costs'!$C$16:$C$57,0),MATCH("Total Yearly Replacement Costs",'Replacement Costs'!$A$16:$H$16,0)))</f>
        <v>-1088364.8808365634</v>
      </c>
      <c r="J72" s="187">
        <f ca="1">IF(AND(C72&gt;=1,C72&lt;anal_period),WorkingCap*SUM(N72:R72)-WorkingCap*SUM(N71:R71),IF(C72&lt;0,0,IF(B72="","",-SUM(J$65:J71))))</f>
        <v>-346380.54313067906</v>
      </c>
      <c r="K72" s="187" t="str">
        <f t="shared" si="4"/>
        <v/>
      </c>
      <c r="L72" s="187" t="str">
        <f t="shared" si="5"/>
        <v/>
      </c>
      <c r="M72" s="187" t="str">
        <f t="shared" si="6"/>
        <v/>
      </c>
      <c r="N72" s="187">
        <f t="shared" ca="1" si="7"/>
        <v>-13412689.031323563</v>
      </c>
      <c r="O72" s="187">
        <f t="shared" ca="1" si="8"/>
        <v>-72531914.25912407</v>
      </c>
      <c r="P72" s="187">
        <f t="shared" ca="1" si="9"/>
        <v>-11211094.523209497</v>
      </c>
      <c r="Q72" s="187">
        <f t="shared" ca="1" si="10"/>
        <v>0</v>
      </c>
      <c r="R72" s="187">
        <f t="shared" ca="1" si="11"/>
        <v>-12426265.522280062</v>
      </c>
      <c r="S72" s="187">
        <f ca="1">IF(B72="","",IF($B$31=0,"",-'Debt Financing Calculations'!E21))</f>
        <v>-4235826.8767231647</v>
      </c>
      <c r="T72" s="187">
        <f t="shared" ca="1" si="12"/>
        <v>16280767.349386692</v>
      </c>
      <c r="U72" s="187">
        <f ca="1">IF(C72="","",IF(C72&lt;-1,0,IF(C72=anal_period,-LOOKUP(C72,depr_yr,depr_cost)-Depreciation!$C$141-Depreciation!$B$166,-LOOKUP(C72,depr_yr,depr_cost))))</f>
        <v>-11312916.36814346</v>
      </c>
      <c r="V72" s="187">
        <f t="shared" ca="1" si="13"/>
        <v>4967850.9812432323</v>
      </c>
      <c r="W72" s="188">
        <f t="shared" si="14"/>
        <v>0.25739999999999996</v>
      </c>
      <c r="X72" s="187">
        <f t="shared" ca="1" si="15"/>
        <v>-1278724.8425720078</v>
      </c>
      <c r="Y72" s="187">
        <f t="shared" ca="1" si="16"/>
        <v>15002042.506814685</v>
      </c>
      <c r="Z72" s="187">
        <f>IF(C72="","",IF($B$31=0,"",-'Debt Financing Calculations'!F21))</f>
        <v>0</v>
      </c>
      <c r="AA72" s="187">
        <f t="shared" ca="1" si="17"/>
        <v>13567297.082847442</v>
      </c>
      <c r="AB72" s="187">
        <f t="shared" ca="1" si="23"/>
        <v>-66646049.010296747</v>
      </c>
      <c r="AC72" s="1137">
        <f t="shared" ca="1" si="18"/>
        <v>14846021.92541945</v>
      </c>
      <c r="AD72" s="134"/>
      <c r="AE72" s="1141">
        <f t="shared" ca="1" si="19"/>
        <v>50995026</v>
      </c>
      <c r="AF72" s="1137">
        <f t="shared" si="20"/>
        <v>0</v>
      </c>
    </row>
    <row r="73" spans="1:32" x14ac:dyDescent="0.2">
      <c r="A73" s="58">
        <f t="shared" si="21"/>
        <v>2020</v>
      </c>
      <c r="B73" s="185">
        <f>IF(MAX($B$65:B72)&lt;(construct+anal_period),B72+1,"")</f>
        <v>9</v>
      </c>
      <c r="C73" s="185">
        <f t="shared" si="22"/>
        <v>6</v>
      </c>
      <c r="D73" s="185">
        <f t="shared" si="1"/>
        <v>6</v>
      </c>
      <c r="E73" s="186">
        <f t="shared" si="2"/>
        <v>1.0986792440810986</v>
      </c>
      <c r="F73" s="59">
        <f t="shared" ca="1" si="3"/>
        <v>132570430.15572593</v>
      </c>
      <c r="G73" s="1150"/>
      <c r="H73" s="1159">
        <f t="shared" si="24"/>
        <v>0</v>
      </c>
      <c r="I73" s="187">
        <f ca="1">IF(OR(C73&lt;0,C73=""),"",-E73*INDEX('Replacement Costs'!$A$16:$H$57,MATCH(C73,'Replacement Costs'!$C$16:$C$57,0),MATCH("Total Yearly Replacement Costs",'Replacement Costs'!$A$16:$H$16,0)))</f>
        <v>-1109043.813572458</v>
      </c>
      <c r="J73" s="187">
        <f ca="1">IF(AND(C73&gt;=1,C73&lt;anal_period),WorkingCap*SUM(N73:R73)-WorkingCap*SUM(N72:R72),IF(C73&lt;0,0,IF(B73="","",-SUM(J$65:J72))))</f>
        <v>-356513.57849138416</v>
      </c>
      <c r="K73" s="187" t="str">
        <f t="shared" si="4"/>
        <v/>
      </c>
      <c r="L73" s="187" t="str">
        <f t="shared" si="5"/>
        <v/>
      </c>
      <c r="M73" s="187" t="str">
        <f t="shared" si="6"/>
        <v/>
      </c>
      <c r="N73" s="187">
        <f t="shared" ca="1" si="7"/>
        <v>-13667530.122918708</v>
      </c>
      <c r="O73" s="187">
        <f t="shared" ca="1" si="8"/>
        <v>-73910020.630047411</v>
      </c>
      <c r="P73" s="187">
        <f t="shared" ca="1" si="9"/>
        <v>-11424105.319150476</v>
      </c>
      <c r="Q73" s="187">
        <f t="shared" ca="1" si="10"/>
        <v>0</v>
      </c>
      <c r="R73" s="187">
        <f t="shared" ca="1" si="11"/>
        <v>-12957064.45376317</v>
      </c>
      <c r="S73" s="187">
        <f ca="1">IF(B73="","",IF($B$31=0,"",-'Debt Financing Calculations'!E22))</f>
        <v>-4235826.8767231647</v>
      </c>
      <c r="T73" s="187">
        <f t="shared" ca="1" si="12"/>
        <v>16375882.753122985</v>
      </c>
      <c r="U73" s="187">
        <f ca="1">IF(C73="","",IF(C73&lt;-1,0,IF(C73=anal_period,-LOOKUP(C73,depr_yr,depr_cost)-Depreciation!$C$141-Depreciation!$B$166,-LOOKUP(C73,depr_yr,depr_cost))))</f>
        <v>-10547767.403947821</v>
      </c>
      <c r="V73" s="187">
        <f t="shared" ca="1" si="13"/>
        <v>5828115.3491751645</v>
      </c>
      <c r="W73" s="188">
        <f t="shared" si="14"/>
        <v>0.25739999999999996</v>
      </c>
      <c r="X73" s="187">
        <f t="shared" ca="1" si="15"/>
        <v>-1500156.8908776871</v>
      </c>
      <c r="Y73" s="187">
        <f t="shared" ca="1" si="16"/>
        <v>14875725.862245299</v>
      </c>
      <c r="Z73" s="187">
        <f>IF(C73="","",IF($B$31=0,"",-'Debt Financing Calculations'!F22))</f>
        <v>0</v>
      </c>
      <c r="AA73" s="187">
        <f t="shared" ca="1" si="17"/>
        <v>13410168.470181458</v>
      </c>
      <c r="AB73" s="187">
        <f t="shared" ca="1" si="23"/>
        <v>-53235880.540115289</v>
      </c>
      <c r="AC73" s="1137">
        <f t="shared" ca="1" si="18"/>
        <v>14910325.361059144</v>
      </c>
      <c r="AD73" s="134"/>
      <c r="AE73" s="1141">
        <f t="shared" ca="1" si="19"/>
        <v>50995026</v>
      </c>
      <c r="AF73" s="1137">
        <f t="shared" si="20"/>
        <v>0</v>
      </c>
    </row>
    <row r="74" spans="1:32" x14ac:dyDescent="0.2">
      <c r="A74" s="58">
        <f t="shared" si="21"/>
        <v>2021</v>
      </c>
      <c r="B74" s="185">
        <f>IF(MAX($B$65:B73)&lt;(construct+anal_period),B73+1,"")</f>
        <v>10</v>
      </c>
      <c r="C74" s="185">
        <f t="shared" si="22"/>
        <v>7</v>
      </c>
      <c r="D74" s="185">
        <f t="shared" si="1"/>
        <v>7</v>
      </c>
      <c r="E74" s="186">
        <f t="shared" si="2"/>
        <v>1.1195541497186396</v>
      </c>
      <c r="F74" s="59">
        <f t="shared" ca="1" si="3"/>
        <v>135089268.32868475</v>
      </c>
      <c r="G74" s="1150"/>
      <c r="H74" s="1159">
        <f t="shared" si="24"/>
        <v>0</v>
      </c>
      <c r="I74" s="187">
        <f ca="1">IF(OR(C74&lt;0,C74=""),"",-E74*INDEX('Replacement Costs'!$A$16:$H$57,MATCH(C74,'Replacement Costs'!$C$16:$C$57,0),MATCH("Total Yearly Replacement Costs",'Replacement Costs'!$A$16:$H$16,0)))</f>
        <v>-1130115.6460303348</v>
      </c>
      <c r="J74" s="187">
        <f ca="1">IF(AND(C74&gt;=1,C74&lt;anal_period),WorkingCap*SUM(N74:R74)-WorkingCap*SUM(N73:R73),IF(C74&lt;0,0,IF(B74="","",-SUM(J$65:J73))))</f>
        <v>-330530.82230133563</v>
      </c>
      <c r="K74" s="187" t="str">
        <f t="shared" si="4"/>
        <v/>
      </c>
      <c r="L74" s="187" t="str">
        <f t="shared" si="5"/>
        <v/>
      </c>
      <c r="M74" s="187" t="str">
        <f t="shared" si="6"/>
        <v/>
      </c>
      <c r="N74" s="187">
        <f t="shared" ca="1" si="7"/>
        <v>-13927213.195254166</v>
      </c>
      <c r="O74" s="187">
        <f t="shared" ca="1" si="8"/>
        <v>-75314311.022018328</v>
      </c>
      <c r="P74" s="187">
        <f t="shared" ca="1" si="9"/>
        <v>-11641163.320214337</v>
      </c>
      <c r="Q74" s="187">
        <f t="shared" ca="1" si="10"/>
        <v>0</v>
      </c>
      <c r="R74" s="187">
        <f t="shared" ca="1" si="11"/>
        <v>-13279571.803735187</v>
      </c>
      <c r="S74" s="187">
        <f ca="1">IF(B74="","",IF($B$31=0,"",-'Debt Financing Calculations'!E23))</f>
        <v>-4235826.8767231647</v>
      </c>
      <c r="T74" s="187">
        <f t="shared" ca="1" si="12"/>
        <v>16691182.110739574</v>
      </c>
      <c r="U74" s="187">
        <f ca="1">IF(C74="","",IF(C74&lt;-1,0,IF(C74=anal_period,-LOOKUP(C74,depr_yr,depr_cost)-Depreciation!$C$141-Depreciation!$B$166,-LOOKUP(C74,depr_yr,depr_cost))))</f>
        <v>-9839445.286039276</v>
      </c>
      <c r="V74" s="187">
        <f t="shared" ca="1" si="13"/>
        <v>6851736.8247002978</v>
      </c>
      <c r="W74" s="188">
        <f t="shared" si="14"/>
        <v>0.25739999999999996</v>
      </c>
      <c r="X74" s="187">
        <f t="shared" ca="1" si="15"/>
        <v>-1763637.0586778563</v>
      </c>
      <c r="Y74" s="187">
        <f t="shared" ca="1" si="16"/>
        <v>14927545.052061718</v>
      </c>
      <c r="Z74" s="187">
        <f>IF(C74="","",IF($B$31=0,"",-'Debt Financing Calculations'!F23))</f>
        <v>0</v>
      </c>
      <c r="AA74" s="187">
        <f t="shared" ca="1" si="17"/>
        <v>13466898.583730048</v>
      </c>
      <c r="AB74" s="187">
        <f t="shared" ca="1" si="23"/>
        <v>-39768981.95638524</v>
      </c>
      <c r="AC74" s="1137">
        <f t="shared" ca="1" si="18"/>
        <v>15230535.642407903</v>
      </c>
      <c r="AD74" s="134"/>
      <c r="AE74" s="1141">
        <f t="shared" ca="1" si="19"/>
        <v>50995026</v>
      </c>
      <c r="AF74" s="1137">
        <f t="shared" si="20"/>
        <v>0</v>
      </c>
    </row>
    <row r="75" spans="1:32" x14ac:dyDescent="0.2">
      <c r="A75" s="58">
        <f t="shared" si="21"/>
        <v>2022</v>
      </c>
      <c r="B75" s="185">
        <f>IF(MAX($B$65:B74)&lt;(construct+anal_period),B74+1,"")</f>
        <v>11</v>
      </c>
      <c r="C75" s="185">
        <f t="shared" si="22"/>
        <v>8</v>
      </c>
      <c r="D75" s="185">
        <f t="shared" si="1"/>
        <v>8</v>
      </c>
      <c r="E75" s="186">
        <f t="shared" si="2"/>
        <v>1.1408256785632938</v>
      </c>
      <c r="F75" s="59">
        <f t="shared" ca="1" si="3"/>
        <v>137655964.42692974</v>
      </c>
      <c r="G75" s="1150"/>
      <c r="H75" s="1159">
        <f t="shared" si="24"/>
        <v>0</v>
      </c>
      <c r="I75" s="187">
        <f ca="1">IF(OR(C75&lt;0,C75=""),"",-E75*INDEX('Replacement Costs'!$A$16:$H$57,MATCH(C75,'Replacement Costs'!$C$16:$C$57,0),MATCH("Total Yearly Replacement Costs",'Replacement Costs'!$A$16:$H$16,0)))</f>
        <v>-1151587.8433049112</v>
      </c>
      <c r="J75" s="187">
        <f ca="1">IF(AND(C75&gt;=1,C75&lt;anal_period),WorkingCap*SUM(N75:R75)-WorkingCap*SUM(N74:R74),IF(C75&lt;0,0,IF(B75="","",-SUM(J$65:J74))))</f>
        <v>-358442.762760818</v>
      </c>
      <c r="K75" s="187" t="str">
        <f t="shared" si="4"/>
        <v/>
      </c>
      <c r="L75" s="187" t="str">
        <f t="shared" si="5"/>
        <v/>
      </c>
      <c r="M75" s="187" t="str">
        <f t="shared" si="6"/>
        <v/>
      </c>
      <c r="N75" s="187">
        <f t="shared" ca="1" si="7"/>
        <v>-14191830.245963994</v>
      </c>
      <c r="O75" s="187">
        <f t="shared" ca="1" si="8"/>
        <v>-76745282.931436673</v>
      </c>
      <c r="P75" s="187">
        <f t="shared" ca="1" si="9"/>
        <v>-11862345.423298409</v>
      </c>
      <c r="Q75" s="187">
        <f t="shared" ca="1" si="10"/>
        <v>0</v>
      </c>
      <c r="R75" s="187">
        <f t="shared" ca="1" si="11"/>
        <v>-13752419.158928379</v>
      </c>
      <c r="S75" s="187">
        <f ca="1">IF(B75="","",IF($B$31=0,"",-'Debt Financing Calculations'!E24))</f>
        <v>-4235826.8767231647</v>
      </c>
      <c r="T75" s="187">
        <f t="shared" ca="1" si="12"/>
        <v>16868259.790579125</v>
      </c>
      <c r="U75" s="187">
        <f ca="1">IF(C75="","",IF(C75&lt;-1,0,IF(C75=anal_period,-LOOKUP(C75,depr_yr,depr_cost)-Depreciation!$C$141-Depreciation!$B$166,-LOOKUP(C75,depr_yr,depr_cost))))</f>
        <v>-9188208.1762878988</v>
      </c>
      <c r="V75" s="187">
        <f t="shared" ca="1" si="13"/>
        <v>7680051.6142912265</v>
      </c>
      <c r="W75" s="188">
        <f t="shared" si="14"/>
        <v>0.25739999999999996</v>
      </c>
      <c r="X75" s="187">
        <f t="shared" ca="1" si="15"/>
        <v>-1976845.2855185615</v>
      </c>
      <c r="Y75" s="187">
        <f t="shared" ca="1" si="16"/>
        <v>14891414.505060565</v>
      </c>
      <c r="Z75" s="187">
        <f>IF(C75="","",IF($B$31=0,"",-'Debt Financing Calculations'!F24))</f>
        <v>0</v>
      </c>
      <c r="AA75" s="187">
        <f t="shared" ca="1" si="17"/>
        <v>13381383.898994833</v>
      </c>
      <c r="AB75" s="187">
        <f t="shared" ca="1" si="23"/>
        <v>-26387598.057390407</v>
      </c>
      <c r="AC75" s="1137">
        <f t="shared" ca="1" si="18"/>
        <v>15358229.184513396</v>
      </c>
      <c r="AD75" s="134"/>
      <c r="AE75" s="1141">
        <f t="shared" ca="1" si="19"/>
        <v>50995026</v>
      </c>
      <c r="AF75" s="1137">
        <f t="shared" si="20"/>
        <v>0</v>
      </c>
    </row>
    <row r="76" spans="1:32" x14ac:dyDescent="0.2">
      <c r="A76" s="58">
        <f t="shared" si="21"/>
        <v>2023</v>
      </c>
      <c r="B76" s="185">
        <f>IF(MAX($B$65:B75)&lt;(construct+anal_period),B75+1,"")</f>
        <v>12</v>
      </c>
      <c r="C76" s="185">
        <f t="shared" si="22"/>
        <v>9</v>
      </c>
      <c r="D76" s="185">
        <f t="shared" si="1"/>
        <v>9</v>
      </c>
      <c r="E76" s="186">
        <f t="shared" si="2"/>
        <v>1.1625013664559962</v>
      </c>
      <c r="F76" s="59">
        <f t="shared" ca="1" si="3"/>
        <v>140271427.75104138</v>
      </c>
      <c r="G76" s="1150"/>
      <c r="H76" s="1159">
        <f t="shared" si="24"/>
        <v>0</v>
      </c>
      <c r="I76" s="187">
        <f ca="1">IF(OR(C76&lt;0,C76=""),"",-E76*INDEX('Replacement Costs'!$A$16:$H$57,MATCH(C76,'Replacement Costs'!$C$16:$C$57,0),MATCH("Total Yearly Replacement Costs",'Replacement Costs'!$A$16:$H$16,0)))</f>
        <v>-1173468.0123277043</v>
      </c>
      <c r="J76" s="187">
        <f ca="1">IF(AND(C76&gt;=1,C76&lt;anal_period),WorkingCap*SUM(N76:R76)-WorkingCap*SUM(N75:R75),IF(C76&lt;0,0,IF(B76="","",-SUM(J$65:J75))))</f>
        <v>-345601.35052240267</v>
      </c>
      <c r="K76" s="187" t="str">
        <f t="shared" si="4"/>
        <v/>
      </c>
      <c r="L76" s="187" t="str">
        <f t="shared" si="5"/>
        <v/>
      </c>
      <c r="M76" s="187" t="str">
        <f t="shared" si="6"/>
        <v/>
      </c>
      <c r="N76" s="187">
        <f t="shared" ca="1" si="7"/>
        <v>-14461475.020637307</v>
      </c>
      <c r="O76" s="187">
        <f t="shared" ca="1" si="8"/>
        <v>-78203443.307133958</v>
      </c>
      <c r="P76" s="187">
        <f t="shared" ca="1" si="9"/>
        <v>-12087729.986341078</v>
      </c>
      <c r="Q76" s="187">
        <f t="shared" ca="1" si="10"/>
        <v>0</v>
      </c>
      <c r="R76" s="187">
        <f t="shared" ca="1" si="11"/>
        <v>-14103238.448997797</v>
      </c>
      <c r="S76" s="187">
        <f ca="1">IF(B76="","",IF($B$31=0,"",-'Debt Financing Calculations'!E25))</f>
        <v>-4235826.8767231647</v>
      </c>
      <c r="T76" s="187">
        <f t="shared" ca="1" si="12"/>
        <v>17179714.111208081</v>
      </c>
      <c r="U76" s="187">
        <f ca="1">IF(C76="","",IF(C76&lt;-1,0,IF(C76=anal_period,-LOOKUP(C76,depr_yr,depr_cost)-Depreciation!$C$141-Depreciation!$B$166,-LOOKUP(C76,depr_yr,depr_cost))))</f>
        <v>-9126772.4650821481</v>
      </c>
      <c r="V76" s="187">
        <f t="shared" ca="1" si="13"/>
        <v>8052941.6461259332</v>
      </c>
      <c r="W76" s="188">
        <f t="shared" si="14"/>
        <v>0.25739999999999996</v>
      </c>
      <c r="X76" s="187">
        <f t="shared" ca="1" si="15"/>
        <v>-2072827.179712815</v>
      </c>
      <c r="Y76" s="187">
        <f t="shared" ca="1" si="16"/>
        <v>15106886.931495266</v>
      </c>
      <c r="Z76" s="187">
        <f>IF(C76="","",IF($B$31=0,"",-'Debt Financing Calculations'!F25))</f>
        <v>0</v>
      </c>
      <c r="AA76" s="187">
        <f t="shared" ca="1" si="17"/>
        <v>13587817.568645159</v>
      </c>
      <c r="AB76" s="187">
        <f t="shared" ca="1" si="23"/>
        <v>-12799780.488745248</v>
      </c>
      <c r="AC76" s="1137">
        <f t="shared" ca="1" si="18"/>
        <v>15660644.748357974</v>
      </c>
      <c r="AD76" s="134"/>
      <c r="AE76" s="1141">
        <f t="shared" ca="1" si="19"/>
        <v>50995026</v>
      </c>
      <c r="AF76" s="1137">
        <f t="shared" si="20"/>
        <v>0</v>
      </c>
    </row>
    <row r="77" spans="1:32" x14ac:dyDescent="0.2">
      <c r="A77" s="58">
        <f t="shared" si="21"/>
        <v>2024</v>
      </c>
      <c r="B77" s="185">
        <f>IF(MAX($B$65:B76)&lt;(construct+anal_period),B76+1,"")</f>
        <v>13</v>
      </c>
      <c r="C77" s="185">
        <f t="shared" si="22"/>
        <v>10</v>
      </c>
      <c r="D77" s="185">
        <f t="shared" si="1"/>
        <v>10</v>
      </c>
      <c r="E77" s="186">
        <f t="shared" si="2"/>
        <v>1.1845888924186601</v>
      </c>
      <c r="F77" s="59">
        <f t="shared" ca="1" si="3"/>
        <v>142936584.87831116</v>
      </c>
      <c r="G77" s="1150"/>
      <c r="H77" s="1159">
        <f t="shared" si="24"/>
        <v>0</v>
      </c>
      <c r="I77" s="187">
        <f ca="1">IF(OR(C77&lt;0,C77=""),"",-E77*INDEX('Replacement Costs'!$A$16:$H$57,MATCH(C77,'Replacement Costs'!$C$16:$C$57,0),MATCH("Total Yearly Replacement Costs",'Replacement Costs'!$A$16:$H$16,0)))</f>
        <v>-1195763.9045619306</v>
      </c>
      <c r="J77" s="187">
        <f ca="1">IF(AND(C77&gt;=1,C77&lt;anal_period),WorkingCap*SUM(N77:R77)-WorkingCap*SUM(N76:R76),IF(C77&lt;0,0,IF(B77="","",-SUM(J$65:J76))))</f>
        <v>-343042.14768886194</v>
      </c>
      <c r="K77" s="187" t="str">
        <f t="shared" si="4"/>
        <v/>
      </c>
      <c r="L77" s="187" t="str">
        <f t="shared" si="5"/>
        <v/>
      </c>
      <c r="M77" s="187" t="str">
        <f t="shared" si="6"/>
        <v/>
      </c>
      <c r="N77" s="187">
        <f t="shared" ca="1" si="7"/>
        <v>-14736243.046029415</v>
      </c>
      <c r="O77" s="187">
        <f t="shared" ca="1" si="8"/>
        <v>-79689308.729969501</v>
      </c>
      <c r="P77" s="187">
        <f t="shared" ca="1" si="9"/>
        <v>-12317396.856081557</v>
      </c>
      <c r="Q77" s="187">
        <f t="shared" ca="1" si="10"/>
        <v>0</v>
      </c>
      <c r="R77" s="187">
        <f t="shared" ca="1" si="11"/>
        <v>-14399885.782288732</v>
      </c>
      <c r="S77" s="187">
        <f ca="1">IF(B77="","",IF($B$31=0,"",-'Debt Financing Calculations'!E26))</f>
        <v>-4235826.8767231647</v>
      </c>
      <c r="T77" s="187">
        <f t="shared" ca="1" si="12"/>
        <v>17557923.587218776</v>
      </c>
      <c r="U77" s="187">
        <f ca="1">IF(C77="","",IF(C77&lt;-1,0,IF(C77=anal_period,-LOOKUP(C77,depr_yr,depr_cost)-Depreciation!$C$141-Depreciation!$B$166,-LOOKUP(C77,depr_yr,depr_cost))))</f>
        <v>-9179995.0089742634</v>
      </c>
      <c r="V77" s="187">
        <f t="shared" ca="1" si="13"/>
        <v>8377928.5782445129</v>
      </c>
      <c r="W77" s="188">
        <f t="shared" si="14"/>
        <v>0.25739999999999996</v>
      </c>
      <c r="X77" s="187">
        <f t="shared" ca="1" si="15"/>
        <v>-2156478.8160401373</v>
      </c>
      <c r="Y77" s="187">
        <f t="shared" ca="1" si="16"/>
        <v>15401444.771178639</v>
      </c>
      <c r="Z77" s="187">
        <f>IF(C77="","",IF($B$31=0,"",-'Debt Financing Calculations'!F26))</f>
        <v>0</v>
      </c>
      <c r="AA77" s="187">
        <f t="shared" ca="1" si="17"/>
        <v>13862638.718927845</v>
      </c>
      <c r="AB77" s="187">
        <f t="shared" ca="1" si="23"/>
        <v>1062858.2301825974</v>
      </c>
      <c r="AC77" s="1137">
        <f t="shared" ca="1" si="18"/>
        <v>16019117.534967983</v>
      </c>
      <c r="AD77" s="134"/>
      <c r="AE77" s="1141">
        <f t="shared" ca="1" si="19"/>
        <v>50995026</v>
      </c>
      <c r="AF77" s="1137">
        <f t="shared" si="20"/>
        <v>0</v>
      </c>
    </row>
    <row r="78" spans="1:32" x14ac:dyDescent="0.2">
      <c r="A78" s="58">
        <f t="shared" si="21"/>
        <v>2025</v>
      </c>
      <c r="B78" s="185">
        <f>IF(MAX($B$65:B77)&lt;(construct+anal_period),B77+1,"")</f>
        <v>14</v>
      </c>
      <c r="C78" s="185">
        <f t="shared" si="22"/>
        <v>11</v>
      </c>
      <c r="D78" s="185">
        <f t="shared" si="1"/>
        <v>11</v>
      </c>
      <c r="E78" s="186">
        <f t="shared" si="2"/>
        <v>1.2070960813746145</v>
      </c>
      <c r="F78" s="59">
        <f t="shared" ca="1" si="3"/>
        <v>145652379.99099907</v>
      </c>
      <c r="G78" s="1150"/>
      <c r="H78" s="1159">
        <f t="shared" si="24"/>
        <v>0</v>
      </c>
      <c r="I78" s="187">
        <f ca="1">IF(OR(C78&lt;0,C78=""),"",-E78*INDEX('Replacement Costs'!$A$16:$H$57,MATCH(C78,'Replacement Costs'!$C$16:$C$57,0),MATCH("Total Yearly Replacement Costs",'Replacement Costs'!$A$16:$H$16,0)))</f>
        <v>-1218483.4187486072</v>
      </c>
      <c r="J78" s="187">
        <f ca="1">IF(AND(C78&gt;=1,C78&lt;anal_period),WorkingCap*SUM(N78:R78)-WorkingCap*SUM(N77:R77),IF(C78&lt;0,0,IF(B78="","",-SUM(J$65:J77))))</f>
        <v>-368831.64918573946</v>
      </c>
      <c r="K78" s="187" t="str">
        <f t="shared" si="4"/>
        <v/>
      </c>
      <c r="L78" s="187" t="str">
        <f t="shared" si="5"/>
        <v/>
      </c>
      <c r="M78" s="187" t="str">
        <f t="shared" si="6"/>
        <v/>
      </c>
      <c r="N78" s="187">
        <f t="shared" ca="1" si="7"/>
        <v>-15016231.663903974</v>
      </c>
      <c r="O78" s="187">
        <f t="shared" ca="1" si="8"/>
        <v>-81203405.595838919</v>
      </c>
      <c r="P78" s="187">
        <f t="shared" ca="1" si="9"/>
        <v>-12551427.396347106</v>
      </c>
      <c r="Q78" s="187">
        <f t="shared" ca="1" si="10"/>
        <v>0</v>
      </c>
      <c r="R78" s="187">
        <f t="shared" ca="1" si="11"/>
        <v>-14830647.419517508</v>
      </c>
      <c r="S78" s="187">
        <f ca="1">IF(B78="","",IF($B$31=0,"",-'Debt Financing Calculations'!E27))</f>
        <v>-4235826.8767231647</v>
      </c>
      <c r="T78" s="187">
        <f t="shared" ca="1" si="12"/>
        <v>17814841.038668409</v>
      </c>
      <c r="U78" s="187">
        <f ca="1">IF(C78="","",IF(C78&lt;-1,0,IF(C78=anal_period,-LOOKUP(C78,depr_yr,depr_cost)-Depreciation!$C$141-Depreciation!$B$166,-LOOKUP(C78,depr_yr,depr_cost))))</f>
        <v>-9238127.670562325</v>
      </c>
      <c r="V78" s="187">
        <f t="shared" ca="1" si="13"/>
        <v>8576713.3681060839</v>
      </c>
      <c r="W78" s="188">
        <f t="shared" si="14"/>
        <v>0.25739999999999996</v>
      </c>
      <c r="X78" s="187">
        <f t="shared" ca="1" si="15"/>
        <v>-2207646.0209505055</v>
      </c>
      <c r="Y78" s="187">
        <f t="shared" ca="1" si="16"/>
        <v>15607195.017717903</v>
      </c>
      <c r="Z78" s="187">
        <f>IF(C78="","",IF($B$31=0,"",-'Debt Financing Calculations'!F27))</f>
        <v>0</v>
      </c>
      <c r="AA78" s="187">
        <f t="shared" ca="1" si="17"/>
        <v>14019879.949783556</v>
      </c>
      <c r="AB78" s="187">
        <f t="shared" ca="1" si="23"/>
        <v>15082738.179966154</v>
      </c>
      <c r="AC78" s="1137">
        <f t="shared" ca="1" si="18"/>
        <v>16227525.970734062</v>
      </c>
      <c r="AD78" s="134"/>
      <c r="AE78" s="1141">
        <f t="shared" ca="1" si="19"/>
        <v>50995026</v>
      </c>
      <c r="AF78" s="1137">
        <f t="shared" si="20"/>
        <v>0</v>
      </c>
    </row>
    <row r="79" spans="1:32" x14ac:dyDescent="0.2">
      <c r="A79" s="58">
        <f t="shared" si="21"/>
        <v>2026</v>
      </c>
      <c r="B79" s="185">
        <f>IF(MAX($B$65:B78)&lt;(construct+anal_period),B78+1,"")</f>
        <v>15</v>
      </c>
      <c r="C79" s="185">
        <f t="shared" si="22"/>
        <v>12</v>
      </c>
      <c r="D79" s="185">
        <f t="shared" si="1"/>
        <v>12</v>
      </c>
      <c r="E79" s="186">
        <f t="shared" si="2"/>
        <v>1.2300309069207322</v>
      </c>
      <c r="F79" s="59">
        <f t="shared" ca="1" si="3"/>
        <v>148419775.21082807</v>
      </c>
      <c r="G79" s="1150"/>
      <c r="H79" s="1159">
        <f t="shared" si="24"/>
        <v>0</v>
      </c>
      <c r="I79" s="187">
        <f ca="1">IF(OR(C79&lt;0,C79=""),"",-E79*INDEX('Replacement Costs'!$A$16:$H$57,MATCH(C79,'Replacement Costs'!$C$16:$C$57,0),MATCH("Total Yearly Replacement Costs",'Replacement Costs'!$A$16:$H$16,0)))</f>
        <v>-1241634.6037048309</v>
      </c>
      <c r="J79" s="187">
        <f ca="1">IF(AND(C79&gt;=1,C79&lt;anal_period),WorkingCap*SUM(N79:R79)-WorkingCap*SUM(N78:R78),IF(C79&lt;0,0,IF(B79="","",-SUM(J$65:J78))))</f>
        <v>-369601.1234979704</v>
      </c>
      <c r="K79" s="187" t="str">
        <f t="shared" si="4"/>
        <v/>
      </c>
      <c r="L79" s="187" t="str">
        <f t="shared" si="5"/>
        <v/>
      </c>
      <c r="M79" s="187" t="str">
        <f t="shared" si="6"/>
        <v/>
      </c>
      <c r="N79" s="187">
        <f t="shared" ca="1" si="7"/>
        <v>-15301540.06551815</v>
      </c>
      <c r="O79" s="187">
        <f t="shared" ca="1" si="8"/>
        <v>-82746270.302159846</v>
      </c>
      <c r="P79" s="187">
        <f t="shared" ca="1" si="9"/>
        <v>-12789904.516877702</v>
      </c>
      <c r="Q79" s="187">
        <f t="shared" ca="1" si="10"/>
        <v>0</v>
      </c>
      <c r="R79" s="187">
        <f t="shared" ca="1" si="11"/>
        <v>-15228004.681038246</v>
      </c>
      <c r="S79" s="187">
        <f ca="1">IF(B79="","",IF($B$31=0,"",-'Debt Financing Calculations'!E28))</f>
        <v>-4235826.8767231647</v>
      </c>
      <c r="T79" s="187">
        <f t="shared" ca="1" si="12"/>
        <v>18118228.768510953</v>
      </c>
      <c r="U79" s="187">
        <f ca="1">IF(C79="","",IF(C79&lt;-1,0,IF(C79=anal_period,-LOOKUP(C79,depr_yr,depr_cost)-Depreciation!$C$141-Depreciation!$B$166,-LOOKUP(C79,depr_yr,depr_cost))))</f>
        <v>-9293465.9633585531</v>
      </c>
      <c r="V79" s="187">
        <f t="shared" ca="1" si="13"/>
        <v>8824762.8051523995</v>
      </c>
      <c r="W79" s="188">
        <f t="shared" si="14"/>
        <v>0.25739999999999996</v>
      </c>
      <c r="X79" s="187">
        <f t="shared" ca="1" si="15"/>
        <v>-2271493.9460462271</v>
      </c>
      <c r="Y79" s="187">
        <f t="shared" ca="1" si="16"/>
        <v>15846734.822464725</v>
      </c>
      <c r="Z79" s="187">
        <f>IF(C79="","",IF($B$31=0,"",-'Debt Financing Calculations'!F28))</f>
        <v>0</v>
      </c>
      <c r="AA79" s="187">
        <f t="shared" ca="1" si="17"/>
        <v>14235499.095261924</v>
      </c>
      <c r="AB79" s="187">
        <f t="shared" ca="1" si="23"/>
        <v>29318237.275228076</v>
      </c>
      <c r="AC79" s="1137">
        <f t="shared" ca="1" si="18"/>
        <v>16506993.041308152</v>
      </c>
      <c r="AD79" s="134"/>
      <c r="AE79" s="1141">
        <f t="shared" ca="1" si="19"/>
        <v>50995026</v>
      </c>
      <c r="AF79" s="1137">
        <f t="shared" si="20"/>
        <v>0</v>
      </c>
    </row>
    <row r="80" spans="1:32" x14ac:dyDescent="0.2">
      <c r="A80" s="58">
        <f t="shared" si="21"/>
        <v>2027</v>
      </c>
      <c r="B80" s="185">
        <f>IF(MAX($B$65:B79)&lt;(construct+anal_period),B79+1,"")</f>
        <v>16</v>
      </c>
      <c r="C80" s="185">
        <f t="shared" si="22"/>
        <v>13</v>
      </c>
      <c r="D80" s="185">
        <f t="shared" si="1"/>
        <v>13</v>
      </c>
      <c r="E80" s="186">
        <f t="shared" si="2"/>
        <v>1.253401494152226</v>
      </c>
      <c r="F80" s="59">
        <f t="shared" ca="1" si="3"/>
        <v>151239750.93983379</v>
      </c>
      <c r="G80" s="1150"/>
      <c r="H80" s="1159">
        <f t="shared" si="24"/>
        <v>0</v>
      </c>
      <c r="I80" s="187">
        <f ca="1">IF(OR(C80&lt;0,C80=""),"",-E80*INDEX('Replacement Costs'!$A$16:$H$57,MATCH(C80,'Replacement Costs'!$C$16:$C$57,0),MATCH("Total Yearly Replacement Costs",'Replacement Costs'!$A$16:$H$16,0)))</f>
        <v>-1265225.6611752224</v>
      </c>
      <c r="J80" s="187">
        <f ca="1">IF(AND(C80&gt;=1,C80&lt;anal_period),WorkingCap*SUM(N80:R80)-WorkingCap*SUM(N79:R79),IF(C80&lt;0,0,IF(B80="","",-SUM(J$65:J79))))</f>
        <v>-383252.71378666535</v>
      </c>
      <c r="K80" s="187" t="str">
        <f t="shared" si="4"/>
        <v/>
      </c>
      <c r="L80" s="187" t="str">
        <f t="shared" si="5"/>
        <v/>
      </c>
      <c r="M80" s="187" t="str">
        <f t="shared" si="6"/>
        <v/>
      </c>
      <c r="N80" s="187">
        <f t="shared" ca="1" si="7"/>
        <v>-15592269.326762993</v>
      </c>
      <c r="O80" s="187">
        <f t="shared" ca="1" si="8"/>
        <v>-84318449.437900886</v>
      </c>
      <c r="P80" s="187">
        <f t="shared" ca="1" si="9"/>
        <v>-13032912.702698376</v>
      </c>
      <c r="Q80" s="187">
        <f t="shared" ca="1" si="10"/>
        <v>0</v>
      </c>
      <c r="R80" s="187">
        <f t="shared" ca="1" si="11"/>
        <v>-15677106.190142814</v>
      </c>
      <c r="S80" s="187">
        <f ca="1">IF(B80="","",IF($B$31=0,"",-'Debt Financing Calculations'!E29))</f>
        <v>-4235826.8767231647</v>
      </c>
      <c r="T80" s="187">
        <f t="shared" ca="1" si="12"/>
        <v>18383186.405605555</v>
      </c>
      <c r="U80" s="187">
        <f ca="1">IF(C80="","",IF(C80&lt;-1,0,IF(C80=anal_period,-LOOKUP(C80,depr_yr,depr_cost)-Depreciation!$C$141-Depreciation!$B$166,-LOOKUP(C80,depr_yr,depr_cost))))</f>
        <v>-9353754.5730799157</v>
      </c>
      <c r="V80" s="187">
        <f t="shared" ca="1" si="13"/>
        <v>9029431.8325256389</v>
      </c>
      <c r="W80" s="188">
        <f t="shared" si="14"/>
        <v>0.25739999999999996</v>
      </c>
      <c r="X80" s="187">
        <f t="shared" ca="1" si="15"/>
        <v>-2324175.7536920989</v>
      </c>
      <c r="Y80" s="187">
        <f t="shared" ca="1" si="16"/>
        <v>16059010.651913457</v>
      </c>
      <c r="Z80" s="187">
        <f>IF(C80="","",IF($B$31=0,"",-'Debt Financing Calculations'!F29))</f>
        <v>0</v>
      </c>
      <c r="AA80" s="187">
        <f t="shared" ca="1" si="17"/>
        <v>14410532.276951566</v>
      </c>
      <c r="AB80" s="187">
        <f t="shared" ca="1" si="23"/>
        <v>43728769.552179642</v>
      </c>
      <c r="AC80" s="1137">
        <f t="shared" ca="1" si="18"/>
        <v>16734708.030643666</v>
      </c>
      <c r="AD80" s="134"/>
      <c r="AE80" s="1141">
        <f t="shared" ca="1" si="19"/>
        <v>50995026</v>
      </c>
      <c r="AF80" s="1137">
        <f t="shared" si="20"/>
        <v>0</v>
      </c>
    </row>
    <row r="81" spans="1:32" x14ac:dyDescent="0.2">
      <c r="A81" s="58">
        <f t="shared" si="21"/>
        <v>2028</v>
      </c>
      <c r="B81" s="185">
        <f>IF(MAX($B$65:B80)&lt;(construct+anal_period),B80+1,"")</f>
        <v>17</v>
      </c>
      <c r="C81" s="185">
        <f t="shared" si="22"/>
        <v>14</v>
      </c>
      <c r="D81" s="185">
        <f t="shared" si="1"/>
        <v>14</v>
      </c>
      <c r="E81" s="186">
        <f t="shared" si="2"/>
        <v>1.277216122541118</v>
      </c>
      <c r="F81" s="59">
        <f t="shared" ca="1" si="3"/>
        <v>154113306.2076906</v>
      </c>
      <c r="G81" s="1150"/>
      <c r="H81" s="1159">
        <f t="shared" si="24"/>
        <v>0</v>
      </c>
      <c r="I81" s="187">
        <f ca="1">IF(OR(C81&lt;0,C81=""),"",-E81*INDEX('Replacement Costs'!$A$16:$H$57,MATCH(C81,'Replacement Costs'!$C$16:$C$57,0),MATCH("Total Yearly Replacement Costs",'Replacement Costs'!$A$16:$H$16,0)))</f>
        <v>-1289264.9487375515</v>
      </c>
      <c r="J81" s="187">
        <f ca="1">IF(AND(C81&gt;=1,C81&lt;anal_period),WorkingCap*SUM(N81:R81)-WorkingCap*SUM(N80:R80),IF(C81&lt;0,0,IF(B81="","",-SUM(J$65:J80))))</f>
        <v>-375678.25476367772</v>
      </c>
      <c r="K81" s="187" t="str">
        <f t="shared" si="4"/>
        <v/>
      </c>
      <c r="L81" s="187" t="str">
        <f t="shared" si="5"/>
        <v/>
      </c>
      <c r="M81" s="187" t="str">
        <f t="shared" si="6"/>
        <v/>
      </c>
      <c r="N81" s="187">
        <f t="shared" ca="1" si="7"/>
        <v>-15888522.443971487</v>
      </c>
      <c r="O81" s="187">
        <f t="shared" ca="1" si="8"/>
        <v>-85920499.977220982</v>
      </c>
      <c r="P81" s="187">
        <f t="shared" ca="1" si="9"/>
        <v>-13280538.044049643</v>
      </c>
      <c r="Q81" s="187">
        <f t="shared" ca="1" si="10"/>
        <v>0</v>
      </c>
      <c r="R81" s="187">
        <f t="shared" ca="1" si="11"/>
        <v>-16035698.890687454</v>
      </c>
      <c r="S81" s="187">
        <f ca="1">IF(B81="","",IF($B$31=0,"",-'Debt Financing Calculations'!E30))</f>
        <v>-4235826.8767231647</v>
      </c>
      <c r="T81" s="187">
        <f t="shared" ca="1" si="12"/>
        <v>18752219.975037873</v>
      </c>
      <c r="U81" s="187">
        <f ca="1">IF(C81="","",IF(C81&lt;-1,0,IF(C81=anal_period,-LOOKUP(C81,depr_yr,depr_cost)-Depreciation!$C$141-Depreciation!$B$166,-LOOKUP(C81,depr_yr,depr_cost))))</f>
        <v>-9411289.7770239878</v>
      </c>
      <c r="V81" s="187">
        <f t="shared" ca="1" si="13"/>
        <v>9340930.1980138849</v>
      </c>
      <c r="W81" s="188">
        <f t="shared" si="14"/>
        <v>0.25739999999999996</v>
      </c>
      <c r="X81" s="187">
        <f t="shared" ca="1" si="15"/>
        <v>-2404355.4329687734</v>
      </c>
      <c r="Y81" s="187">
        <f t="shared" ca="1" si="16"/>
        <v>16347864.5420691</v>
      </c>
      <c r="Z81" s="187">
        <f>IF(C81="","",IF($B$31=0,"",-'Debt Financing Calculations'!F30))</f>
        <v>0</v>
      </c>
      <c r="AA81" s="187">
        <f t="shared" ca="1" si="17"/>
        <v>14682921.338567872</v>
      </c>
      <c r="AB81" s="187">
        <f t="shared" ca="1" si="23"/>
        <v>58411690.890747517</v>
      </c>
      <c r="AC81" s="1137">
        <f t="shared" ca="1" si="18"/>
        <v>17087276.771536645</v>
      </c>
      <c r="AD81" s="134"/>
      <c r="AE81" s="1141">
        <f t="shared" ca="1" si="19"/>
        <v>50995026</v>
      </c>
      <c r="AF81" s="1137">
        <f t="shared" si="20"/>
        <v>0</v>
      </c>
    </row>
    <row r="82" spans="1:32" x14ac:dyDescent="0.2">
      <c r="A82" s="58">
        <f t="shared" si="21"/>
        <v>2029</v>
      </c>
      <c r="B82" s="185">
        <f>IF(MAX($B$65:B81)&lt;(construct+anal_period),B81+1,"")</f>
        <v>18</v>
      </c>
      <c r="C82" s="185">
        <f t="shared" si="22"/>
        <v>15</v>
      </c>
      <c r="D82" s="185">
        <f t="shared" si="1"/>
        <v>15</v>
      </c>
      <c r="E82" s="186">
        <f t="shared" si="2"/>
        <v>1.3014832288693996</v>
      </c>
      <c r="F82" s="59">
        <f t="shared" ca="1" si="3"/>
        <v>157041459.02563673</v>
      </c>
      <c r="G82" s="1150"/>
      <c r="H82" s="1159">
        <f t="shared" si="24"/>
        <v>0</v>
      </c>
      <c r="I82" s="187">
        <f ca="1">IF(OR(C82&lt;0,C82=""),"",-E82*INDEX('Replacement Costs'!$A$16:$H$57,MATCH(C82,'Replacement Costs'!$C$16:$C$57,0),MATCH("Total Yearly Replacement Costs",'Replacement Costs'!$A$16:$H$16,0)))</f>
        <v>-1313760.9827635651</v>
      </c>
      <c r="J82" s="187">
        <f ca="1">IF(AND(C82&gt;=1,C82&lt;anal_period),WorkingCap*SUM(N82:R82)-WorkingCap*SUM(N81:R81),IF(C82&lt;0,0,IF(B82="","",-SUM(J$65:J81))))</f>
        <v>-381921.21254468709</v>
      </c>
      <c r="K82" s="187" t="str">
        <f t="shared" si="4"/>
        <v/>
      </c>
      <c r="L82" s="187" t="str">
        <f t="shared" si="5"/>
        <v/>
      </c>
      <c r="M82" s="187" t="str">
        <f t="shared" si="6"/>
        <v/>
      </c>
      <c r="N82" s="187">
        <f t="shared" ca="1" si="7"/>
        <v>-16190404.370406948</v>
      </c>
      <c r="O82" s="187">
        <f t="shared" ca="1" si="8"/>
        <v>-87552989.476788193</v>
      </c>
      <c r="P82" s="187">
        <f t="shared" ca="1" si="9"/>
        <v>-13532868.266886588</v>
      </c>
      <c r="Q82" s="187">
        <f t="shared" ca="1" si="10"/>
        <v>0</v>
      </c>
      <c r="R82" s="187">
        <f t="shared" ca="1" si="11"/>
        <v>-16395138.658812413</v>
      </c>
      <c r="S82" s="187">
        <f ca="1">IF(B82="","",IF($B$31=0,"",-'Debt Financing Calculations'!E31))</f>
        <v>-4235826.8767231647</v>
      </c>
      <c r="T82" s="187">
        <f t="shared" ca="1" si="12"/>
        <v>19134231.376019418</v>
      </c>
      <c r="U82" s="187">
        <f ca="1">IF(C82="","",IF(C82&lt;-1,0,IF(C82=anal_period,-LOOKUP(C82,depr_yr,depr_cost)-Depreciation!$C$141-Depreciation!$B$166,-LOOKUP(C82,depr_yr,depr_cost))))</f>
        <v>-9473817.0392049924</v>
      </c>
      <c r="V82" s="187">
        <f t="shared" ca="1" si="13"/>
        <v>9660414.3368144259</v>
      </c>
      <c r="W82" s="188">
        <f t="shared" si="14"/>
        <v>0.25739999999999996</v>
      </c>
      <c r="X82" s="187">
        <f t="shared" ca="1" si="15"/>
        <v>-2486590.6502960329</v>
      </c>
      <c r="Y82" s="187">
        <f t="shared" ca="1" si="16"/>
        <v>16647640.725723386</v>
      </c>
      <c r="Z82" s="187">
        <f>IF(C82="","",IF($B$31=0,"",-'Debt Financing Calculations'!F31))</f>
        <v>0</v>
      </c>
      <c r="AA82" s="187">
        <f t="shared" ca="1" si="17"/>
        <v>14951958.530415133</v>
      </c>
      <c r="AB82" s="187">
        <f t="shared" ca="1" si="23"/>
        <v>73363649.42116265</v>
      </c>
      <c r="AC82" s="1137">
        <f t="shared" ca="1" si="18"/>
        <v>17438549.180711165</v>
      </c>
      <c r="AD82" s="134"/>
      <c r="AE82" s="1141">
        <f t="shared" ca="1" si="19"/>
        <v>50995026</v>
      </c>
      <c r="AF82" s="1137">
        <f t="shared" si="20"/>
        <v>0</v>
      </c>
    </row>
    <row r="83" spans="1:32" x14ac:dyDescent="0.2">
      <c r="A83" s="58">
        <f t="shared" si="21"/>
        <v>2030</v>
      </c>
      <c r="B83" s="185">
        <f>IF(MAX($B$65:B82)&lt;(construct+anal_period),B82+1,"")</f>
        <v>19</v>
      </c>
      <c r="C83" s="185">
        <f t="shared" si="22"/>
        <v>16</v>
      </c>
      <c r="D83" s="185">
        <f t="shared" si="1"/>
        <v>16</v>
      </c>
      <c r="E83" s="186">
        <f t="shared" si="2"/>
        <v>1.3262114102179181</v>
      </c>
      <c r="F83" s="59">
        <f t="shared" ca="1" si="3"/>
        <v>160025246.74712384</v>
      </c>
      <c r="G83" s="1150"/>
      <c r="H83" s="1159">
        <f t="shared" si="24"/>
        <v>0</v>
      </c>
      <c r="I83" s="187">
        <f ca="1">IF(OR(C83&lt;0,C83=""),"",-E83*INDEX('Replacement Costs'!$A$16:$H$57,MATCH(C83,'Replacement Costs'!$C$16:$C$57,0),MATCH("Total Yearly Replacement Costs",'Replacement Costs'!$A$16:$H$16,0)))</f>
        <v>-1338722.4414360728</v>
      </c>
      <c r="J83" s="187">
        <f ca="1">IF(AND(C83&gt;=1,C83&lt;anal_period),WorkingCap*SUM(N83:R83)-WorkingCap*SUM(N82:R82),IF(C83&lt;0,0,IF(B83="","",-SUM(J$65:J82))))</f>
        <v>-386877.85001305491</v>
      </c>
      <c r="K83" s="187" t="str">
        <f t="shared" si="4"/>
        <v/>
      </c>
      <c r="L83" s="187" t="str">
        <f t="shared" si="5"/>
        <v/>
      </c>
      <c r="M83" s="187" t="str">
        <f t="shared" si="6"/>
        <v/>
      </c>
      <c r="N83" s="187">
        <f t="shared" ca="1" si="7"/>
        <v>-16498022.05344468</v>
      </c>
      <c r="O83" s="187">
        <f t="shared" ca="1" si="8"/>
        <v>-89216496.276847169</v>
      </c>
      <c r="P83" s="187">
        <f t="shared" ca="1" si="9"/>
        <v>-13789992.763957433</v>
      </c>
      <c r="Q83" s="187">
        <f t="shared" ca="1" si="10"/>
        <v>0</v>
      </c>
      <c r="R83" s="187">
        <f t="shared" ca="1" si="11"/>
        <v>-16746075.345398575</v>
      </c>
      <c r="S83" s="187">
        <f ca="1">IF(B83="","",IF($B$31=0,"",-'Debt Financing Calculations'!E32))</f>
        <v>-4235826.8767231647</v>
      </c>
      <c r="T83" s="187">
        <f t="shared" ca="1" si="12"/>
        <v>19538833.430752814</v>
      </c>
      <c r="U83" s="187">
        <f ca="1">IF(C83="","",IF(C83&lt;-1,0,IF(C83=anal_period,-LOOKUP(C83,depr_yr,depr_cost)-Depreciation!$C$141-Depreciation!$B$166,-LOOKUP(C83,depr_yr,depr_cost))))</f>
        <v>-9533633.4300054349</v>
      </c>
      <c r="V83" s="187">
        <f t="shared" ca="1" si="13"/>
        <v>10005200.000747379</v>
      </c>
      <c r="W83" s="188">
        <f t="shared" si="14"/>
        <v>0.25739999999999996</v>
      </c>
      <c r="X83" s="187">
        <f t="shared" ca="1" si="15"/>
        <v>-2575338.4801923749</v>
      </c>
      <c r="Y83" s="187">
        <f t="shared" ca="1" si="16"/>
        <v>16963494.950560439</v>
      </c>
      <c r="Z83" s="187">
        <f>IF(C83="","",IF($B$31=0,"",-'Debt Financing Calculations'!F32))</f>
        <v>0</v>
      </c>
      <c r="AA83" s="187">
        <f t="shared" ca="1" si="17"/>
        <v>15237894.65911131</v>
      </c>
      <c r="AB83" s="187">
        <f t="shared" ca="1" si="23"/>
        <v>88601544.080273956</v>
      </c>
      <c r="AC83" s="1137">
        <f t="shared" ca="1" si="18"/>
        <v>17813233.139303684</v>
      </c>
      <c r="AD83" s="134"/>
      <c r="AE83" s="1141">
        <f t="shared" ca="1" si="19"/>
        <v>50995026</v>
      </c>
      <c r="AF83" s="1137">
        <f t="shared" si="20"/>
        <v>0</v>
      </c>
    </row>
    <row r="84" spans="1:32" x14ac:dyDescent="0.2">
      <c r="A84" s="58">
        <f t="shared" si="21"/>
        <v>2031</v>
      </c>
      <c r="B84" s="185">
        <f>IF(MAX($B$65:B83)&lt;(construct+anal_period),B83+1,"")</f>
        <v>20</v>
      </c>
      <c r="C84" s="185">
        <f t="shared" si="22"/>
        <v>17</v>
      </c>
      <c r="D84" s="185">
        <f t="shared" si="1"/>
        <v>17</v>
      </c>
      <c r="E84" s="186">
        <f t="shared" si="2"/>
        <v>1.3514094270120585</v>
      </c>
      <c r="F84" s="59">
        <f t="shared" ca="1" si="3"/>
        <v>163065726.43531919</v>
      </c>
      <c r="G84" s="1150"/>
      <c r="H84" s="1159">
        <f t="shared" si="24"/>
        <v>0</v>
      </c>
      <c r="I84" s="187">
        <f ca="1">IF(OR(C84&lt;0,C84=""),"",-E84*INDEX('Replacement Costs'!$A$16:$H$57,MATCH(C84,'Replacement Costs'!$C$16:$C$57,0),MATCH("Total Yearly Replacement Costs",'Replacement Costs'!$A$16:$H$16,0)))</f>
        <v>-1364158.1678233582</v>
      </c>
      <c r="J84" s="187">
        <f ca="1">IF(AND(C84&gt;=1,C84&lt;anal_period),WorkingCap*SUM(N84:R84)-WorkingCap*SUM(N83:R83),IF(C84&lt;0,0,IF(B84="","",-SUM(J$65:J83))))</f>
        <v>-390987.14034495503</v>
      </c>
      <c r="K84" s="187" t="str">
        <f t="shared" si="4"/>
        <v/>
      </c>
      <c r="L84" s="187" t="str">
        <f t="shared" si="5"/>
        <v/>
      </c>
      <c r="M84" s="187" t="str">
        <f t="shared" si="6"/>
        <v/>
      </c>
      <c r="N84" s="187">
        <f t="shared" ca="1" si="7"/>
        <v>-16811484.472460128</v>
      </c>
      <c r="O84" s="187">
        <f t="shared" ca="1" si="8"/>
        <v>-90911609.706107259</v>
      </c>
      <c r="P84" s="187">
        <f t="shared" ca="1" si="9"/>
        <v>-14052002.626472624</v>
      </c>
      <c r="Q84" s="187">
        <f t="shared" ca="1" si="10"/>
        <v>0</v>
      </c>
      <c r="R84" s="187">
        <f t="shared" ca="1" si="11"/>
        <v>-17082070.570240878</v>
      </c>
      <c r="S84" s="187">
        <f ca="1">IF(B84="","",IF($B$31=0,"",-'Debt Financing Calculations'!E33))</f>
        <v>-4235826.8767231647</v>
      </c>
      <c r="T84" s="187">
        <f t="shared" ca="1" si="12"/>
        <v>19972732.183315128</v>
      </c>
      <c r="U84" s="187">
        <f ca="1">IF(C84="","",IF(C84&lt;-1,0,IF(C84=anal_period,-LOOKUP(C84,depr_yr,depr_cost)-Depreciation!$C$141-Depreciation!$B$166,-LOOKUP(C84,depr_yr,depr_cost))))</f>
        <v>-9598485.2215930894</v>
      </c>
      <c r="V84" s="187">
        <f t="shared" ca="1" si="13"/>
        <v>10374246.961722039</v>
      </c>
      <c r="W84" s="188">
        <f t="shared" si="14"/>
        <v>0.25739999999999996</v>
      </c>
      <c r="X84" s="187">
        <f t="shared" ca="1" si="15"/>
        <v>-2670331.1679472523</v>
      </c>
      <c r="Y84" s="187">
        <f t="shared" ca="1" si="16"/>
        <v>17302401.015367877</v>
      </c>
      <c r="Z84" s="187">
        <f>IF(C84="","",IF($B$31=0,"",-'Debt Financing Calculations'!F33))</f>
        <v>0</v>
      </c>
      <c r="AA84" s="187">
        <f t="shared" ca="1" si="17"/>
        <v>15547255.707199562</v>
      </c>
      <c r="AB84" s="187">
        <f t="shared" ca="1" si="23"/>
        <v>104148799.78747351</v>
      </c>
      <c r="AC84" s="1137">
        <f t="shared" ca="1" si="18"/>
        <v>18217586.875146814</v>
      </c>
      <c r="AD84" s="134"/>
      <c r="AE84" s="1141">
        <f t="shared" ca="1" si="19"/>
        <v>50995026</v>
      </c>
      <c r="AF84" s="1137">
        <f t="shared" si="20"/>
        <v>0</v>
      </c>
    </row>
    <row r="85" spans="1:32" x14ac:dyDescent="0.2">
      <c r="A85" s="58">
        <f t="shared" si="21"/>
        <v>2032</v>
      </c>
      <c r="B85" s="185">
        <f>IF(MAX($B$65:B84)&lt;(construct+anal_period),B84+1,"")</f>
        <v>21</v>
      </c>
      <c r="C85" s="185">
        <f t="shared" si="22"/>
        <v>18</v>
      </c>
      <c r="D85" s="185">
        <f t="shared" si="1"/>
        <v>18</v>
      </c>
      <c r="E85" s="186">
        <f t="shared" si="2"/>
        <v>1.3770862061252875</v>
      </c>
      <c r="F85" s="59">
        <f t="shared" ca="1" si="3"/>
        <v>166163975.23759022</v>
      </c>
      <c r="G85" s="1150"/>
      <c r="H85" s="1159">
        <f t="shared" si="24"/>
        <v>0</v>
      </c>
      <c r="I85" s="187">
        <f ca="1">IF(OR(C85&lt;0,C85=""),"",-E85*INDEX('Replacement Costs'!$A$16:$H$57,MATCH(C85,'Replacement Costs'!$C$16:$C$57,0),MATCH("Total Yearly Replacement Costs",'Replacement Costs'!$A$16:$H$16,0)))</f>
        <v>-1390077.1730120019</v>
      </c>
      <c r="J85" s="187">
        <f ca="1">IF(AND(C85&gt;=1,C85&lt;anal_period),WorkingCap*SUM(N85:R85)-WorkingCap*SUM(N84:R84),IF(C85&lt;0,0,IF(B85="","",-SUM(J$65:J84))))</f>
        <v>-394221.75814476609</v>
      </c>
      <c r="K85" s="187" t="str">
        <f t="shared" si="4"/>
        <v/>
      </c>
      <c r="L85" s="187" t="str">
        <f t="shared" si="5"/>
        <v/>
      </c>
      <c r="M85" s="187" t="str">
        <f t="shared" si="6"/>
        <v/>
      </c>
      <c r="N85" s="187">
        <f t="shared" ca="1" si="7"/>
        <v>-17130902.67743687</v>
      </c>
      <c r="O85" s="187">
        <f t="shared" ca="1" si="8"/>
        <v>-92638930.290523291</v>
      </c>
      <c r="P85" s="187">
        <f t="shared" ca="1" si="9"/>
        <v>-14318990.676375603</v>
      </c>
      <c r="Q85" s="187">
        <f t="shared" ca="1" si="10"/>
        <v>0</v>
      </c>
      <c r="R85" s="187">
        <f t="shared" ca="1" si="11"/>
        <v>-17396488.785243556</v>
      </c>
      <c r="S85" s="187">
        <f ca="1">IF(B85="","",IF($B$31=0,"",-'Debt Financing Calculations'!E34))</f>
        <v>-4235826.8767231647</v>
      </c>
      <c r="T85" s="187">
        <f t="shared" ca="1" si="12"/>
        <v>20442835.931287736</v>
      </c>
      <c r="U85" s="187">
        <f ca="1">IF(C85="","",IF(C85&lt;-1,0,IF(C85=anal_period,-LOOKUP(C85,depr_yr,depr_cost)-Depreciation!$C$141-Depreciation!$B$166,-LOOKUP(C85,depr_yr,depr_cost))))</f>
        <v>-9660670.3078589085</v>
      </c>
      <c r="V85" s="187">
        <f t="shared" ca="1" si="13"/>
        <v>10782165.623428827</v>
      </c>
      <c r="W85" s="188">
        <f t="shared" si="14"/>
        <v>0.25739999999999996</v>
      </c>
      <c r="X85" s="187">
        <f t="shared" ca="1" si="15"/>
        <v>-2775329.4314705799</v>
      </c>
      <c r="Y85" s="187">
        <f t="shared" ca="1" si="16"/>
        <v>17667506.499817155</v>
      </c>
      <c r="Z85" s="187">
        <f>IF(C85="","",IF($B$31=0,"",-'Debt Financing Calculations'!F34))</f>
        <v>0</v>
      </c>
      <c r="AA85" s="187">
        <f t="shared" ca="1" si="17"/>
        <v>15883207.568660386</v>
      </c>
      <c r="AB85" s="187">
        <f t="shared" ca="1" si="23"/>
        <v>120032007.35613391</v>
      </c>
      <c r="AC85" s="1137">
        <f t="shared" ca="1" si="18"/>
        <v>18658537.000130966</v>
      </c>
      <c r="AD85" s="134"/>
      <c r="AE85" s="1141">
        <f t="shared" ca="1" si="19"/>
        <v>50995026</v>
      </c>
      <c r="AF85" s="1137">
        <f t="shared" si="20"/>
        <v>0</v>
      </c>
    </row>
    <row r="86" spans="1:32" x14ac:dyDescent="0.2">
      <c r="A86" s="58">
        <f t="shared" si="21"/>
        <v>2033</v>
      </c>
      <c r="B86" s="185">
        <f>IF(MAX($B$65:B85)&lt;(construct+anal_period),B85+1,"")</f>
        <v>22</v>
      </c>
      <c r="C86" s="185">
        <f t="shared" si="22"/>
        <v>19</v>
      </c>
      <c r="D86" s="185">
        <f t="shared" si="1"/>
        <v>19</v>
      </c>
      <c r="E86" s="186">
        <f t="shared" si="2"/>
        <v>1.4032508440416678</v>
      </c>
      <c r="F86" s="59">
        <f t="shared" ca="1" si="3"/>
        <v>169321090.76710442</v>
      </c>
      <c r="G86" s="1150"/>
      <c r="H86" s="1159">
        <f t="shared" si="24"/>
        <v>0</v>
      </c>
      <c r="I86" s="187">
        <f ca="1">IF(OR(C86&lt;0,C86=""),"",-E86*INDEX('Replacement Costs'!$A$16:$H$57,MATCH(C86,'Replacement Costs'!$C$16:$C$57,0),MATCH("Total Yearly Replacement Costs",'Replacement Costs'!$A$16:$H$16,0)))</f>
        <v>-1416488.6392992297</v>
      </c>
      <c r="J86" s="187">
        <f ca="1">IF(AND(C86&gt;=1,C86&lt;anal_period),WorkingCap*SUM(N86:R86)-WorkingCap*SUM(N85:R85),IF(C86&lt;0,0,IF(B86="","",-SUM(J$65:J85))))</f>
        <v>-397882.81331144273</v>
      </c>
      <c r="K86" s="187" t="str">
        <f t="shared" si="4"/>
        <v/>
      </c>
      <c r="L86" s="187" t="str">
        <f t="shared" si="5"/>
        <v/>
      </c>
      <c r="M86" s="187" t="str">
        <f t="shared" si="6"/>
        <v/>
      </c>
      <c r="N86" s="187">
        <f t="shared" ca="1" si="7"/>
        <v>-17456389.828308169</v>
      </c>
      <c r="O86" s="187">
        <f t="shared" ca="1" si="8"/>
        <v>-94399069.966043219</v>
      </c>
      <c r="P86" s="187">
        <f t="shared" ca="1" si="9"/>
        <v>-14591051.499226738</v>
      </c>
      <c r="Q86" s="187">
        <f t="shared" ca="1" si="10"/>
        <v>0</v>
      </c>
      <c r="R86" s="187">
        <f t="shared" ca="1" si="11"/>
        <v>-17691353.224744186</v>
      </c>
      <c r="S86" s="187">
        <f ca="1">IF(B86="","",IF($B$31=0,"",-'Debt Financing Calculations'!E35))</f>
        <v>-4235826.8767231647</v>
      </c>
      <c r="T86" s="187">
        <f t="shared" ca="1" si="12"/>
        <v>20947399.372058958</v>
      </c>
      <c r="U86" s="187">
        <f ca="1">IF(C86="","",IF(C86&lt;-1,0,IF(C86=anal_period,-LOOKUP(C86,depr_yr,depr_cost)-Depreciation!$C$141-Depreciation!$B$166,-LOOKUP(C86,depr_yr,depr_cost))))</f>
        <v>-9727935.800125774</v>
      </c>
      <c r="V86" s="187">
        <f t="shared" ca="1" si="13"/>
        <v>11219463.571933184</v>
      </c>
      <c r="W86" s="188">
        <f t="shared" si="14"/>
        <v>0.25739999999999996</v>
      </c>
      <c r="X86" s="187">
        <f t="shared" ca="1" si="15"/>
        <v>-2887889.9234156013</v>
      </c>
      <c r="Y86" s="187">
        <f t="shared" ca="1" si="16"/>
        <v>18059509.448643357</v>
      </c>
      <c r="Z86" s="187">
        <f>IF(C86="","",IF($B$31=0,"",-'Debt Financing Calculations'!F35))</f>
        <v>0</v>
      </c>
      <c r="AA86" s="187">
        <f t="shared" ca="1" si="17"/>
        <v>16245137.996032685</v>
      </c>
      <c r="AB86" s="187">
        <f t="shared" ca="1" si="23"/>
        <v>136277145.35216659</v>
      </c>
      <c r="AC86" s="1137">
        <f t="shared" ca="1" si="18"/>
        <v>19133027.919448286</v>
      </c>
      <c r="AD86" s="134"/>
      <c r="AE86" s="1141">
        <f t="shared" ca="1" si="19"/>
        <v>50995026</v>
      </c>
      <c r="AF86" s="1137">
        <f t="shared" si="20"/>
        <v>0</v>
      </c>
    </row>
    <row r="87" spans="1:32" x14ac:dyDescent="0.2">
      <c r="A87" s="58">
        <f t="shared" si="21"/>
        <v>2034</v>
      </c>
      <c r="B87" s="185">
        <f>IF(MAX($B$65:B86)&lt;(construct+anal_period),B86+1,"")</f>
        <v>23</v>
      </c>
      <c r="C87" s="185">
        <f t="shared" si="22"/>
        <v>20</v>
      </c>
      <c r="D87" s="185">
        <f t="shared" si="1"/>
        <v>20</v>
      </c>
      <c r="E87" s="186">
        <f t="shared" si="2"/>
        <v>1.4299126100784596</v>
      </c>
      <c r="F87" s="59">
        <f t="shared" ca="1" si="3"/>
        <v>172538191.49167943</v>
      </c>
      <c r="G87" s="1150"/>
      <c r="H87" s="1159">
        <f t="shared" si="24"/>
        <v>0</v>
      </c>
      <c r="I87" s="187">
        <f ca="1">IF(OR(C87&lt;0,C87=""),"",-E87*INDEX('Replacement Costs'!$A$16:$H$57,MATCH(C87,'Replacement Costs'!$C$16:$C$57,0),MATCH("Total Yearly Replacement Costs",'Replacement Costs'!$A$16:$H$16,0)))</f>
        <v>-1443401.9234459151</v>
      </c>
      <c r="J87" s="187">
        <f ca="1">IF(AND(C87&gt;=1,C87&lt;anal_period),WorkingCap*SUM(N87:R87)-WorkingCap*SUM(N86:R86),IF(C87&lt;0,0,IF(B87="","",-SUM(J$65:J86))))</f>
        <v>-411665.55455183238</v>
      </c>
      <c r="K87" s="187" t="str">
        <f t="shared" si="4"/>
        <v/>
      </c>
      <c r="L87" s="187" t="str">
        <f t="shared" si="5"/>
        <v/>
      </c>
      <c r="M87" s="187" t="str">
        <f t="shared" si="6"/>
        <v/>
      </c>
      <c r="N87" s="187">
        <f t="shared" ca="1" si="7"/>
        <v>-17788061.235046025</v>
      </c>
      <c r="O87" s="187">
        <f t="shared" ca="1" si="8"/>
        <v>-96192652.295398057</v>
      </c>
      <c r="P87" s="187">
        <f t="shared" ca="1" si="9"/>
        <v>-14868281.477712046</v>
      </c>
      <c r="Q87" s="187">
        <f t="shared" ca="1" si="10"/>
        <v>0</v>
      </c>
      <c r="R87" s="187">
        <f t="shared" ca="1" si="11"/>
        <v>-18033306.540511679</v>
      </c>
      <c r="S87" s="187">
        <f ca="1">IF(B87="","",IF($B$31=0,"",-'Debt Financing Calculations'!E36))</f>
        <v>-4235826.8767231647</v>
      </c>
      <c r="T87" s="187">
        <f t="shared" ca="1" si="12"/>
        <v>21420063.066288441</v>
      </c>
      <c r="U87" s="187">
        <f ca="1">IF(C87="","",IF(C87&lt;-1,0,IF(C87=anal_period,-LOOKUP(C87,depr_yr,depr_cost)-Depreciation!$C$141-Depreciation!$B$166,-LOOKUP(C87,depr_yr,depr_cost))))</f>
        <v>-9792580.4473837186</v>
      </c>
      <c r="V87" s="187">
        <f t="shared" ca="1" si="13"/>
        <v>11627482.618904723</v>
      </c>
      <c r="W87" s="188">
        <f t="shared" si="14"/>
        <v>0.25739999999999996</v>
      </c>
      <c r="X87" s="187">
        <f t="shared" ca="1" si="15"/>
        <v>-2992914.0261060754</v>
      </c>
      <c r="Y87" s="187">
        <f t="shared" ca="1" si="16"/>
        <v>18427149.040182367</v>
      </c>
      <c r="Z87" s="187">
        <f>IF(C87="","",IF($B$31=0,"",-'Debt Financing Calculations'!F36))</f>
        <v>0</v>
      </c>
      <c r="AA87" s="187">
        <f t="shared" ca="1" si="17"/>
        <v>16572081.562184621</v>
      </c>
      <c r="AB87" s="187">
        <f t="shared" ca="1" si="23"/>
        <v>152849226.91435122</v>
      </c>
      <c r="AC87" s="1137">
        <f t="shared" ca="1" si="18"/>
        <v>19564995.588290695</v>
      </c>
      <c r="AD87" s="134"/>
      <c r="AE87" s="1141">
        <f t="shared" ca="1" si="19"/>
        <v>50995026</v>
      </c>
      <c r="AF87" s="1137">
        <f t="shared" si="20"/>
        <v>0</v>
      </c>
    </row>
    <row r="88" spans="1:32" x14ac:dyDescent="0.2">
      <c r="A88" s="58">
        <f t="shared" si="21"/>
        <v>2035</v>
      </c>
      <c r="B88" s="185">
        <f>IF(MAX($B$65:B87)&lt;(construct+anal_period),B87+1,"")</f>
        <v>24</v>
      </c>
      <c r="C88" s="185">
        <f t="shared" si="22"/>
        <v>21</v>
      </c>
      <c r="D88" s="185">
        <f t="shared" si="1"/>
        <v>21</v>
      </c>
      <c r="E88" s="186">
        <f t="shared" si="2"/>
        <v>1.4570809496699502</v>
      </c>
      <c r="F88" s="59">
        <f t="shared" ca="1" si="3"/>
        <v>175816417.1300213</v>
      </c>
      <c r="G88" s="1150"/>
      <c r="H88" s="1159">
        <f t="shared" si="24"/>
        <v>0</v>
      </c>
      <c r="I88" s="187">
        <f ca="1">IF(OR(C88&lt;0,C88=""),"",-E88*INDEX('Replacement Costs'!$A$16:$H$57,MATCH(C88,'Replacement Costs'!$C$16:$C$57,0),MATCH("Total Yearly Replacement Costs",'Replacement Costs'!$A$16:$H$16,0)))</f>
        <v>-1470826.5599913874</v>
      </c>
      <c r="J88" s="187">
        <f ca="1">IF(AND(C88&gt;=1,C88&lt;anal_period),WorkingCap*SUM(N88:R88)-WorkingCap*SUM(N87:R87),IF(C88&lt;0,0,IF(B88="","",-SUM(J$65:J87))))</f>
        <v>-431506.19589529932</v>
      </c>
      <c r="K88" s="187" t="str">
        <f t="shared" si="4"/>
        <v/>
      </c>
      <c r="L88" s="187" t="str">
        <f t="shared" si="5"/>
        <v/>
      </c>
      <c r="M88" s="187" t="str">
        <f t="shared" si="6"/>
        <v/>
      </c>
      <c r="N88" s="187">
        <f t="shared" ca="1" si="7"/>
        <v>-18126034.398511898</v>
      </c>
      <c r="O88" s="187">
        <f t="shared" ca="1" si="8"/>
        <v>-98020312.689010605</v>
      </c>
      <c r="P88" s="187">
        <f t="shared" ca="1" si="9"/>
        <v>-15150778.825788574</v>
      </c>
      <c r="Q88" s="187">
        <f t="shared" ca="1" si="10"/>
        <v>0</v>
      </c>
      <c r="R88" s="187">
        <f t="shared" ca="1" si="11"/>
        <v>-18461883.607992068</v>
      </c>
      <c r="S88" s="187">
        <f ca="1">IF(B88="","",IF($B$31=0,"",-'Debt Financing Calculations'!E37))</f>
        <v>-4235826.8767231647</v>
      </c>
      <c r="T88" s="187">
        <f t="shared" ca="1" si="12"/>
        <v>21821580.731994987</v>
      </c>
      <c r="U88" s="187">
        <f ca="1">IF(C88="","",IF(C88&lt;-1,0,IF(C88=anal_period,-LOOKUP(C88,depr_yr,depr_cost)-Depreciation!$C$141-Depreciation!$B$166,-LOOKUP(C88,depr_yr,depr_cost))))</f>
        <v>-5542703.6337524196</v>
      </c>
      <c r="V88" s="187">
        <f t="shared" ca="1" si="13"/>
        <v>16278877.098242566</v>
      </c>
      <c r="W88" s="188">
        <f t="shared" si="14"/>
        <v>0.25739999999999996</v>
      </c>
      <c r="X88" s="187">
        <f t="shared" ca="1" si="15"/>
        <v>-4190182.9650876359</v>
      </c>
      <c r="Y88" s="187">
        <f t="shared" ca="1" si="16"/>
        <v>17631397.766907349</v>
      </c>
      <c r="Z88" s="187">
        <f>IF(C88="","",IF($B$31=0,"",-'Debt Financing Calculations'!F37))</f>
        <v>0</v>
      </c>
      <c r="AA88" s="187">
        <f t="shared" ca="1" si="17"/>
        <v>15729065.011020666</v>
      </c>
      <c r="AB88" s="187">
        <f t="shared" ca="1" si="23"/>
        <v>168578291.92537189</v>
      </c>
      <c r="AC88" s="1137">
        <f t="shared" ca="1" si="18"/>
        <v>19919247.976108301</v>
      </c>
      <c r="AD88" s="134"/>
      <c r="AE88" s="1141">
        <f t="shared" ca="1" si="19"/>
        <v>50995026</v>
      </c>
      <c r="AF88" s="1137">
        <f t="shared" si="20"/>
        <v>0</v>
      </c>
    </row>
    <row r="89" spans="1:32" x14ac:dyDescent="0.2">
      <c r="A89" s="58">
        <f t="shared" si="21"/>
        <v>2036</v>
      </c>
      <c r="B89" s="185">
        <f>IF(MAX($B$65:B88)&lt;(construct+anal_period),B88+1,"")</f>
        <v>25</v>
      </c>
      <c r="C89" s="185">
        <f t="shared" si="22"/>
        <v>22</v>
      </c>
      <c r="D89" s="185">
        <f t="shared" si="1"/>
        <v>22</v>
      </c>
      <c r="E89" s="186">
        <f t="shared" si="2"/>
        <v>1.4847654877136791</v>
      </c>
      <c r="F89" s="59">
        <f t="shared" ca="1" si="3"/>
        <v>179156929.05549172</v>
      </c>
      <c r="G89" s="1150"/>
      <c r="H89" s="1159">
        <f t="shared" si="24"/>
        <v>0</v>
      </c>
      <c r="I89" s="187">
        <f ca="1">IF(OR(C89&lt;0,C89=""),"",-E89*INDEX('Replacement Costs'!$A$16:$H$57,MATCH(C89,'Replacement Costs'!$C$16:$C$57,0),MATCH("Total Yearly Replacement Costs",'Replacement Costs'!$A$16:$H$16,0)))</f>
        <v>-1498772.2646312236</v>
      </c>
      <c r="J89" s="187">
        <f ca="1">IF(AND(C89&gt;=1,C89&lt;anal_period),WorkingCap*SUM(N89:R89)-WorkingCap*SUM(N88:R88),IF(C89&lt;0,0,IF(B89="","",-SUM(J$65:J88))))</f>
        <v>-431780.43118784949</v>
      </c>
      <c r="K89" s="187" t="str">
        <f t="shared" si="4"/>
        <v/>
      </c>
      <c r="L89" s="187" t="str">
        <f t="shared" si="5"/>
        <v/>
      </c>
      <c r="M89" s="187" t="str">
        <f t="shared" si="6"/>
        <v/>
      </c>
      <c r="N89" s="187">
        <f t="shared" ca="1" si="7"/>
        <v>-18470429.052083623</v>
      </c>
      <c r="O89" s="187">
        <f t="shared" ca="1" si="8"/>
        <v>-99882698.6301018</v>
      </c>
      <c r="P89" s="187">
        <f t="shared" ca="1" si="9"/>
        <v>-15438643.623478556</v>
      </c>
      <c r="Q89" s="187">
        <f t="shared" ca="1" si="10"/>
        <v>0</v>
      </c>
      <c r="R89" s="187">
        <f t="shared" ca="1" si="11"/>
        <v>-18845774.423558164</v>
      </c>
      <c r="S89" s="187">
        <f ca="1">IF(B89="","",IF($B$31=0,"",-'Debt Financing Calculations'!E38))</f>
        <v>-4235826.8767231647</v>
      </c>
      <c r="T89" s="187">
        <f t="shared" ca="1" si="12"/>
        <v>22283556.449546397</v>
      </c>
      <c r="U89" s="187">
        <f ca="1">IF(C89="","",IF(C89&lt;-1,0,IF(C89=anal_period,-LOOKUP(C89,depr_yr,depr_cost)-Depreciation!$C$141-Depreciation!$B$166,-LOOKUP(C89,depr_yr,depr_cost))))</f>
        <v>-1269241.4347240662</v>
      </c>
      <c r="V89" s="187">
        <f t="shared" ca="1" si="13"/>
        <v>21014315.01482233</v>
      </c>
      <c r="W89" s="188">
        <f t="shared" si="14"/>
        <v>0.25739999999999996</v>
      </c>
      <c r="X89" s="187">
        <f t="shared" ca="1" si="15"/>
        <v>-5409084.6848152671</v>
      </c>
      <c r="Y89" s="187">
        <f t="shared" ca="1" si="16"/>
        <v>16874471.764731131</v>
      </c>
      <c r="Z89" s="187">
        <f>IF(C89="","",IF($B$31=0,"",-'Debt Financing Calculations'!F38))</f>
        <v>0</v>
      </c>
      <c r="AA89" s="187">
        <f t="shared" ca="1" si="17"/>
        <v>14943919.068912057</v>
      </c>
      <c r="AB89" s="187">
        <f t="shared" ca="1" si="23"/>
        <v>183522210.99428394</v>
      </c>
      <c r="AC89" s="1137">
        <f t="shared" ca="1" si="18"/>
        <v>20353003.753727324</v>
      </c>
      <c r="AD89" s="134"/>
      <c r="AE89" s="1141">
        <f t="shared" ca="1" si="19"/>
        <v>50995026</v>
      </c>
      <c r="AF89" s="1137">
        <f t="shared" si="20"/>
        <v>0</v>
      </c>
    </row>
    <row r="90" spans="1:32" x14ac:dyDescent="0.2">
      <c r="A90" s="58">
        <f t="shared" si="21"/>
        <v>2037</v>
      </c>
      <c r="B90" s="185">
        <f>IF(MAX($B$65:B89)&lt;(construct+anal_period),B89+1,"")</f>
        <v>26</v>
      </c>
      <c r="C90" s="185">
        <f t="shared" si="22"/>
        <v>23</v>
      </c>
      <c r="D90" s="185">
        <f t="shared" si="1"/>
        <v>23</v>
      </c>
      <c r="E90" s="186">
        <f t="shared" si="2"/>
        <v>1.5129760319802392</v>
      </c>
      <c r="F90" s="59">
        <f t="shared" ca="1" si="3"/>
        <v>182560910.70754609</v>
      </c>
      <c r="G90" s="1150"/>
      <c r="H90" s="1159">
        <f t="shared" si="24"/>
        <v>0</v>
      </c>
      <c r="I90" s="187">
        <f ca="1">IF(OR(C90&lt;0,C90=""),"",-E90*INDEX('Replacement Costs'!$A$16:$H$57,MATCH(C90,'Replacement Costs'!$C$16:$C$57,0),MATCH("Total Yearly Replacement Costs",'Replacement Costs'!$A$16:$H$16,0)))</f>
        <v>-1527248.937659217</v>
      </c>
      <c r="J90" s="187">
        <f ca="1">IF(AND(C90&gt;=1,C90&lt;anal_period),WorkingCap*SUM(N90:R90)-WorkingCap*SUM(N89:R89),IF(C90&lt;0,0,IF(B90="","",-SUM(J$65:J89))))</f>
        <v>-436937.94142729416</v>
      </c>
      <c r="K90" s="187" t="str">
        <f t="shared" si="4"/>
        <v/>
      </c>
      <c r="L90" s="187" t="str">
        <f t="shared" si="5"/>
        <v/>
      </c>
      <c r="M90" s="187" t="str">
        <f t="shared" si="6"/>
        <v/>
      </c>
      <c r="N90" s="187">
        <f t="shared" ca="1" si="7"/>
        <v>-18821367.204073213</v>
      </c>
      <c r="O90" s="187">
        <f t="shared" ca="1" si="8"/>
        <v>-101780469.90407375</v>
      </c>
      <c r="P90" s="187">
        <f t="shared" ca="1" si="9"/>
        <v>-15731977.85232465</v>
      </c>
      <c r="Q90" s="187">
        <f t="shared" ca="1" si="10"/>
        <v>0</v>
      </c>
      <c r="R90" s="187">
        <f t="shared" ca="1" si="11"/>
        <v>-19216650.378265835</v>
      </c>
      <c r="S90" s="187">
        <f ca="1">IF(B90="","",IF($B$31=0,"",-'Debt Financing Calculations'!E39))</f>
        <v>-4235826.8767231647</v>
      </c>
      <c r="T90" s="187">
        <f t="shared" ca="1" si="12"/>
        <v>22774618.492085457</v>
      </c>
      <c r="U90" s="187">
        <f ca="1">IF(C90="","",IF(C90&lt;-1,0,IF(C90=anal_period,-LOOKUP(C90,depr_yr,depr_cost)-Depreciation!$C$141-Depreciation!$B$166,-LOOKUP(C90,depr_yr,depr_cost))))</f>
        <v>-1293357.0219838233</v>
      </c>
      <c r="V90" s="187">
        <f t="shared" ca="1" si="13"/>
        <v>21481261.470101632</v>
      </c>
      <c r="W90" s="188">
        <f t="shared" si="14"/>
        <v>0.25739999999999996</v>
      </c>
      <c r="X90" s="187">
        <f t="shared" ca="1" si="15"/>
        <v>-5529276.7024041591</v>
      </c>
      <c r="Y90" s="187">
        <f t="shared" ca="1" si="16"/>
        <v>17245341.789681297</v>
      </c>
      <c r="Z90" s="187">
        <f>IF(C90="","",IF($B$31=0,"",-'Debt Financing Calculations'!F39))</f>
        <v>0</v>
      </c>
      <c r="AA90" s="187">
        <f t="shared" ca="1" si="17"/>
        <v>15281154.910594787</v>
      </c>
      <c r="AB90" s="187">
        <f t="shared" ca="1" si="23"/>
        <v>198803365.90487874</v>
      </c>
      <c r="AC90" s="1137">
        <f t="shared" ca="1" si="18"/>
        <v>20810431.612998948</v>
      </c>
      <c r="AD90" s="134"/>
      <c r="AE90" s="1141">
        <f t="shared" ca="1" si="19"/>
        <v>50995026</v>
      </c>
      <c r="AF90" s="1137">
        <f t="shared" si="20"/>
        <v>0</v>
      </c>
    </row>
    <row r="91" spans="1:32" x14ac:dyDescent="0.2">
      <c r="A91" s="58">
        <f t="shared" si="21"/>
        <v>2038</v>
      </c>
      <c r="B91" s="185">
        <f>IF(MAX($B$65:B90)&lt;(construct+anal_period),B90+1,"")</f>
        <v>27</v>
      </c>
      <c r="C91" s="185">
        <f t="shared" si="22"/>
        <v>24</v>
      </c>
      <c r="D91" s="185">
        <f t="shared" si="1"/>
        <v>24</v>
      </c>
      <c r="E91" s="186">
        <f t="shared" si="2"/>
        <v>1.5417225765878635</v>
      </c>
      <c r="F91" s="59">
        <f t="shared" ca="1" si="3"/>
        <v>186029568.01098943</v>
      </c>
      <c r="G91" s="1150"/>
      <c r="H91" s="1159">
        <f t="shared" si="24"/>
        <v>0</v>
      </c>
      <c r="I91" s="187">
        <f ca="1">IF(OR(C91&lt;0,C91=""),"",-E91*INDEX('Replacement Costs'!$A$16:$H$57,MATCH(C91,'Replacement Costs'!$C$16:$C$57,0),MATCH("Total Yearly Replacement Costs",'Replacement Costs'!$A$16:$H$16,0)))</f>
        <v>-1556266.667474742</v>
      </c>
      <c r="J91" s="187">
        <f ca="1">IF(AND(C91&gt;=1,C91&lt;anal_period),WorkingCap*SUM(N91:R91)-WorkingCap*SUM(N90:R90),IF(C91&lt;0,0,IF(B91="","",-SUM(J$65:J90))))</f>
        <v>-444307.73225749284</v>
      </c>
      <c r="K91" s="187" t="str">
        <f t="shared" si="4"/>
        <v/>
      </c>
      <c r="L91" s="187" t="str">
        <f t="shared" si="5"/>
        <v/>
      </c>
      <c r="M91" s="187" t="str">
        <f t="shared" si="6"/>
        <v/>
      </c>
      <c r="N91" s="187">
        <f t="shared" ca="1" si="7"/>
        <v>-19178973.180950601</v>
      </c>
      <c r="O91" s="187">
        <f t="shared" ca="1" si="8"/>
        <v>-103714298.83225113</v>
      </c>
      <c r="P91" s="187">
        <f t="shared" ca="1" si="9"/>
        <v>-16030885.431518815</v>
      </c>
      <c r="Q91" s="187">
        <f t="shared" ca="1" si="10"/>
        <v>0</v>
      </c>
      <c r="R91" s="187">
        <f t="shared" ca="1" si="11"/>
        <v>-19588359.44240018</v>
      </c>
      <c r="S91" s="187">
        <f ca="1">IF(B91="","",IF($B$31=0,"",-'Debt Financing Calculations'!E40))</f>
        <v>-4235826.8767231647</v>
      </c>
      <c r="T91" s="187">
        <f t="shared" ca="1" si="12"/>
        <v>23281224.247145534</v>
      </c>
      <c r="U91" s="187">
        <f ca="1">IF(C91="","",IF(C91&lt;-1,0,IF(C91=anal_period,-LOOKUP(C91,depr_yr,depr_cost)-Depreciation!$C$141-Depreciation!$B$166,-LOOKUP(C91,depr_yr,depr_cost))))</f>
        <v>-1317930.8054015161</v>
      </c>
      <c r="V91" s="187">
        <f t="shared" ca="1" si="13"/>
        <v>21963293.441744018</v>
      </c>
      <c r="W91" s="188">
        <f t="shared" si="14"/>
        <v>0.25739999999999996</v>
      </c>
      <c r="X91" s="187">
        <f t="shared" ca="1" si="15"/>
        <v>-5653351.7319049099</v>
      </c>
      <c r="Y91" s="187">
        <f t="shared" ca="1" si="16"/>
        <v>17627872.515240625</v>
      </c>
      <c r="Z91" s="187">
        <f>IF(C91="","",IF($B$31=0,"",-'Debt Financing Calculations'!F40))</f>
        <v>0</v>
      </c>
      <c r="AA91" s="187">
        <f t="shared" ca="1" si="17"/>
        <v>15627298.115508389</v>
      </c>
      <c r="AB91" s="187">
        <f t="shared" ca="1" si="23"/>
        <v>214430664.02038711</v>
      </c>
      <c r="AC91" s="1137">
        <f t="shared" ca="1" si="18"/>
        <v>21280649.847413298</v>
      </c>
      <c r="AD91" s="134"/>
      <c r="AE91" s="1141">
        <f t="shared" ca="1" si="19"/>
        <v>50995026</v>
      </c>
      <c r="AF91" s="1137">
        <f t="shared" si="20"/>
        <v>0</v>
      </c>
    </row>
    <row r="92" spans="1:32" x14ac:dyDescent="0.2">
      <c r="A92" s="58">
        <f t="shared" si="21"/>
        <v>2039</v>
      </c>
      <c r="B92" s="185">
        <f>IF(MAX($B$65:B91)&lt;(construct+anal_period),B91+1,"")</f>
        <v>28</v>
      </c>
      <c r="C92" s="185">
        <f t="shared" si="22"/>
        <v>25</v>
      </c>
      <c r="D92" s="185">
        <f t="shared" si="1"/>
        <v>25</v>
      </c>
      <c r="E92" s="186">
        <f t="shared" si="2"/>
        <v>1.5710153055430329</v>
      </c>
      <c r="F92" s="59">
        <f t="shared" ca="1" si="3"/>
        <v>189564129.80319822</v>
      </c>
      <c r="G92" s="1150"/>
      <c r="H92" s="1159">
        <f t="shared" si="24"/>
        <v>0</v>
      </c>
      <c r="I92" s="187">
        <f ca="1">IF(OR(C92&lt;0,C92=""),"",-E92*INDEX('Replacement Costs'!$A$16:$H$57,MATCH(C92,'Replacement Costs'!$C$16:$C$57,0),MATCH("Total Yearly Replacement Costs",'Replacement Costs'!$A$16:$H$16,0)))</f>
        <v>-1585835.734156762</v>
      </c>
      <c r="J92" s="187">
        <f ca="1">IF(AND(C92&gt;=1,C92&lt;anal_period),WorkingCap*SUM(N92:R92)-WorkingCap*SUM(N91:R91),IF(C92&lt;0,0,IF(B92="","",-SUM(J$65:J91))))</f>
        <v>-453187.71821469069</v>
      </c>
      <c r="K92" s="187" t="str">
        <f t="shared" si="4"/>
        <v/>
      </c>
      <c r="L92" s="187" t="str">
        <f t="shared" si="5"/>
        <v/>
      </c>
      <c r="M92" s="187" t="str">
        <f t="shared" si="6"/>
        <v/>
      </c>
      <c r="N92" s="187">
        <f t="shared" ca="1" si="7"/>
        <v>-19543373.671388663</v>
      </c>
      <c r="O92" s="187">
        <f t="shared" ca="1" si="8"/>
        <v>-105684870.5100639</v>
      </c>
      <c r="P92" s="187">
        <f t="shared" ca="1" si="9"/>
        <v>-16335472.254717674</v>
      </c>
      <c r="Q92" s="187">
        <f t="shared" ca="1" si="10"/>
        <v>0</v>
      </c>
      <c r="R92" s="187">
        <f t="shared" ca="1" si="11"/>
        <v>-19970051.905715086</v>
      </c>
      <c r="S92" s="187">
        <f ca="1">IF(B92="","",IF($B$31=0,"",-'Debt Financing Calculations'!E41))</f>
        <v>-4235826.8767231647</v>
      </c>
      <c r="T92" s="187">
        <f t="shared" ca="1" si="12"/>
        <v>23794534.58458972</v>
      </c>
      <c r="U92" s="187">
        <f ca="1">IF(C92="","",IF(C92&lt;-1,0,IF(C92=anal_period,-LOOKUP(C92,depr_yr,depr_cost)-Depreciation!$C$141-Depreciation!$B$166,-LOOKUP(C92,depr_yr,depr_cost))))</f>
        <v>-1342971.4907041448</v>
      </c>
      <c r="V92" s="187">
        <f t="shared" ca="1" si="13"/>
        <v>22451563.093885574</v>
      </c>
      <c r="W92" s="188">
        <f t="shared" si="14"/>
        <v>0.25739999999999996</v>
      </c>
      <c r="X92" s="187">
        <f t="shared" ca="1" si="15"/>
        <v>-5779032.3403661456</v>
      </c>
      <c r="Y92" s="187">
        <f t="shared" ca="1" si="16"/>
        <v>18015502.244223572</v>
      </c>
      <c r="Z92" s="187">
        <f>IF(C92="","",IF($B$31=0,"",-'Debt Financing Calculations'!F41))</f>
        <v>0</v>
      </c>
      <c r="AA92" s="187">
        <f t="shared" ca="1" si="17"/>
        <v>15976478.791852122</v>
      </c>
      <c r="AB92" s="187">
        <f t="shared" ca="1" si="23"/>
        <v>230407142.81223923</v>
      </c>
      <c r="AC92" s="1137">
        <f t="shared" ca="1" si="18"/>
        <v>21755511.132218268</v>
      </c>
      <c r="AD92" s="134"/>
      <c r="AE92" s="1141">
        <f t="shared" ca="1" si="19"/>
        <v>50995026</v>
      </c>
      <c r="AF92" s="1137">
        <f t="shared" si="20"/>
        <v>0</v>
      </c>
    </row>
    <row r="93" spans="1:32" x14ac:dyDescent="0.2">
      <c r="A93" s="58">
        <f t="shared" si="21"/>
        <v>2040</v>
      </c>
      <c r="B93" s="185">
        <f>IF(MAX($B$65:B92)&lt;(construct+anal_period),B92+1,"")</f>
        <v>29</v>
      </c>
      <c r="C93" s="185">
        <f t="shared" si="22"/>
        <v>26</v>
      </c>
      <c r="D93" s="185">
        <f t="shared" si="1"/>
        <v>26</v>
      </c>
      <c r="E93" s="186">
        <f t="shared" si="2"/>
        <v>1.6008645963483503</v>
      </c>
      <c r="F93" s="59">
        <f t="shared" ca="1" si="3"/>
        <v>193165848.26945895</v>
      </c>
      <c r="G93" s="1150"/>
      <c r="H93" s="1159">
        <f t="shared" si="24"/>
        <v>0</v>
      </c>
      <c r="I93" s="187">
        <f ca="1">IF(OR(C93&lt;0,C93=""),"",-E93*INDEX('Replacement Costs'!$A$16:$H$57,MATCH(C93,'Replacement Costs'!$C$16:$C$57,0),MATCH("Total Yearly Replacement Costs",'Replacement Costs'!$A$16:$H$16,0)))</f>
        <v>-1615966.6131057404</v>
      </c>
      <c r="J93" s="187">
        <f ca="1">IF(AND(C93&gt;=1,C93&lt;anal_period),WorkingCap*SUM(N93:R93)-WorkingCap*SUM(N92:R92),IF(C93&lt;0,0,IF(B93="","",-SUM(J$65:J92))))</f>
        <v>-455387.9342546612</v>
      </c>
      <c r="K93" s="187" t="str">
        <f t="shared" si="4"/>
        <v/>
      </c>
      <c r="L93" s="187" t="str">
        <f t="shared" si="5"/>
        <v/>
      </c>
      <c r="M93" s="187" t="str">
        <f t="shared" si="6"/>
        <v/>
      </c>
      <c r="N93" s="187">
        <f t="shared" ca="1" si="7"/>
        <v>-19914697.771145042</v>
      </c>
      <c r="O93" s="187">
        <f t="shared" ca="1" si="8"/>
        <v>-107692883.0497551</v>
      </c>
      <c r="P93" s="187">
        <f t="shared" ca="1" si="9"/>
        <v>-16645846.227557307</v>
      </c>
      <c r="Q93" s="187">
        <f t="shared" ca="1" si="10"/>
        <v>0</v>
      </c>
      <c r="R93" s="187">
        <f t="shared" ca="1" si="11"/>
        <v>-20316260.85512564</v>
      </c>
      <c r="S93" s="187">
        <f ca="1">IF(B93="","",IF($B$31=0,"",-'Debt Financing Calculations'!E42))</f>
        <v>-4235826.8767231647</v>
      </c>
      <c r="T93" s="187">
        <f t="shared" ca="1" si="12"/>
        <v>24360333.4891527</v>
      </c>
      <c r="U93" s="187">
        <f ca="1">IF(C93="","",IF(C93&lt;-1,0,IF(C93=anal_period,-LOOKUP(C93,depr_yr,depr_cost)-Depreciation!$C$141-Depreciation!$B$166,-LOOKUP(C93,depr_yr,depr_cost))))</f>
        <v>-1368487.9490275234</v>
      </c>
      <c r="V93" s="187">
        <f t="shared" ca="1" si="13"/>
        <v>22991845.540125176</v>
      </c>
      <c r="W93" s="188">
        <f t="shared" si="14"/>
        <v>0.25739999999999996</v>
      </c>
      <c r="X93" s="187">
        <f t="shared" ca="1" si="15"/>
        <v>-5918101.0420282194</v>
      </c>
      <c r="Y93" s="187">
        <f t="shared" ca="1" si="16"/>
        <v>18442232.447124481</v>
      </c>
      <c r="Z93" s="187">
        <f>IF(C93="","",IF($B$31=0,"",-'Debt Financing Calculations'!F42))</f>
        <v>0</v>
      </c>
      <c r="AA93" s="187">
        <f t="shared" ca="1" si="17"/>
        <v>16370877.89976408</v>
      </c>
      <c r="AB93" s="187">
        <f t="shared" ca="1" si="23"/>
        <v>246778020.71200332</v>
      </c>
      <c r="AC93" s="1137">
        <f t="shared" ca="1" si="18"/>
        <v>22288978.941792298</v>
      </c>
      <c r="AD93" s="134"/>
      <c r="AE93" s="1141">
        <f t="shared" ca="1" si="19"/>
        <v>50995026</v>
      </c>
      <c r="AF93" s="1137">
        <f t="shared" si="20"/>
        <v>0</v>
      </c>
    </row>
    <row r="94" spans="1:32" x14ac:dyDescent="0.2">
      <c r="A94" s="58">
        <f t="shared" si="21"/>
        <v>2041</v>
      </c>
      <c r="B94" s="185">
        <f>IF(MAX($B$65:B93)&lt;(construct+anal_period),B93+1,"")</f>
        <v>30</v>
      </c>
      <c r="C94" s="185">
        <f t="shared" si="22"/>
        <v>27</v>
      </c>
      <c r="D94" s="185">
        <f t="shared" si="1"/>
        <v>27</v>
      </c>
      <c r="E94" s="186">
        <f t="shared" si="2"/>
        <v>1.631281023678969</v>
      </c>
      <c r="F94" s="59">
        <f t="shared" ca="1" si="3"/>
        <v>196835999.38657868</v>
      </c>
      <c r="G94" s="1150"/>
      <c r="H94" s="1159">
        <f t="shared" si="24"/>
        <v>0</v>
      </c>
      <c r="I94" s="187">
        <f ca="1">IF(OR(C94&lt;0,C94=""),"",-E94*INDEX('Replacement Costs'!$A$16:$H$57,MATCH(C94,'Replacement Costs'!$C$16:$C$57,0),MATCH("Total Yearly Replacement Costs",'Replacement Costs'!$A$16:$H$16,0)))</f>
        <v>-1646669.9787547495</v>
      </c>
      <c r="J94" s="187">
        <f ca="1">IF(AND(C94&gt;=1,C94&lt;anal_period),WorkingCap*SUM(N94:R94)-WorkingCap*SUM(N93:R93),IF(C94&lt;0,0,IF(B94="","",-SUM(J$65:J93))))</f>
        <v>-466840.33919933438</v>
      </c>
      <c r="K94" s="187" t="str">
        <f t="shared" si="4"/>
        <v/>
      </c>
      <c r="L94" s="187" t="str">
        <f t="shared" si="5"/>
        <v/>
      </c>
      <c r="M94" s="187" t="str">
        <f t="shared" si="6"/>
        <v/>
      </c>
      <c r="N94" s="187">
        <f t="shared" ca="1" si="7"/>
        <v>-20293077.028796799</v>
      </c>
      <c r="O94" s="187">
        <f t="shared" ca="1" si="8"/>
        <v>-109739047.82770045</v>
      </c>
      <c r="P94" s="187">
        <f t="shared" ca="1" si="9"/>
        <v>-16962117.305880897</v>
      </c>
      <c r="Q94" s="187">
        <f t="shared" ca="1" si="10"/>
        <v>0</v>
      </c>
      <c r="R94" s="187">
        <f t="shared" ca="1" si="11"/>
        <v>-20687714.669200476</v>
      </c>
      <c r="S94" s="187">
        <f ca="1">IF(B94="","",IF($B$31=0,"",-'Debt Financing Calculations'!E43))</f>
        <v>-4235826.8767231647</v>
      </c>
      <c r="T94" s="187">
        <f t="shared" ca="1" si="12"/>
        <v>24918215.678276867</v>
      </c>
      <c r="U94" s="187">
        <f ca="1">IF(C94="","",IF(C94&lt;-1,0,IF(C94=anal_period,-LOOKUP(C94,depr_yr,depr_cost)-Depreciation!$C$141-Depreciation!$B$166,-LOOKUP(C94,depr_yr,depr_cost))))</f>
        <v>-1394489.2200590461</v>
      </c>
      <c r="V94" s="187">
        <f t="shared" ca="1" si="13"/>
        <v>23523726.458217822</v>
      </c>
      <c r="W94" s="188">
        <f t="shared" si="14"/>
        <v>0.25739999999999996</v>
      </c>
      <c r="X94" s="187">
        <f t="shared" ca="1" si="15"/>
        <v>-6055007.1903452668</v>
      </c>
      <c r="Y94" s="187">
        <f t="shared" ca="1" si="16"/>
        <v>18863208.487931602</v>
      </c>
      <c r="Z94" s="187">
        <f>IF(C94="","",IF($B$31=0,"",-'Debt Financing Calculations'!F43))</f>
        <v>0</v>
      </c>
      <c r="AA94" s="187">
        <f t="shared" ca="1" si="17"/>
        <v>16749698.169977514</v>
      </c>
      <c r="AB94" s="187">
        <f t="shared" ca="1" si="23"/>
        <v>263527718.88198084</v>
      </c>
      <c r="AC94" s="1137">
        <f t="shared" ca="1" si="18"/>
        <v>22804705.360322781</v>
      </c>
      <c r="AD94" s="134"/>
      <c r="AE94" s="1141">
        <f t="shared" ca="1" si="19"/>
        <v>50995026</v>
      </c>
      <c r="AF94" s="1137">
        <f t="shared" si="20"/>
        <v>0</v>
      </c>
    </row>
    <row r="95" spans="1:32" x14ac:dyDescent="0.2">
      <c r="A95" s="58">
        <f t="shared" si="21"/>
        <v>2042</v>
      </c>
      <c r="B95" s="185">
        <f>IF(MAX($B$65:B94)&lt;(construct+anal_period),B94+1,"")</f>
        <v>31</v>
      </c>
      <c r="C95" s="185">
        <f t="shared" si="22"/>
        <v>28</v>
      </c>
      <c r="D95" s="185">
        <f t="shared" si="1"/>
        <v>28</v>
      </c>
      <c r="E95" s="186">
        <f t="shared" si="2"/>
        <v>1.6622753631288694</v>
      </c>
      <c r="F95" s="59">
        <f t="shared" ca="1" si="3"/>
        <v>200575883.37492368</v>
      </c>
      <c r="G95" s="1150"/>
      <c r="H95" s="1159">
        <f t="shared" si="24"/>
        <v>0</v>
      </c>
      <c r="I95" s="187">
        <f ca="1">IF(OR(C95&lt;0,C95=""),"",-E95*INDEX('Replacement Costs'!$A$16:$H$57,MATCH(C95,'Replacement Costs'!$C$16:$C$57,0),MATCH("Total Yearly Replacement Costs",'Replacement Costs'!$A$16:$H$16,0)))</f>
        <v>-1677956.7083510896</v>
      </c>
      <c r="J95" s="187">
        <f ca="1">IF(AND(C95&gt;=1,C95&lt;anal_period),WorkingCap*SUM(N95:R95)-WorkingCap*SUM(N94:R94),IF(C95&lt;0,0,IF(B95="","",-SUM(J$65:J94))))</f>
        <v>-483157.55095646903</v>
      </c>
      <c r="K95" s="187" t="str">
        <f t="shared" si="4"/>
        <v/>
      </c>
      <c r="L95" s="187" t="str">
        <f t="shared" si="5"/>
        <v/>
      </c>
      <c r="M95" s="187" t="str">
        <f t="shared" si="6"/>
        <v/>
      </c>
      <c r="N95" s="187">
        <f t="shared" ca="1" si="7"/>
        <v>-20678645.49234394</v>
      </c>
      <c r="O95" s="187">
        <f t="shared" ca="1" si="8"/>
        <v>-111824089.73642676</v>
      </c>
      <c r="P95" s="187">
        <f t="shared" ca="1" si="9"/>
        <v>-17284397.534692634</v>
      </c>
      <c r="Q95" s="187">
        <f t="shared" ca="1" si="10"/>
        <v>0</v>
      </c>
      <c r="R95" s="187">
        <f t="shared" ca="1" si="11"/>
        <v>-21115874.407825086</v>
      </c>
      <c r="S95" s="187">
        <f ca="1">IF(B95="","",IF($B$31=0,"",-'Debt Financing Calculations'!E44))</f>
        <v>-4235826.8767231647</v>
      </c>
      <c r="T95" s="187">
        <f t="shared" ca="1" si="12"/>
        <v>25437049.326912075</v>
      </c>
      <c r="U95" s="187">
        <f ca="1">IF(C95="","",IF(C95&lt;-1,0,IF(C95=anal_period,-LOOKUP(C95,depr_yr,depr_cost)-Depreciation!$C$141-Depreciation!$B$166,-LOOKUP(C95,depr_yr,depr_cost))))</f>
        <v>-1420984.5152401682</v>
      </c>
      <c r="V95" s="187">
        <f t="shared" ca="1" si="13"/>
        <v>24016064.811671905</v>
      </c>
      <c r="W95" s="188">
        <f t="shared" si="14"/>
        <v>0.25739999999999996</v>
      </c>
      <c r="X95" s="187">
        <f t="shared" ca="1" si="15"/>
        <v>-6181735.0825243471</v>
      </c>
      <c r="Y95" s="187">
        <f t="shared" ca="1" si="16"/>
        <v>19255314.244387727</v>
      </c>
      <c r="Z95" s="187">
        <f>IF(C95="","",IF($B$31=0,"",-'Debt Financing Calculations'!F44))</f>
        <v>0</v>
      </c>
      <c r="AA95" s="187">
        <f t="shared" ca="1" si="17"/>
        <v>17094199.985080168</v>
      </c>
      <c r="AB95" s="187">
        <f t="shared" ca="1" si="23"/>
        <v>280621918.86706102</v>
      </c>
      <c r="AC95" s="1137">
        <f t="shared" ca="1" si="18"/>
        <v>23275935.067604516</v>
      </c>
      <c r="AD95" s="134"/>
      <c r="AE95" s="1141">
        <f t="shared" ca="1" si="19"/>
        <v>50995026</v>
      </c>
      <c r="AF95" s="1137">
        <f t="shared" si="20"/>
        <v>0</v>
      </c>
    </row>
    <row r="96" spans="1:32" x14ac:dyDescent="0.2">
      <c r="A96" s="58">
        <f t="shared" si="21"/>
        <v>2043</v>
      </c>
      <c r="B96" s="185">
        <f>IF(MAX($B$65:B95)&lt;(construct+anal_period),B95+1,"")</f>
        <v>32</v>
      </c>
      <c r="C96" s="185">
        <f t="shared" si="22"/>
        <v>29</v>
      </c>
      <c r="D96" s="185">
        <f t="shared" si="1"/>
        <v>29</v>
      </c>
      <c r="E96" s="186">
        <f t="shared" si="2"/>
        <v>1.6938585950283176</v>
      </c>
      <c r="F96" s="59">
        <f t="shared" ca="1" si="3"/>
        <v>204386825.15904719</v>
      </c>
      <c r="G96" s="1150"/>
      <c r="H96" s="1159">
        <f t="shared" si="24"/>
        <v>0</v>
      </c>
      <c r="I96" s="187">
        <f ca="1">IF(OR(C96&lt;0,C96=""),"",-E96*INDEX('Replacement Costs'!$A$16:$H$57,MATCH(C96,'Replacement Costs'!$C$16:$C$57,0),MATCH("Total Yearly Replacement Costs",'Replacement Costs'!$A$16:$H$16,0)))</f>
        <v>-1709837.8858097601</v>
      </c>
      <c r="J96" s="187">
        <f ca="1">IF(AND(C96&gt;=1,C96&lt;anal_period),WorkingCap*SUM(N96:R96)-WorkingCap*SUM(N95:R95),IF(C96&lt;0,0,IF(B96="","",-SUM(J$65:J95))))</f>
        <v>-496026.30485906824</v>
      </c>
      <c r="K96" s="187" t="str">
        <f t="shared" si="4"/>
        <v/>
      </c>
      <c r="L96" s="187" t="str">
        <f t="shared" si="5"/>
        <v/>
      </c>
      <c r="M96" s="187" t="str">
        <f t="shared" si="6"/>
        <v/>
      </c>
      <c r="N96" s="187">
        <f t="shared" ca="1" si="7"/>
        <v>-21071539.756698471</v>
      </c>
      <c r="O96" s="187">
        <f t="shared" ca="1" si="8"/>
        <v>-113948747.44141884</v>
      </c>
      <c r="P96" s="187">
        <f t="shared" ca="1" si="9"/>
        <v>-17612801.087851789</v>
      </c>
      <c r="Q96" s="187">
        <f t="shared" ca="1" si="10"/>
        <v>0</v>
      </c>
      <c r="R96" s="187">
        <f t="shared" ca="1" si="11"/>
        <v>-21576760.917713109</v>
      </c>
      <c r="S96" s="187">
        <f ca="1">IF(B96="","",IF($B$31=0,"",-'Debt Financing Calculations'!E45))</f>
        <v>-4235826.8767231647</v>
      </c>
      <c r="T96" s="187">
        <f t="shared" ca="1" si="12"/>
        <v>25941149.078641802</v>
      </c>
      <c r="U96" s="187">
        <f ca="1">IF(C96="","",IF(C96&lt;-1,0,IF(C96=anal_period,-LOOKUP(C96,depr_yr,depr_cost)-Depreciation!$C$141-Depreciation!$B$166,-LOOKUP(C96,depr_yr,depr_cost))))</f>
        <v>-1447983.221029731</v>
      </c>
      <c r="V96" s="187">
        <f t="shared" ca="1" si="13"/>
        <v>24493165.85761207</v>
      </c>
      <c r="W96" s="188">
        <f t="shared" si="14"/>
        <v>0.25739999999999996</v>
      </c>
      <c r="X96" s="187">
        <f t="shared" ca="1" si="15"/>
        <v>-6304540.8917493457</v>
      </c>
      <c r="Y96" s="187">
        <f t="shared" ca="1" si="16"/>
        <v>19636608.186892457</v>
      </c>
      <c r="Z96" s="187">
        <f>IF(C96="","",IF($B$31=0,"",-'Debt Financing Calculations'!F45))</f>
        <v>0</v>
      </c>
      <c r="AA96" s="187">
        <f t="shared" ca="1" si="17"/>
        <v>17430743.996223629</v>
      </c>
      <c r="AB96" s="187">
        <f t="shared" ca="1" si="23"/>
        <v>298052662.86328465</v>
      </c>
      <c r="AC96" s="1137">
        <f t="shared" ca="1" si="18"/>
        <v>23735284.887972973</v>
      </c>
      <c r="AD96" s="134"/>
      <c r="AE96" s="1141">
        <f t="shared" ca="1" si="19"/>
        <v>50995026</v>
      </c>
      <c r="AF96" s="1137">
        <f t="shared" si="20"/>
        <v>0</v>
      </c>
    </row>
    <row r="97" spans="1:32" x14ac:dyDescent="0.2">
      <c r="A97" s="58">
        <f t="shared" si="21"/>
        <v>2044</v>
      </c>
      <c r="B97" s="185">
        <f>IF(MAX($B$65:B96)&lt;(construct+anal_period),B96+1,"")</f>
        <v>33</v>
      </c>
      <c r="C97" s="185">
        <f t="shared" si="22"/>
        <v>30</v>
      </c>
      <c r="D97" s="185">
        <f t="shared" ref="D97:D113" si="25">IF(C97="","",IF(C97&lt;=plant_life,C97,IF(D96=plant_life,1,D96+1)))</f>
        <v>30</v>
      </c>
      <c r="E97" s="186">
        <f t="shared" ref="E97:E113" si="26">IF(C97="","",(1+inflation_rate)^(A97-$B$25))</f>
        <v>1.7260419083338554</v>
      </c>
      <c r="F97" s="59">
        <f t="shared" ref="F97:F113" ca="1" si="27">IF(C97="","",IF(C97&lt;0,0,IF(AND(C97=1,start_time&lt;1),E97*(H2_price_nominal*output_kgyear*start_time*percnt_revs+H2_price_nominal*output_kgyear*(1-start_time)),IF(C97&lt;=start_time,H2_price_nominal*E97*output_kgyear*percnt_revs,H2_price_nominal*output_kgyear*E97))))</f>
        <v>208270174.83706906</v>
      </c>
      <c r="G97" s="1150"/>
      <c r="H97" s="1159">
        <f t="shared" si="24"/>
        <v>0</v>
      </c>
      <c r="I97" s="187">
        <f ca="1">IF(OR(C97&lt;0,C97=""),"",-E97*INDEX('Replacement Costs'!$A$16:$H$57,MATCH(C97,'Replacement Costs'!$C$16:$C$57,0),MATCH("Total Yearly Replacement Costs",'Replacement Costs'!$A$16:$H$16,0)))</f>
        <v>-1742324.8056401452</v>
      </c>
      <c r="J97" s="187">
        <f ca="1">IF(AND(C97&gt;=1,C97&lt;anal_period),WorkingCap*SUM(N97:R97)-WorkingCap*SUM(N96:R96),IF(C97&lt;0,0,IF(B97="","",-SUM(J$65:J96))))</f>
        <v>-505647.78130710497</v>
      </c>
      <c r="K97" s="187" t="str">
        <f t="shared" ref="K97:K113" si="28">IF(C97=-construct,-E97*non_dep_infl,"")</f>
        <v/>
      </c>
      <c r="L97" s="187" t="str">
        <f t="shared" ref="L97:L113" si="29">IF(C97=anal_period,salvage*E97,"")</f>
        <v/>
      </c>
      <c r="M97" s="187" t="str">
        <f t="shared" ref="M97:M113" si="30">IF(D97=plant_life,-E97*decom,"")</f>
        <v/>
      </c>
      <c r="N97" s="187">
        <f t="shared" ref="N97:N113" ca="1" si="31">IF(C97="","",IF(C97&lt;0,0,IF(AND(C97=1,start_time&lt;1),-(inflated_fixed*percnt_fixed*start_time+(inflated_fixed*(1-start_time))),IF(C97&lt;=start_time,-inflated_fixed*percnt_fixed*E97,-inflated_fixed*E97))))</f>
        <v>-21471899.012075737</v>
      </c>
      <c r="O97" s="187">
        <f t="shared" ref="O97:O109" ca="1" si="32">IF(C97="","",IF(C97&lt;0,0,IF(AND(C97=1,start_time&lt;1),-(SUM(B171:E171)*output_kgyear*E97*percnt_var*start_time+SUM(B171:E171)*output_kgyear*E97*(1-start_time)),IF(C97&lt;=start_time,-SUM(B171:E171)*output_kgyear*E97*percnt_var,-SUM(B171:E171)*output_kgyear*E97))))</f>
        <v>-116113773.64280578</v>
      </c>
      <c r="P97" s="187">
        <f t="shared" ref="P97:P113" ca="1" si="33">IF(C97="","",IF(C97&lt;0,0,IF(AND(C97=1,start_time&lt;1),-(inflated_otherraw*E97*percnt_var*start_time+inflated_otherraw*E97*(1-start_time)),IF(C97&lt;=start_time,-inflated_otherraw*E97*percnt_var,-(inflated_otherraw*E97)))))</f>
        <v>-17947444.308520973</v>
      </c>
      <c r="Q97" s="187">
        <f t="shared" ca="1" si="10"/>
        <v>0</v>
      </c>
      <c r="R97" s="187">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-22047717.448993739</v>
      </c>
      <c r="S97" s="187">
        <f ca="1">IF(B97="","",IF($B$31=0,"",-'Debt Financing Calculations'!E46))</f>
        <v>-4235826.8767231647</v>
      </c>
      <c r="T97" s="187">
        <f t="shared" ref="T97:T113" ca="1" si="35">IF(C97="","",F97+SUM(L97:S97))</f>
        <v>26453513.547949642</v>
      </c>
      <c r="U97" s="187">
        <f ca="1">IF(C97="","",IF(C97&lt;-1,0,IF(C97=anal_period,-LOOKUP(C97,depr_yr,depr_cost)-Depreciation!$C$141-Depreciation!$B$166,-LOOKUP(C97,depr_yr,depr_cost))))</f>
        <v>-1475494.9022292958</v>
      </c>
      <c r="V97" s="187">
        <f t="shared" ref="V97:V113" ca="1" si="36">IF(C97="","",SUM(T97:U97))</f>
        <v>24978018.645720348</v>
      </c>
      <c r="W97" s="188">
        <f t="shared" ref="W97:W113" si="37">IF(C97="","",$B$33)</f>
        <v>0.25739999999999996</v>
      </c>
      <c r="X97" s="187">
        <f t="shared" ref="X97:X113" ca="1" si="38">IF(C97="","",tax_credit-(V97*W97 +Upstream_CO2_taxpYear + Proc_CO2_taxpYear))</f>
        <v>-6429341.9994084165</v>
      </c>
      <c r="Y97" s="187">
        <f t="shared" ref="Y97:Y113" ca="1" si="39">IF(C97="","",SUM(T97,X97))</f>
        <v>20024171.548541225</v>
      </c>
      <c r="Z97" s="187">
        <f>IF(C97="","",IF($B$31=0,"",-'Debt Financing Calculations'!F46))</f>
        <v>0</v>
      </c>
      <c r="AA97" s="187">
        <f t="shared" ref="AA97:AA113" ca="1" si="40">IF(C97="","",SUM(H97,I97,J97,K97,T97,X97,Z97))</f>
        <v>17776198.961593974</v>
      </c>
      <c r="AB97" s="187">
        <f t="shared" ca="1" si="23"/>
        <v>315828861.82487863</v>
      </c>
      <c r="AC97" s="1137">
        <f t="shared" ref="AC97:AC113" ca="1" si="41">IF(C97="","",SUM(H97,I97,J97,K97,T97,Z97))</f>
        <v>24205540.961002391</v>
      </c>
      <c r="AD97" s="134"/>
      <c r="AE97" s="1141">
        <f t="shared" ref="AE97:AE113" ca="1" si="42">IF(C97="","",IF(C97&lt;0,0,IF(AND(C97=1,start_time&lt;1),(output_kgyear*start_time*percnt_revs+output_kgyear*(1-start_time)),IF(C97&lt;=start_time,output_kgyear*percnt_revs,output_kgyear))))</f>
        <v>50995026</v>
      </c>
      <c r="AF97" s="1137">
        <f t="shared" ref="AF97:AF113" si="43">IF(C97="","",tax_credit)</f>
        <v>0</v>
      </c>
    </row>
    <row r="98" spans="1:32" x14ac:dyDescent="0.2">
      <c r="A98" s="58">
        <f t="shared" si="21"/>
        <v>2045</v>
      </c>
      <c r="B98" s="185">
        <f>IF(MAX($B$65:B97)&lt;(construct+anal_period),B97+1,"")</f>
        <v>34</v>
      </c>
      <c r="C98" s="185">
        <f t="shared" si="22"/>
        <v>31</v>
      </c>
      <c r="D98" s="185">
        <f t="shared" si="25"/>
        <v>31</v>
      </c>
      <c r="E98" s="186">
        <f t="shared" si="26"/>
        <v>1.7588367045921991</v>
      </c>
      <c r="F98" s="59">
        <f t="shared" ca="1" si="27"/>
        <v>212227308.15897343</v>
      </c>
      <c r="G98" s="1150"/>
      <c r="H98" s="1159">
        <f t="shared" si="24"/>
        <v>0</v>
      </c>
      <c r="I98" s="187">
        <f ca="1">IF(OR(C98&lt;0,C98=""),"",-E98*INDEX('Replacement Costs'!$A$16:$H$57,MATCH(C98,'Replacement Costs'!$C$16:$C$57,0),MATCH("Total Yearly Replacement Costs",'Replacement Costs'!$A$16:$H$16,0)))</f>
        <v>-1775428.9769473085</v>
      </c>
      <c r="J98" s="187">
        <f ca="1">IF(AND(C98&gt;=1,C98&lt;anal_period),WorkingCap*SUM(N98:R98)-WorkingCap*SUM(N97:R97),IF(C98&lt;0,0,IF(B98="","",-SUM(J$65:J97))))</f>
        <v>-516137.20347670838</v>
      </c>
      <c r="K98" s="187" t="str">
        <f t="shared" si="28"/>
        <v/>
      </c>
      <c r="L98" s="187" t="str">
        <f t="shared" si="29"/>
        <v/>
      </c>
      <c r="M98" s="187" t="str">
        <f t="shared" si="30"/>
        <v/>
      </c>
      <c r="N98" s="187">
        <f t="shared" ca="1" si="31"/>
        <v>-21879865.093305182</v>
      </c>
      <c r="O98" s="187">
        <f t="shared" ca="1" si="32"/>
        <v>-118319935.34201913</v>
      </c>
      <c r="P98" s="187">
        <f t="shared" ca="1" si="33"/>
        <v>-18288445.750382874</v>
      </c>
      <c r="Q98" s="187">
        <f t="shared" ca="1" si="10"/>
        <v>0</v>
      </c>
      <c r="R98" s="187">
        <f t="shared" ca="1" si="34"/>
        <v>-22533502.916533787</v>
      </c>
      <c r="S98" s="187">
        <f ca="1">IF(B98="","",IF($B$31=0,"",-'Debt Financing Calculations'!E47))</f>
        <v>-4235826.8767231647</v>
      </c>
      <c r="T98" s="187">
        <f t="shared" ca="1" si="35"/>
        <v>26969732.180009276</v>
      </c>
      <c r="U98" s="187">
        <f ca="1">IF(C98="","",IF(C98&lt;-1,0,IF(C98=anal_period,-LOOKUP(C98,depr_yr,depr_cost)-Depreciation!$C$141-Depreciation!$B$166,-LOOKUP(C98,depr_yr,depr_cost))))</f>
        <v>-1503529.3053716526</v>
      </c>
      <c r="V98" s="187">
        <f t="shared" ca="1" si="36"/>
        <v>25466202.874637622</v>
      </c>
      <c r="W98" s="188">
        <f t="shared" si="37"/>
        <v>0.25739999999999996</v>
      </c>
      <c r="X98" s="187">
        <f t="shared" ca="1" si="38"/>
        <v>-6555000.619931723</v>
      </c>
      <c r="Y98" s="187">
        <f t="shared" ca="1" si="39"/>
        <v>20414731.560077552</v>
      </c>
      <c r="Z98" s="187">
        <f>IF(C98="","",IF($B$31=0,"",-'Debt Financing Calculations'!F47))</f>
        <v>0</v>
      </c>
      <c r="AA98" s="187">
        <f t="shared" ca="1" si="40"/>
        <v>18123165.379653536</v>
      </c>
      <c r="AB98" s="187">
        <f t="shared" ca="1" si="23"/>
        <v>333952027.20453215</v>
      </c>
      <c r="AC98" s="1137">
        <f t="shared" ca="1" si="41"/>
        <v>24678165.99958526</v>
      </c>
      <c r="AD98" s="134"/>
      <c r="AE98" s="1141">
        <f t="shared" ca="1" si="42"/>
        <v>50995026</v>
      </c>
      <c r="AF98" s="1137">
        <f t="shared" si="43"/>
        <v>0</v>
      </c>
    </row>
    <row r="99" spans="1:32" x14ac:dyDescent="0.2">
      <c r="A99" s="58">
        <f t="shared" si="21"/>
        <v>2046</v>
      </c>
      <c r="B99" s="185">
        <f>IF(MAX($B$65:B98)&lt;(construct+anal_period),B98+1,"")</f>
        <v>35</v>
      </c>
      <c r="C99" s="185">
        <f t="shared" si="22"/>
        <v>32</v>
      </c>
      <c r="D99" s="185">
        <f t="shared" si="25"/>
        <v>32</v>
      </c>
      <c r="E99" s="186">
        <f t="shared" si="26"/>
        <v>1.7922546019794507</v>
      </c>
      <c r="F99" s="59">
        <f t="shared" ca="1" si="27"/>
        <v>216259627.01399389</v>
      </c>
      <c r="G99" s="1150"/>
      <c r="H99" s="1159">
        <f t="shared" si="24"/>
        <v>0</v>
      </c>
      <c r="I99" s="187">
        <f ca="1">IF(OR(C99&lt;0,C99=""),"",-E99*INDEX('Replacement Costs'!$A$16:$H$57,MATCH(C99,'Replacement Costs'!$C$16:$C$57,0),MATCH("Total Yearly Replacement Costs",'Replacement Costs'!$A$16:$H$16,0)))</f>
        <v>-1809162.1275093071</v>
      </c>
      <c r="J99" s="187">
        <f ca="1">IF(AND(C99&gt;=1,C99&lt;anal_period),WorkingCap*SUM(N99:R99)-WorkingCap*SUM(N98:R98),IF(C99&lt;0,0,IF(B99="","",-SUM(J$65:J98))))</f>
        <v>-524088.65957392752</v>
      </c>
      <c r="K99" s="187" t="str">
        <f t="shared" si="28"/>
        <v/>
      </c>
      <c r="L99" s="187" t="str">
        <f t="shared" si="29"/>
        <v/>
      </c>
      <c r="M99" s="187" t="str">
        <f t="shared" si="30"/>
        <v/>
      </c>
      <c r="N99" s="187">
        <f t="shared" ca="1" si="31"/>
        <v>-22295582.530077979</v>
      </c>
      <c r="O99" s="187">
        <f t="shared" ca="1" si="32"/>
        <v>-120568014.11351748</v>
      </c>
      <c r="P99" s="187">
        <f t="shared" ca="1" si="33"/>
        <v>-18635926.219640147</v>
      </c>
      <c r="Q99" s="187">
        <f t="shared" ca="1" si="10"/>
        <v>0</v>
      </c>
      <c r="R99" s="187">
        <f t="shared" ca="1" si="34"/>
        <v>-23016150.6361649</v>
      </c>
      <c r="S99" s="187">
        <f ca="1">IF(B99="","",IF($B$31=0,"",-'Debt Financing Calculations'!E48))</f>
        <v>-4235826.8767231647</v>
      </c>
      <c r="T99" s="187">
        <f t="shared" ca="1" si="35"/>
        <v>27508126.637870222</v>
      </c>
      <c r="U99" s="187">
        <f ca="1">IF(C99="","",IF(C99&lt;-1,0,IF(C99=anal_period,-LOOKUP(C99,depr_yr,depr_cost)-Depreciation!$C$141-Depreciation!$B$166,-LOOKUP(C99,depr_yr,depr_cost))))</f>
        <v>-1532096.362173714</v>
      </c>
      <c r="V99" s="187">
        <f t="shared" ca="1" si="36"/>
        <v>25976030.275696509</v>
      </c>
      <c r="W99" s="188">
        <f t="shared" si="37"/>
        <v>0.25739999999999996</v>
      </c>
      <c r="X99" s="187">
        <f t="shared" ca="1" si="38"/>
        <v>-6686230.19296428</v>
      </c>
      <c r="Y99" s="187">
        <f t="shared" ca="1" si="39"/>
        <v>20821896.444905944</v>
      </c>
      <c r="Z99" s="187">
        <f>IF(C99="","",IF($B$31=0,"",-'Debt Financing Calculations'!F48))</f>
        <v>0</v>
      </c>
      <c r="AA99" s="187">
        <f t="shared" ca="1" si="40"/>
        <v>18488645.657822706</v>
      </c>
      <c r="AB99" s="187">
        <f t="shared" ca="1" si="23"/>
        <v>352440672.86235487</v>
      </c>
      <c r="AC99" s="1137">
        <f t="shared" ca="1" si="41"/>
        <v>25174875.850786988</v>
      </c>
      <c r="AD99" s="134"/>
      <c r="AE99" s="1141">
        <f t="shared" ca="1" si="42"/>
        <v>50995026</v>
      </c>
      <c r="AF99" s="1137">
        <f t="shared" si="43"/>
        <v>0</v>
      </c>
    </row>
    <row r="100" spans="1:32" x14ac:dyDescent="0.2">
      <c r="A100" s="58">
        <f t="shared" si="21"/>
        <v>2047</v>
      </c>
      <c r="B100" s="185">
        <f>IF(MAX($B$65:B99)&lt;(construct+anal_period),B99+1,"")</f>
        <v>36</v>
      </c>
      <c r="C100" s="185">
        <f t="shared" si="22"/>
        <v>33</v>
      </c>
      <c r="D100" s="185">
        <f t="shared" si="25"/>
        <v>33</v>
      </c>
      <c r="E100" s="186">
        <f t="shared" si="26"/>
        <v>1.8263074394170602</v>
      </c>
      <c r="F100" s="59">
        <f t="shared" ca="1" si="27"/>
        <v>220368559.92725977</v>
      </c>
      <c r="G100" s="1150"/>
      <c r="H100" s="1159">
        <f t="shared" si="24"/>
        <v>0</v>
      </c>
      <c r="I100" s="187">
        <f ca="1">IF(OR(C100&lt;0,C100=""),"",-E100*INDEX('Replacement Costs'!$A$16:$H$57,MATCH(C100,'Replacement Costs'!$C$16:$C$57,0),MATCH("Total Yearly Replacement Costs",'Replacement Costs'!$A$16:$H$16,0)))</f>
        <v>-1843536.207931984</v>
      </c>
      <c r="J100" s="187">
        <f ca="1">IF(AND(C100&gt;=1,C100&lt;anal_period),WorkingCap*SUM(N100:R100)-WorkingCap*SUM(N99:R99),IF(C100&lt;0,0,IF(B100="","",-SUM(J$65:J99))))</f>
        <v>-533530.26905144006</v>
      </c>
      <c r="K100" s="187" t="str">
        <f t="shared" si="28"/>
        <v/>
      </c>
      <c r="L100" s="187" t="str">
        <f t="shared" si="29"/>
        <v/>
      </c>
      <c r="M100" s="187" t="str">
        <f t="shared" si="30"/>
        <v/>
      </c>
      <c r="N100" s="187">
        <f t="shared" ca="1" si="31"/>
        <v>-22719198.59814946</v>
      </c>
      <c r="O100" s="187">
        <f t="shared" ca="1" si="32"/>
        <v>-122858806.3816743</v>
      </c>
      <c r="P100" s="187">
        <f t="shared" ca="1" si="33"/>
        <v>-18990008.817813307</v>
      </c>
      <c r="Q100" s="187">
        <f t="shared" ca="1" si="10"/>
        <v>0</v>
      </c>
      <c r="R100" s="187">
        <f t="shared" ca="1" si="34"/>
        <v>-23504528.162106369</v>
      </c>
      <c r="S100" s="187">
        <f ca="1">IF(B100="","",IF($B$31=0,"",-'Debt Financing Calculations'!E49))</f>
        <v>-4235826.8767231647</v>
      </c>
      <c r="T100" s="187">
        <f t="shared" ca="1" si="35"/>
        <v>28060191.090793163</v>
      </c>
      <c r="U100" s="187">
        <f ca="1">IF(C100="","",IF(C100&lt;-1,0,IF(C100=anal_period,-LOOKUP(C100,depr_yr,depr_cost)-Depreciation!$C$141-Depreciation!$B$166,-LOOKUP(C100,depr_yr,depr_cost))))</f>
        <v>-1561206.1930550144</v>
      </c>
      <c r="V100" s="187">
        <f t="shared" ca="1" si="36"/>
        <v>26498984.897738148</v>
      </c>
      <c r="W100" s="188">
        <f t="shared" si="37"/>
        <v>0.25739999999999996</v>
      </c>
      <c r="X100" s="187">
        <f t="shared" ca="1" si="38"/>
        <v>-6820838.7126777982</v>
      </c>
      <c r="Y100" s="187">
        <f t="shared" ca="1" si="39"/>
        <v>21239352.378115363</v>
      </c>
      <c r="Z100" s="187">
        <f>IF(C100="","",IF($B$31=0,"",-'Debt Financing Calculations'!F49))</f>
        <v>0</v>
      </c>
      <c r="AA100" s="187">
        <f t="shared" ca="1" si="40"/>
        <v>18862285.901131939</v>
      </c>
      <c r="AB100" s="187">
        <f t="shared" ca="1" si="23"/>
        <v>371302958.7634868</v>
      </c>
      <c r="AC100" s="1137">
        <f t="shared" ca="1" si="41"/>
        <v>25683124.613809738</v>
      </c>
      <c r="AD100" s="134"/>
      <c r="AE100" s="1141">
        <f t="shared" ca="1" si="42"/>
        <v>50995026</v>
      </c>
      <c r="AF100" s="1137">
        <f t="shared" si="43"/>
        <v>0</v>
      </c>
    </row>
    <row r="101" spans="1:32" x14ac:dyDescent="0.2">
      <c r="A101" s="58">
        <f t="shared" si="21"/>
        <v>2048</v>
      </c>
      <c r="B101" s="185">
        <f>IF(MAX($B$65:B100)&lt;(construct+anal_period),B100+1,"")</f>
        <v>37</v>
      </c>
      <c r="C101" s="185">
        <f t="shared" si="22"/>
        <v>34</v>
      </c>
      <c r="D101" s="185">
        <f t="shared" si="25"/>
        <v>34</v>
      </c>
      <c r="E101" s="186">
        <f t="shared" si="26"/>
        <v>1.8610072807659841</v>
      </c>
      <c r="F101" s="59">
        <f t="shared" ca="1" si="27"/>
        <v>224555562.56587768</v>
      </c>
      <c r="G101" s="1150"/>
      <c r="H101" s="1159">
        <f t="shared" si="24"/>
        <v>0</v>
      </c>
      <c r="I101" s="187">
        <f ca="1">IF(OR(C101&lt;0,C101=""),"",-E101*INDEX('Replacement Costs'!$A$16:$H$57,MATCH(C101,'Replacement Costs'!$C$16:$C$57,0),MATCH("Total Yearly Replacement Costs",'Replacement Costs'!$A$16:$H$16,0)))</f>
        <v>-1878563.3958826913</v>
      </c>
      <c r="J101" s="187">
        <f ca="1">IF(AND(C101&gt;=1,C101&lt;anal_period),WorkingCap*SUM(N101:R101)-WorkingCap*SUM(N100:R100),IF(C101&lt;0,0,IF(B101="","",-SUM(J$65:J100))))</f>
        <v>-547272.53670296073</v>
      </c>
      <c r="K101" s="187" t="str">
        <f t="shared" si="28"/>
        <v/>
      </c>
      <c r="L101" s="187" t="str">
        <f t="shared" si="29"/>
        <v/>
      </c>
      <c r="M101" s="187" t="str">
        <f t="shared" si="30"/>
        <v/>
      </c>
      <c r="N101" s="187">
        <f t="shared" ca="1" si="31"/>
        <v>-23150863.371514294</v>
      </c>
      <c r="O101" s="187">
        <f t="shared" ca="1" si="32"/>
        <v>-125193123.7029261</v>
      </c>
      <c r="P101" s="187">
        <f t="shared" ca="1" si="33"/>
        <v>-19350818.98535176</v>
      </c>
      <c r="Q101" s="187">
        <f t="shared" ca="1" si="10"/>
        <v>0</v>
      </c>
      <c r="R101" s="187">
        <f t="shared" ca="1" si="34"/>
        <v>-24026219.477971014</v>
      </c>
      <c r="S101" s="187">
        <f ca="1">IF(B101="","",IF($B$31=0,"",-'Debt Financing Calculations'!E50))</f>
        <v>-4235826.8767231647</v>
      </c>
      <c r="T101" s="187">
        <f t="shared" ca="1" si="35"/>
        <v>28598710.151391327</v>
      </c>
      <c r="U101" s="187">
        <f ca="1">IF(C101="","",IF(C101&lt;-1,0,IF(C101=anal_period,-LOOKUP(C101,depr_yr,depr_cost)-Depreciation!$C$141-Depreciation!$B$166,-LOOKUP(C101,depr_yr,depr_cost))))</f>
        <v>-1590869.1107230596</v>
      </c>
      <c r="V101" s="187">
        <f t="shared" ca="1" si="36"/>
        <v>27007841.040668268</v>
      </c>
      <c r="W101" s="188">
        <f t="shared" si="37"/>
        <v>0.25739999999999996</v>
      </c>
      <c r="X101" s="187">
        <f t="shared" ca="1" si="38"/>
        <v>-6951818.2838680111</v>
      </c>
      <c r="Y101" s="187">
        <f t="shared" ca="1" si="39"/>
        <v>21646891.867523316</v>
      </c>
      <c r="Z101" s="187">
        <f>IF(C101="","",IF($B$31=0,"",-'Debt Financing Calculations'!F50))</f>
        <v>0</v>
      </c>
      <c r="AA101" s="187">
        <f t="shared" ca="1" si="40"/>
        <v>19221055.934937663</v>
      </c>
      <c r="AB101" s="187">
        <f t="shared" ca="1" si="23"/>
        <v>390524014.69842446</v>
      </c>
      <c r="AC101" s="1137">
        <f t="shared" ca="1" si="41"/>
        <v>26172874.218805674</v>
      </c>
      <c r="AD101" s="134"/>
      <c r="AE101" s="1141">
        <f t="shared" ca="1" si="42"/>
        <v>50995026</v>
      </c>
      <c r="AF101" s="1137">
        <f t="shared" si="43"/>
        <v>0</v>
      </c>
    </row>
    <row r="102" spans="1:32" x14ac:dyDescent="0.2">
      <c r="A102" s="58">
        <f t="shared" si="21"/>
        <v>2049</v>
      </c>
      <c r="B102" s="185">
        <f>IF(MAX($B$65:B101)&lt;(construct+anal_period),B101+1,"")</f>
        <v>38</v>
      </c>
      <c r="C102" s="185">
        <f t="shared" si="22"/>
        <v>35</v>
      </c>
      <c r="D102" s="185">
        <f t="shared" si="25"/>
        <v>35</v>
      </c>
      <c r="E102" s="186">
        <f t="shared" si="26"/>
        <v>1.8963664191005378</v>
      </c>
      <c r="F102" s="59">
        <f t="shared" ca="1" si="27"/>
        <v>228822118.25462934</v>
      </c>
      <c r="G102" s="1150"/>
      <c r="H102" s="1159">
        <f t="shared" si="24"/>
        <v>0</v>
      </c>
      <c r="I102" s="187">
        <f ca="1">IF(OR(C102&lt;0,C102=""),"",-E102*INDEX('Replacement Costs'!$A$16:$H$57,MATCH(C102,'Replacement Costs'!$C$16:$C$57,0),MATCH("Total Yearly Replacement Costs",'Replacement Costs'!$A$16:$H$16,0)))</f>
        <v>-1914256.1004044625</v>
      </c>
      <c r="J102" s="187">
        <f ca="1">IF(AND(C102&gt;=1,C102&lt;anal_period),WorkingCap*SUM(N102:R102)-WorkingCap*SUM(N101:R101),IF(C102&lt;0,0,IF(B102="","",-SUM(J$65:J101))))</f>
        <v>-552365.24590228871</v>
      </c>
      <c r="K102" s="187" t="str">
        <f t="shared" si="28"/>
        <v/>
      </c>
      <c r="L102" s="187" t="str">
        <f t="shared" si="29"/>
        <v/>
      </c>
      <c r="M102" s="187" t="str">
        <f t="shared" si="30"/>
        <v/>
      </c>
      <c r="N102" s="187">
        <f t="shared" ca="1" si="31"/>
        <v>-23590729.775573067</v>
      </c>
      <c r="O102" s="187">
        <f t="shared" ca="1" si="32"/>
        <v>-127571793.05328169</v>
      </c>
      <c r="P102" s="187">
        <f t="shared" ca="1" si="33"/>
        <v>-19718484.546073444</v>
      </c>
      <c r="Q102" s="187">
        <f t="shared" ca="1" si="10"/>
        <v>0</v>
      </c>
      <c r="R102" s="187">
        <f t="shared" ca="1" si="34"/>
        <v>-24522453.135516893</v>
      </c>
      <c r="S102" s="187">
        <f ca="1">IF(B102="","",IF($B$31=0,"",-'Debt Financing Calculations'!E51))</f>
        <v>-4235826.8767231647</v>
      </c>
      <c r="T102" s="187">
        <f t="shared" ca="1" si="35"/>
        <v>29182830.867461085</v>
      </c>
      <c r="U102" s="187">
        <f ca="1">IF(C102="","",IF(C102&lt;-1,0,IF(C102=anal_period,-LOOKUP(C102,depr_yr,depr_cost)-Depreciation!$C$141-Depreciation!$B$166,-LOOKUP(C102,depr_yr,depr_cost))))</f>
        <v>-1621095.6238267976</v>
      </c>
      <c r="V102" s="187">
        <f t="shared" ca="1" si="36"/>
        <v>27561735.243634287</v>
      </c>
      <c r="W102" s="188">
        <f t="shared" si="37"/>
        <v>0.25739999999999996</v>
      </c>
      <c r="X102" s="187">
        <f t="shared" ca="1" si="38"/>
        <v>-7094390.6517114649</v>
      </c>
      <c r="Y102" s="187">
        <f t="shared" ca="1" si="39"/>
        <v>22088440.215749621</v>
      </c>
      <c r="Z102" s="187">
        <f>IF(C102="","",IF($B$31=0,"",-'Debt Financing Calculations'!F51))</f>
        <v>0</v>
      </c>
      <c r="AA102" s="187">
        <f t="shared" ca="1" si="40"/>
        <v>19621818.869442869</v>
      </c>
      <c r="AB102" s="187">
        <f t="shared" ca="1" si="23"/>
        <v>410145833.56786734</v>
      </c>
      <c r="AC102" s="1137">
        <f t="shared" ca="1" si="41"/>
        <v>26716209.521154333</v>
      </c>
      <c r="AD102" s="134"/>
      <c r="AE102" s="1141">
        <f t="shared" ca="1" si="42"/>
        <v>50995026</v>
      </c>
      <c r="AF102" s="1137">
        <f t="shared" si="43"/>
        <v>0</v>
      </c>
    </row>
    <row r="103" spans="1:32" x14ac:dyDescent="0.2">
      <c r="A103" s="58">
        <f t="shared" si="21"/>
        <v>2050</v>
      </c>
      <c r="B103" s="185">
        <f>IF(MAX($B$65:B102)&lt;(construct+anal_period),B102+1,"")</f>
        <v>39</v>
      </c>
      <c r="C103" s="185">
        <f t="shared" si="22"/>
        <v>36</v>
      </c>
      <c r="D103" s="185">
        <f t="shared" si="25"/>
        <v>36</v>
      </c>
      <c r="E103" s="186">
        <f t="shared" si="26"/>
        <v>1.932397381063448</v>
      </c>
      <c r="F103" s="59">
        <f t="shared" ca="1" si="27"/>
        <v>233169738.50146732</v>
      </c>
      <c r="G103" s="1150"/>
      <c r="H103" s="1159">
        <f t="shared" si="24"/>
        <v>0</v>
      </c>
      <c r="I103" s="187">
        <f ca="1">IF(OR(C103&lt;0,C103=""),"",-E103*INDEX('Replacement Costs'!$A$16:$H$57,MATCH(C103,'Replacement Costs'!$C$16:$C$57,0),MATCH("Total Yearly Replacement Costs",'Replacement Costs'!$A$16:$H$16,0)))</f>
        <v>-1950626.9663121472</v>
      </c>
      <c r="J103" s="187">
        <f ca="1">IF(AND(C103&gt;=1,C103&lt;anal_period),WorkingCap*SUM(N103:R103)-WorkingCap*SUM(N102:R102),IF(C103&lt;0,0,IF(B103="","",-SUM(J$65:J102))))</f>
        <v>-569966.51240020618</v>
      </c>
      <c r="K103" s="187" t="str">
        <f t="shared" si="28"/>
        <v/>
      </c>
      <c r="L103" s="187" t="str">
        <f t="shared" si="29"/>
        <v/>
      </c>
      <c r="M103" s="187" t="str">
        <f t="shared" si="30"/>
        <v/>
      </c>
      <c r="N103" s="187">
        <f t="shared" ca="1" si="31"/>
        <v>-24038953.641308956</v>
      </c>
      <c r="O103" s="187">
        <f t="shared" ca="1" si="32"/>
        <v>-129995657.12129405</v>
      </c>
      <c r="P103" s="187">
        <f t="shared" ca="1" si="33"/>
        <v>-20093135.752448838</v>
      </c>
      <c r="Q103" s="187">
        <f t="shared" ca="1" si="10"/>
        <v>0</v>
      </c>
      <c r="R103" s="187">
        <f t="shared" ca="1" si="34"/>
        <v>-25075490.744727954</v>
      </c>
      <c r="S103" s="187">
        <f ca="1">IF(B103="","",IF($B$31=0,"",-'Debt Financing Calculations'!E52))</f>
        <v>-4235826.8767231647</v>
      </c>
      <c r="T103" s="187">
        <f t="shared" ca="1" si="35"/>
        <v>29730674.364964336</v>
      </c>
      <c r="U103" s="187">
        <f ca="1">IF(C103="","",IF(C103&lt;-1,0,IF(C103=anal_period,-LOOKUP(C103,depr_yr,depr_cost)-Depreciation!$C$141-Depreciation!$B$166,-LOOKUP(C103,depr_yr,depr_cost))))</f>
        <v>-1651896.4406795066</v>
      </c>
      <c r="V103" s="187">
        <f t="shared" ca="1" si="36"/>
        <v>28078777.924284831</v>
      </c>
      <c r="W103" s="188">
        <f t="shared" si="37"/>
        <v>0.25739999999999996</v>
      </c>
      <c r="X103" s="187">
        <f t="shared" ca="1" si="38"/>
        <v>-7227477.4377109148</v>
      </c>
      <c r="Y103" s="187">
        <f t="shared" ca="1" si="39"/>
        <v>22503196.927253421</v>
      </c>
      <c r="Z103" s="187">
        <f>IF(C103="","",IF($B$31=0,"",-'Debt Financing Calculations'!F52))</f>
        <v>0</v>
      </c>
      <c r="AA103" s="187">
        <f t="shared" ca="1" si="40"/>
        <v>19982603.448541068</v>
      </c>
      <c r="AB103" s="187">
        <f t="shared" ca="1" si="23"/>
        <v>430128437.01640838</v>
      </c>
      <c r="AC103" s="1137">
        <f t="shared" ca="1" si="41"/>
        <v>27210080.886251982</v>
      </c>
      <c r="AD103" s="134"/>
      <c r="AE103" s="1141">
        <f t="shared" ca="1" si="42"/>
        <v>50995026</v>
      </c>
      <c r="AF103" s="1137">
        <f t="shared" si="43"/>
        <v>0</v>
      </c>
    </row>
    <row r="104" spans="1:32" x14ac:dyDescent="0.2">
      <c r="A104" s="58">
        <f t="shared" si="21"/>
        <v>2051</v>
      </c>
      <c r="B104" s="185">
        <f>IF(MAX($B$65:B103)&lt;(construct+anal_period),B103+1,"")</f>
        <v>40</v>
      </c>
      <c r="C104" s="185">
        <f t="shared" si="22"/>
        <v>37</v>
      </c>
      <c r="D104" s="185">
        <f t="shared" si="25"/>
        <v>37</v>
      </c>
      <c r="E104" s="186">
        <f t="shared" si="26"/>
        <v>1.9691129313036535</v>
      </c>
      <c r="F104" s="59">
        <f t="shared" ca="1" si="27"/>
        <v>237599963.53299519</v>
      </c>
      <c r="G104" s="1150"/>
      <c r="H104" s="1159">
        <f t="shared" si="24"/>
        <v>0</v>
      </c>
      <c r="I104" s="187">
        <f ca="1">IF(OR(C104&lt;0,C104=""),"",-E104*INDEX('Replacement Costs'!$A$16:$H$57,MATCH(C104,'Replacement Costs'!$C$16:$C$57,0),MATCH("Total Yearly Replacement Costs",'Replacement Costs'!$A$16:$H$16,0)))</f>
        <v>-1987688.878672078</v>
      </c>
      <c r="J104" s="187">
        <f ca="1">IF(AND(C104&gt;=1,C104&lt;anal_period),WorkingCap*SUM(N104:R104)-WorkingCap*SUM(N103:R103),IF(C104&lt;0,0,IF(B104="","",-SUM(J$65:J103))))</f>
        <v>-656325.45055472478</v>
      </c>
      <c r="K104" s="187" t="str">
        <f t="shared" si="28"/>
        <v/>
      </c>
      <c r="L104" s="187" t="str">
        <f t="shared" si="29"/>
        <v/>
      </c>
      <c r="M104" s="187" t="str">
        <f t="shared" si="30"/>
        <v/>
      </c>
      <c r="N104" s="187">
        <f t="shared" ca="1" si="31"/>
        <v>-24495693.760493826</v>
      </c>
      <c r="O104" s="187">
        <f t="shared" ca="1" si="32"/>
        <v>-133015883.36857657</v>
      </c>
      <c r="P104" s="187">
        <f t="shared" ca="1" si="33"/>
        <v>-20474905.331745367</v>
      </c>
      <c r="Q104" s="187">
        <f t="shared" ca="1" si="10"/>
        <v>0</v>
      </c>
      <c r="R104" s="187">
        <f t="shared" ca="1" si="34"/>
        <v>-25592257.80266222</v>
      </c>
      <c r="S104" s="187">
        <f ca="1">IF(B104="","",IF($B$31=0,"",-'Debt Financing Calculations'!E53))</f>
        <v>-4235826.8767231647</v>
      </c>
      <c r="T104" s="187">
        <f t="shared" ca="1" si="35"/>
        <v>29785396.392794043</v>
      </c>
      <c r="U104" s="187">
        <f ca="1">IF(C104="","",IF(C104&lt;-1,0,IF(C104=anal_period,-LOOKUP(C104,depr_yr,depr_cost)-Depreciation!$C$141-Depreciation!$B$166,-LOOKUP(C104,depr_yr,depr_cost))))</f>
        <v>-1683282.4730524176</v>
      </c>
      <c r="V104" s="187">
        <f t="shared" ca="1" si="36"/>
        <v>28102113.919741627</v>
      </c>
      <c r="W104" s="188">
        <f t="shared" si="37"/>
        <v>0.25739999999999996</v>
      </c>
      <c r="X104" s="187">
        <f t="shared" ca="1" si="38"/>
        <v>-7233484.122941494</v>
      </c>
      <c r="Y104" s="187">
        <f t="shared" ca="1" si="39"/>
        <v>22551912.269852549</v>
      </c>
      <c r="Z104" s="187">
        <f>IF(C104="","",IF($B$31=0,"",-'Debt Financing Calculations'!F53))</f>
        <v>0</v>
      </c>
      <c r="AA104" s="187">
        <f t="shared" ca="1" si="40"/>
        <v>19907897.940625746</v>
      </c>
      <c r="AB104" s="187">
        <f t="shared" ca="1" si="23"/>
        <v>450036334.95703411</v>
      </c>
      <c r="AC104" s="1137">
        <f t="shared" ca="1" si="41"/>
        <v>27141382.06356724</v>
      </c>
      <c r="AD104" s="134"/>
      <c r="AE104" s="1141">
        <f t="shared" ca="1" si="42"/>
        <v>50995026</v>
      </c>
      <c r="AF104" s="1137">
        <f t="shared" si="43"/>
        <v>0</v>
      </c>
    </row>
    <row r="105" spans="1:32" x14ac:dyDescent="0.2">
      <c r="A105" s="58">
        <f t="shared" si="21"/>
        <v>2052</v>
      </c>
      <c r="B105" s="185">
        <f>IF(MAX($B$65:B104)&lt;(construct+anal_period),B104+1,"")</f>
        <v>41</v>
      </c>
      <c r="C105" s="185">
        <f t="shared" si="22"/>
        <v>38</v>
      </c>
      <c r="D105" s="185">
        <f t="shared" si="25"/>
        <v>38</v>
      </c>
      <c r="E105" s="186">
        <f t="shared" si="26"/>
        <v>2.0065260769984223</v>
      </c>
      <c r="F105" s="59">
        <f t="shared" ca="1" si="27"/>
        <v>242114362.84012201</v>
      </c>
      <c r="G105" s="1150"/>
      <c r="H105" s="1159">
        <f t="shared" si="24"/>
        <v>0</v>
      </c>
      <c r="I105" s="187">
        <f ca="1">IF(OR(C105&lt;0,C105=""),"",-E105*INDEX('Replacement Costs'!$A$16:$H$57,MATCH(C105,'Replacement Costs'!$C$16:$C$57,0),MATCH("Total Yearly Replacement Costs",'Replacement Costs'!$A$16:$H$16,0)))</f>
        <v>-2025454.967366847</v>
      </c>
      <c r="J105" s="187">
        <f ca="1">IF(AND(C105&gt;=1,C105&lt;anal_period),WorkingCap*SUM(N105:R105)-WorkingCap*SUM(N104:R104),IF(C105&lt;0,0,IF(B105="","",-SUM(J$65:J104))))</f>
        <v>-670862.1046709083</v>
      </c>
      <c r="K105" s="187" t="str">
        <f t="shared" si="28"/>
        <v/>
      </c>
      <c r="L105" s="187" t="str">
        <f t="shared" si="29"/>
        <v/>
      </c>
      <c r="M105" s="187" t="str">
        <f t="shared" si="30"/>
        <v/>
      </c>
      <c r="N105" s="187">
        <f t="shared" ca="1" si="31"/>
        <v>-24961111.941943202</v>
      </c>
      <c r="O105" s="187">
        <f t="shared" ca="1" si="32"/>
        <v>-136106279.39527151</v>
      </c>
      <c r="P105" s="187">
        <f t="shared" ca="1" si="33"/>
        <v>-20863928.533048522</v>
      </c>
      <c r="Q105" s="187">
        <f t="shared" ca="1" si="10"/>
        <v>0</v>
      </c>
      <c r="R105" s="187">
        <f t="shared" ca="1" si="34"/>
        <v>-26119834.424354125</v>
      </c>
      <c r="S105" s="187">
        <f ca="1">IF(B105="","",IF($B$31=0,"",-'Debt Financing Calculations'!E54))</f>
        <v>-4235826.8767231647</v>
      </c>
      <c r="T105" s="187">
        <f t="shared" ca="1" si="35"/>
        <v>29827381.668781489</v>
      </c>
      <c r="U105" s="187">
        <f ca="1">IF(C105="","",IF(C105&lt;-1,0,IF(C105=anal_period,-LOOKUP(C105,depr_yr,depr_cost)-Depreciation!$C$141-Depreciation!$B$166,-LOOKUP(C105,depr_yr,depr_cost))))</f>
        <v>-1715264.8400404134</v>
      </c>
      <c r="V105" s="187">
        <f t="shared" ca="1" si="36"/>
        <v>28112116.828741077</v>
      </c>
      <c r="W105" s="188">
        <f t="shared" si="37"/>
        <v>0.25739999999999996</v>
      </c>
      <c r="X105" s="187">
        <f t="shared" ca="1" si="38"/>
        <v>-7236058.8717179522</v>
      </c>
      <c r="Y105" s="187">
        <f t="shared" ca="1" si="39"/>
        <v>22591322.797063537</v>
      </c>
      <c r="Z105" s="187">
        <f>IF(C105="","",IF($B$31=0,"",-'Debt Financing Calculations'!F54))</f>
        <v>0</v>
      </c>
      <c r="AA105" s="187">
        <f t="shared" ca="1" si="40"/>
        <v>19895005.72502578</v>
      </c>
      <c r="AB105" s="187">
        <f t="shared" ca="1" si="23"/>
        <v>469931340.68205988</v>
      </c>
      <c r="AC105" s="1137">
        <f t="shared" ca="1" si="41"/>
        <v>27131064.596743733</v>
      </c>
      <c r="AD105" s="134"/>
      <c r="AE105" s="1141">
        <f t="shared" ca="1" si="42"/>
        <v>50995026</v>
      </c>
      <c r="AF105" s="1137">
        <f t="shared" si="43"/>
        <v>0</v>
      </c>
    </row>
    <row r="106" spans="1:32" x14ac:dyDescent="0.2">
      <c r="A106" s="58">
        <f t="shared" si="21"/>
        <v>2053</v>
      </c>
      <c r="B106" s="185">
        <f>IF(MAX($B$65:B105)&lt;(construct+anal_period),B105+1,"")</f>
        <v>42</v>
      </c>
      <c r="C106" s="185">
        <f t="shared" si="22"/>
        <v>39</v>
      </c>
      <c r="D106" s="185">
        <f t="shared" si="25"/>
        <v>39</v>
      </c>
      <c r="E106" s="186">
        <f t="shared" si="26"/>
        <v>2.0446500724613927</v>
      </c>
      <c r="F106" s="59">
        <f t="shared" ca="1" si="27"/>
        <v>246714535.7340844</v>
      </c>
      <c r="G106" s="1150"/>
      <c r="H106" s="1159">
        <f t="shared" si="24"/>
        <v>0</v>
      </c>
      <c r="I106" s="187">
        <f ca="1">IF(OR(C106&lt;0,C106=""),"",-E106*INDEX('Replacement Costs'!$A$16:$H$57,MATCH(C106,'Replacement Costs'!$C$16:$C$57,0),MATCH("Total Yearly Replacement Costs",'Replacement Costs'!$A$16:$H$16,0)))</f>
        <v>-2063938.6117468174</v>
      </c>
      <c r="J106" s="187">
        <f ca="1">IF(AND(C106&gt;=1,C106&lt;anal_period),WorkingCap*SUM(N106:R106)-WorkingCap*SUM(N105:R105),IF(C106&lt;0,0,IF(B106="","",-SUM(J$65:J105))))</f>
        <v>-685723.16802269965</v>
      </c>
      <c r="K106" s="187" t="str">
        <f t="shared" si="28"/>
        <v/>
      </c>
      <c r="L106" s="187" t="str">
        <f t="shared" si="29"/>
        <v/>
      </c>
      <c r="M106" s="187" t="str">
        <f t="shared" si="30"/>
        <v/>
      </c>
      <c r="N106" s="187">
        <f t="shared" ca="1" si="31"/>
        <v>-25435373.068840127</v>
      </c>
      <c r="O106" s="187">
        <f t="shared" ca="1" si="32"/>
        <v>-139268475.47591454</v>
      </c>
      <c r="P106" s="187">
        <f t="shared" ca="1" si="33"/>
        <v>-21260343.175176449</v>
      </c>
      <c r="Q106" s="187">
        <f t="shared" ca="1" si="10"/>
        <v>0</v>
      </c>
      <c r="R106" s="187">
        <f t="shared" ca="1" si="34"/>
        <v>-26658450.361504264</v>
      </c>
      <c r="S106" s="187">
        <f ca="1">IF(B106="","",IF($B$31=0,"",-'Debt Financing Calculations'!E55))</f>
        <v>-4235826.8767231647</v>
      </c>
      <c r="T106" s="187">
        <f ca="1">IF(C106="","",F106+SUM(L106:S106))</f>
        <v>29856066.775925875</v>
      </c>
      <c r="U106" s="187">
        <f ca="1">IF(C106="","",IF(C106&lt;-1,0,IF(C106=anal_period,-LOOKUP(C106,depr_yr,depr_cost)-Depreciation!$C$141-Depreciation!$B$166,-LOOKUP(C106,depr_yr,depr_cost))))</f>
        <v>-1747854.8720011807</v>
      </c>
      <c r="V106" s="187">
        <f t="shared" ca="1" si="36"/>
        <v>28108211.903924692</v>
      </c>
      <c r="W106" s="188">
        <f t="shared" si="37"/>
        <v>0.25739999999999996</v>
      </c>
      <c r="X106" s="187">
        <f t="shared" ca="1" si="38"/>
        <v>-7235053.7440702152</v>
      </c>
      <c r="Y106" s="187">
        <f t="shared" ca="1" si="39"/>
        <v>22621013.031855658</v>
      </c>
      <c r="Z106" s="187">
        <f>IF(C106="","",IF($B$31=0,"",-'Debt Financing Calculations'!F55))</f>
        <v>0</v>
      </c>
      <c r="AA106" s="187">
        <f t="shared" ca="1" si="40"/>
        <v>19871351.25208614</v>
      </c>
      <c r="AB106" s="187">
        <f t="shared" ca="1" si="23"/>
        <v>489802691.93414605</v>
      </c>
      <c r="AC106" s="1137">
        <f ca="1">IF(C106="","",SUM(H106,I106,J106,K106,T106,Z106))</f>
        <v>27106404.996156357</v>
      </c>
      <c r="AD106" s="134"/>
      <c r="AE106" s="1141">
        <f t="shared" ca="1" si="42"/>
        <v>50995026</v>
      </c>
      <c r="AF106" s="1137">
        <f t="shared" si="43"/>
        <v>0</v>
      </c>
    </row>
    <row r="107" spans="1:32" x14ac:dyDescent="0.2">
      <c r="A107" s="58">
        <f t="shared" si="21"/>
        <v>2054</v>
      </c>
      <c r="B107" s="185">
        <f>IF(MAX($B$65:B106)&lt;(construct+anal_period),B106+1,"")</f>
        <v>43</v>
      </c>
      <c r="C107" s="185">
        <f t="shared" si="22"/>
        <v>40</v>
      </c>
      <c r="D107" s="185">
        <f t="shared" si="25"/>
        <v>40</v>
      </c>
      <c r="E107" s="186">
        <f t="shared" si="26"/>
        <v>2.0834984238381593</v>
      </c>
      <c r="F107" s="59">
        <f t="shared" ca="1" si="27"/>
        <v>251402111.913032</v>
      </c>
      <c r="G107" s="1150"/>
      <c r="H107" s="1159">
        <f t="shared" si="24"/>
        <v>0</v>
      </c>
      <c r="I107" s="187">
        <f ca="1">IF(OR(C107&lt;0,C107=""),"",-E107*INDEX('Replacement Costs'!$A$16:$H$57,MATCH(C107,'Replacement Costs'!$C$16:$C$57,0),MATCH("Total Yearly Replacement Costs",'Replacement Costs'!$A$16:$H$16,0)))</f>
        <v>-2103153.4453700068</v>
      </c>
      <c r="J107" s="187">
        <f ca="1">IF(AND(C107&gt;=1,C107&lt;anal_period),WorkingCap*SUM(N107:R107)-WorkingCap*SUM(N106:R106),IF(C107&lt;0,0,IF(B107="","",-SUM(J$65:J106))))</f>
        <v>31893396.312215302</v>
      </c>
      <c r="K107" s="187" t="str">
        <f t="shared" si="28"/>
        <v/>
      </c>
      <c r="L107" s="187">
        <f t="shared" ca="1" si="29"/>
        <v>42625718.397850558</v>
      </c>
      <c r="M107" s="187">
        <f t="shared" ca="1" si="30"/>
        <v>-42063068.907400139</v>
      </c>
      <c r="N107" s="187">
        <f t="shared" ca="1" si="31"/>
        <v>-25918645.157148089</v>
      </c>
      <c r="O107" s="187">
        <f t="shared" ca="1" si="32"/>
        <v>-142504139.76167539</v>
      </c>
      <c r="P107" s="187">
        <f t="shared" ca="1" si="33"/>
        <v>-21664289.695504799</v>
      </c>
      <c r="Q107" s="187">
        <f t="shared" ca="1" si="10"/>
        <v>0</v>
      </c>
      <c r="R107" s="187">
        <f t="shared" ca="1" si="34"/>
        <v>-27208340.330793958</v>
      </c>
      <c r="S107" s="187">
        <f ca="1">IF(B107="","",IF($B$31=0,"",-'Debt Financing Calculations'!E56))</f>
        <v>-4235826.8767231647</v>
      </c>
      <c r="T107" s="187">
        <f t="shared" ca="1" si="35"/>
        <v>30433519.581636995</v>
      </c>
      <c r="U107" s="187">
        <f ca="1">IF(C107="","",IF(C107&lt;-1,0,IF(C107=anal_period,-LOOKUP(C107,depr_yr,depr_cost)-Depreciation!$C$141-Depreciation!$B$166,-LOOKUP(C107,depr_yr,depr_cost))))</f>
        <v>-19055223.487517588</v>
      </c>
      <c r="V107" s="187">
        <f t="shared" ca="1" si="36"/>
        <v>11378296.094119407</v>
      </c>
      <c r="W107" s="188">
        <f t="shared" si="37"/>
        <v>0.25739999999999996</v>
      </c>
      <c r="X107" s="187">
        <f t="shared" ca="1" si="38"/>
        <v>-2928773.4146263348</v>
      </c>
      <c r="Y107" s="187">
        <f t="shared" ca="1" si="39"/>
        <v>27504746.167010661</v>
      </c>
      <c r="Z107" s="187">
        <f ca="1">IF(C107="","",IF($B$31=0,"",-'Debt Financing Calculations'!F56))</f>
        <v>-114481807.47900446</v>
      </c>
      <c r="AA107" s="187">
        <f t="shared" ca="1" si="40"/>
        <v>-57186818.445148505</v>
      </c>
      <c r="AB107" s="187">
        <f t="shared" ca="1" si="23"/>
        <v>432615873.48899752</v>
      </c>
      <c r="AC107" s="1137">
        <f t="shared" ca="1" si="41"/>
        <v>-54258045.030522168</v>
      </c>
      <c r="AD107" s="134"/>
      <c r="AE107" s="1141">
        <f t="shared" ca="1" si="42"/>
        <v>50995026</v>
      </c>
      <c r="AF107" s="1137">
        <f t="shared" si="43"/>
        <v>0</v>
      </c>
    </row>
    <row r="108" spans="1:32" x14ac:dyDescent="0.2">
      <c r="A108" s="58" t="str">
        <f t="shared" si="21"/>
        <v/>
      </c>
      <c r="B108" s="185" t="str">
        <f>IF(MAX($B$65:B107)&lt;(construct+anal_period),B107+1,"")</f>
        <v/>
      </c>
      <c r="C108" s="185" t="str">
        <f t="shared" si="22"/>
        <v/>
      </c>
      <c r="D108" s="185" t="str">
        <f t="shared" si="25"/>
        <v/>
      </c>
      <c r="E108" s="186" t="str">
        <f t="shared" si="26"/>
        <v/>
      </c>
      <c r="F108" s="59" t="str">
        <f t="shared" si="27"/>
        <v/>
      </c>
      <c r="G108" s="1150"/>
      <c r="H108" s="1159" t="str">
        <f t="shared" si="24"/>
        <v/>
      </c>
      <c r="I108" s="187" t="str">
        <f>IF(OR(C108&lt;0,C108=""),"",-E108*INDEX('Replacement Costs'!$A$16:$H$57,MATCH(C108,'Replacement Costs'!$C$16:$C$57,0),MATCH("Total Yearly Replacement Costs",'Replacement Costs'!$A$16:$H$16,0)))</f>
        <v/>
      </c>
      <c r="J108" s="187" t="str">
        <f>IF(AND(C108&gt;=1,C108&lt;anal_period),WorkingCap*SUM(N108:R108)-WorkingCap*SUM(N107:R107),IF(C108&lt;0,0,IF(B108="","",-SUM(J$65:J107))))</f>
        <v/>
      </c>
      <c r="K108" s="187" t="str">
        <f t="shared" si="28"/>
        <v/>
      </c>
      <c r="L108" s="187" t="str">
        <f t="shared" si="29"/>
        <v/>
      </c>
      <c r="M108" s="187" t="str">
        <f t="shared" si="30"/>
        <v/>
      </c>
      <c r="N108" s="187" t="str">
        <f t="shared" si="31"/>
        <v/>
      </c>
      <c r="O108" s="187" t="str">
        <f t="shared" si="32"/>
        <v/>
      </c>
      <c r="P108" s="187" t="str">
        <f t="shared" si="33"/>
        <v/>
      </c>
      <c r="Q108" s="187" t="str">
        <f t="shared" si="10"/>
        <v/>
      </c>
      <c r="R108" s="187" t="str">
        <f t="shared" si="34"/>
        <v/>
      </c>
      <c r="S108" s="187" t="str">
        <f>IF(B108="","",IF($B$31=0,"",-'Debt Financing Calculations'!E57))</f>
        <v/>
      </c>
      <c r="T108" s="187" t="str">
        <f t="shared" si="35"/>
        <v/>
      </c>
      <c r="U108" s="187" t="str">
        <f>IF(C108="","",IF(C108&lt;-1,0,IF(C108=anal_period,-LOOKUP(C108,depr_yr,depr_cost)-Depreciation!$C$141-Depreciation!$B$166,-LOOKUP(C108,depr_yr,depr_cost))))</f>
        <v/>
      </c>
      <c r="V108" s="187" t="str">
        <f t="shared" si="36"/>
        <v/>
      </c>
      <c r="W108" s="188" t="str">
        <f t="shared" si="37"/>
        <v/>
      </c>
      <c r="X108" s="187" t="str">
        <f t="shared" si="38"/>
        <v/>
      </c>
      <c r="Y108" s="187" t="str">
        <f t="shared" si="39"/>
        <v/>
      </c>
      <c r="Z108" s="187" t="str">
        <f>IF(C108="","",IF($B$31=0,"",-'Debt Financing Calculations'!F57))</f>
        <v/>
      </c>
      <c r="AA108" s="187" t="str">
        <f t="shared" si="40"/>
        <v/>
      </c>
      <c r="AB108" s="187" t="str">
        <f t="shared" si="23"/>
        <v/>
      </c>
      <c r="AC108" s="1137" t="str">
        <f t="shared" si="41"/>
        <v/>
      </c>
      <c r="AD108" s="134"/>
      <c r="AE108" s="1141" t="str">
        <f t="shared" si="42"/>
        <v/>
      </c>
      <c r="AF108" s="1137" t="str">
        <f t="shared" si="43"/>
        <v/>
      </c>
    </row>
    <row r="109" spans="1:32" x14ac:dyDescent="0.2">
      <c r="A109" s="58" t="str">
        <f t="shared" si="21"/>
        <v/>
      </c>
      <c r="B109" s="185" t="str">
        <f>IF(MAX($B$65:B108)&lt;(construct+anal_period),B108+1,"")</f>
        <v/>
      </c>
      <c r="C109" s="185" t="str">
        <f t="shared" si="22"/>
        <v/>
      </c>
      <c r="D109" s="185" t="str">
        <f t="shared" si="25"/>
        <v/>
      </c>
      <c r="E109" s="186" t="str">
        <f t="shared" si="26"/>
        <v/>
      </c>
      <c r="F109" s="59" t="str">
        <f t="shared" si="27"/>
        <v/>
      </c>
      <c r="G109" s="1150"/>
      <c r="H109" s="1159" t="str">
        <f t="shared" si="24"/>
        <v/>
      </c>
      <c r="I109" s="187" t="str">
        <f>IF(OR(C109&lt;0,C109=""),"",-E109*INDEX('Replacement Costs'!$A$16:$H$57,MATCH(C109,'Replacement Costs'!$C$16:$C$57,0),MATCH("Total Yearly Replacement Costs",'Replacement Costs'!$A$16:$H$16,0)))</f>
        <v/>
      </c>
      <c r="J109" s="187" t="str">
        <f>IF(AND(C109&gt;=1,C109&lt;anal_period),WorkingCap*SUM(N109:R109)-WorkingCap*SUM(N108:R108),IF(C109&lt;0,0,IF(B109="","",-SUM(J$65:J108))))</f>
        <v/>
      </c>
      <c r="K109" s="187" t="str">
        <f t="shared" si="28"/>
        <v/>
      </c>
      <c r="L109" s="187" t="str">
        <f t="shared" si="29"/>
        <v/>
      </c>
      <c r="M109" s="187" t="str">
        <f t="shared" si="30"/>
        <v/>
      </c>
      <c r="N109" s="187" t="str">
        <f t="shared" si="31"/>
        <v/>
      </c>
      <c r="O109" s="187" t="str">
        <f t="shared" si="32"/>
        <v/>
      </c>
      <c r="P109" s="187" t="str">
        <f t="shared" si="33"/>
        <v/>
      </c>
      <c r="Q109" s="187" t="str">
        <f t="shared" si="10"/>
        <v/>
      </c>
      <c r="R109" s="187" t="str">
        <f t="shared" si="34"/>
        <v/>
      </c>
      <c r="S109" s="187" t="str">
        <f>IF(B109="","",IF($B$31=0,"",-'Debt Financing Calculations'!E58))</f>
        <v/>
      </c>
      <c r="T109" s="187" t="str">
        <f t="shared" si="35"/>
        <v/>
      </c>
      <c r="U109" s="187" t="str">
        <f>IF(C109="","",IF(C109&lt;-1,0,IF(C109=anal_period,-LOOKUP(C109,depr_yr,depr_cost)-Depreciation!$C$141-Depreciation!$B$166,-LOOKUP(C109,depr_yr,depr_cost))))</f>
        <v/>
      </c>
      <c r="V109" s="187" t="str">
        <f t="shared" si="36"/>
        <v/>
      </c>
      <c r="W109" s="188" t="str">
        <f t="shared" si="37"/>
        <v/>
      </c>
      <c r="X109" s="187" t="str">
        <f t="shared" si="38"/>
        <v/>
      </c>
      <c r="Y109" s="187" t="str">
        <f t="shared" si="39"/>
        <v/>
      </c>
      <c r="Z109" s="187" t="str">
        <f>IF(C109="","",IF($B$31=0,"",-'Debt Financing Calculations'!F58))</f>
        <v/>
      </c>
      <c r="AA109" s="187" t="str">
        <f t="shared" si="40"/>
        <v/>
      </c>
      <c r="AB109" s="187" t="str">
        <f t="shared" si="23"/>
        <v/>
      </c>
      <c r="AC109" s="1137" t="str">
        <f t="shared" si="41"/>
        <v/>
      </c>
      <c r="AD109" s="134"/>
      <c r="AE109" s="1141" t="str">
        <f t="shared" si="42"/>
        <v/>
      </c>
      <c r="AF109" s="1137" t="str">
        <f t="shared" si="43"/>
        <v/>
      </c>
    </row>
    <row r="110" spans="1:32" x14ac:dyDescent="0.2">
      <c r="A110" s="58" t="str">
        <f t="shared" si="21"/>
        <v/>
      </c>
      <c r="B110" s="185" t="str">
        <f>IF(MAX($B$65:B109)&lt;(construct+anal_period),B109+1,"")</f>
        <v/>
      </c>
      <c r="C110" s="185" t="str">
        <f t="shared" si="22"/>
        <v/>
      </c>
      <c r="D110" s="185" t="str">
        <f t="shared" si="25"/>
        <v/>
      </c>
      <c r="E110" s="186" t="str">
        <f t="shared" si="26"/>
        <v/>
      </c>
      <c r="F110" s="59" t="str">
        <f t="shared" si="27"/>
        <v/>
      </c>
      <c r="G110" s="1150"/>
      <c r="H110" s="1159" t="str">
        <f t="shared" si="24"/>
        <v/>
      </c>
      <c r="I110" s="187" t="str">
        <f>IF(OR(C110&lt;0,C110=""),"",-E110*INDEX('Replacement Costs'!$A$16:$H$57,MATCH(C110,'Replacement Costs'!$C$16:$C$57,0),MATCH("Total Yearly Replacement Costs",'Replacement Costs'!$A$16:$H$16,0)))</f>
        <v/>
      </c>
      <c r="J110" s="187" t="str">
        <f>IF(AND(C110&gt;=1,C110&lt;anal_period),WorkingCap*SUM(N110:R110)-WorkingCap*SUM(N109:R109),IF(C110&lt;0,0,IF(B110="","",-SUM(J$65:J109))))</f>
        <v/>
      </c>
      <c r="K110" s="187" t="str">
        <f t="shared" si="28"/>
        <v/>
      </c>
      <c r="L110" s="187" t="str">
        <f t="shared" si="29"/>
        <v/>
      </c>
      <c r="M110" s="187" t="str">
        <f t="shared" si="30"/>
        <v/>
      </c>
      <c r="N110" s="187" t="str">
        <f t="shared" si="31"/>
        <v/>
      </c>
      <c r="O110" s="187" t="str">
        <f>IF(C110="","",IF(C110&lt;0,0,IF(AND(C110=1,start_time&lt;1),-(SUM(B185:E185)*output_kgyear*E110*percnt_var*start_time+SUM(B185:E185)*output_kgyear*E110*(1-start_time)),IF(C110&lt;=start_time,-SUM(B185:E185)*output_kgyear*E110*percnt_var,-SUM(B185:E185)*output_kgyear*E110))))</f>
        <v/>
      </c>
      <c r="P110" s="187" t="str">
        <f t="shared" si="33"/>
        <v/>
      </c>
      <c r="Q110" s="187" t="str">
        <f>IF(C110="","",IF(C110&lt;0,0,IF(AND(C110=1,start_time&lt;1),SUM(K185:N185,T185:V185)*output_kgyear*E110*percnt_revs*start_time+SUM(K185:N185,T185:V185)*output_kgyear*E110*(1-start_time),IF(C110&lt;=start_time,SUM(K185:N185,T185:V185)*output_kgyear*E110*percnt_revs,SUM(K185:N185,T185:V185)*output_kgyear*E110))))</f>
        <v/>
      </c>
      <c r="R110" s="187"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87" t="str">
        <f>IF(B110="","",IF($B$31=0,"",-'Debt Financing Calculations'!E59))</f>
        <v/>
      </c>
      <c r="T110" s="187" t="str">
        <f t="shared" si="35"/>
        <v/>
      </c>
      <c r="U110" s="187" t="str">
        <f>IF(C110="","",IF(C110&lt;-1,0,IF(C110=anal_period,-LOOKUP(C110,depr_yr,depr_cost)-Depreciation!$C$141-Depreciation!$B$166,-LOOKUP(C110,depr_yr,depr_cost))))</f>
        <v/>
      </c>
      <c r="V110" s="187" t="str">
        <f t="shared" si="36"/>
        <v/>
      </c>
      <c r="W110" s="188" t="str">
        <f t="shared" si="37"/>
        <v/>
      </c>
      <c r="X110" s="187" t="str">
        <f t="shared" si="38"/>
        <v/>
      </c>
      <c r="Y110" s="187" t="str">
        <f t="shared" si="39"/>
        <v/>
      </c>
      <c r="Z110" s="187" t="str">
        <f>IF(C110="","",IF($B$31=0,"",-'Debt Financing Calculations'!F59))</f>
        <v/>
      </c>
      <c r="AA110" s="187" t="str">
        <f t="shared" si="40"/>
        <v/>
      </c>
      <c r="AB110" s="187" t="str">
        <f t="shared" si="23"/>
        <v/>
      </c>
      <c r="AC110" s="1137" t="str">
        <f t="shared" si="41"/>
        <v/>
      </c>
      <c r="AD110" s="134"/>
      <c r="AE110" s="1141" t="str">
        <f t="shared" si="42"/>
        <v/>
      </c>
      <c r="AF110" s="1137" t="str">
        <f t="shared" si="43"/>
        <v/>
      </c>
    </row>
    <row r="111" spans="1:32" x14ac:dyDescent="0.2">
      <c r="A111" s="58" t="str">
        <f t="shared" si="21"/>
        <v/>
      </c>
      <c r="B111" s="185" t="str">
        <f>IF(MAX($B$65:B110)&lt;(construct+anal_period),B110+1,"")</f>
        <v/>
      </c>
      <c r="C111" s="185" t="str">
        <f t="shared" si="22"/>
        <v/>
      </c>
      <c r="D111" s="185" t="str">
        <f t="shared" si="25"/>
        <v/>
      </c>
      <c r="E111" s="186" t="str">
        <f t="shared" si="26"/>
        <v/>
      </c>
      <c r="F111" s="59" t="str">
        <f t="shared" si="27"/>
        <v/>
      </c>
      <c r="G111" s="1150"/>
      <c r="H111" s="1159" t="str">
        <f t="shared" si="24"/>
        <v/>
      </c>
      <c r="I111" s="187" t="str">
        <f>IF(OR(C111&lt;0,C111=""),"",-E111*INDEX('Replacement Costs'!$A$16:$H$57,MATCH(C111,'Replacement Costs'!$C$16:$C$57,0),MATCH("Total Yearly Replacement Costs",'Replacement Costs'!$A$16:$H$16,0)))</f>
        <v/>
      </c>
      <c r="J111" s="187" t="str">
        <f>IF(AND(C111&gt;=1,C111&lt;anal_period),WorkingCap*SUM(N111:R111)-WorkingCap*SUM(N110:R110),IF(C111&lt;0,0,IF(B111="","",-SUM(J$65:J110))))</f>
        <v/>
      </c>
      <c r="K111" s="187" t="str">
        <f t="shared" si="28"/>
        <v/>
      </c>
      <c r="L111" s="187" t="str">
        <f t="shared" si="29"/>
        <v/>
      </c>
      <c r="M111" s="187" t="str">
        <f t="shared" si="30"/>
        <v/>
      </c>
      <c r="N111" s="187" t="str">
        <f t="shared" si="31"/>
        <v/>
      </c>
      <c r="O111" s="187" t="str">
        <f>IF(C111="","",IF(C111&lt;0,0,IF(AND(C111=1,start_time&lt;1),-(SUM(B278:E278)*output_kgyear*E111*percnt_var*start_time+SUM(B278:E278)*output_kgyear*E111*(1-start_time)),IF(C111&lt;=start_time,-SUM(B278:E278)*output_kgyear*E111*percnt_var,-SUM(B278:E278)*output_kgyear*E111))))</f>
        <v/>
      </c>
      <c r="P111" s="187" t="str">
        <f t="shared" si="33"/>
        <v/>
      </c>
      <c r="Q111" s="187" t="str">
        <f>IF(C111="","",IF(C111&lt;0,0,IF(AND(C111=1,start_time&lt;1),SUM(K278:N278,T278:V278)*output_kgyear*E111*percnt_revs*start_time+SUM(K278:N278,T278:V278)*output_kgyear*E111*(1-start_time),IF(C111&lt;=start_time,SUM(K278:N278,T278:V278)*output_kgyear*E111*percnt_revs,SUM(K278:N278,T278:V278)*output_kgyear*E111))))</f>
        <v/>
      </c>
      <c r="R111" s="187"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87" t="str">
        <f>IF(B111="","",IF($B$31=0,"",-'Debt Financing Calculations'!E60))</f>
        <v/>
      </c>
      <c r="T111" s="187" t="str">
        <f t="shared" si="35"/>
        <v/>
      </c>
      <c r="U111" s="187" t="str">
        <f>IF(C111="","",IF(C111&lt;-1,0,IF(C111=anal_period,-LOOKUP(C111,depr_yr,depr_cost)-Depreciation!$C$141-Depreciation!$B$166,-LOOKUP(C111,depr_yr,depr_cost))))</f>
        <v/>
      </c>
      <c r="V111" s="187" t="str">
        <f t="shared" si="36"/>
        <v/>
      </c>
      <c r="W111" s="188" t="str">
        <f t="shared" si="37"/>
        <v/>
      </c>
      <c r="X111" s="187" t="str">
        <f t="shared" si="38"/>
        <v/>
      </c>
      <c r="Y111" s="187" t="str">
        <f t="shared" si="39"/>
        <v/>
      </c>
      <c r="Z111" s="187" t="str">
        <f>IF(C111="","",IF($B$31=0,"",-'Debt Financing Calculations'!F60))</f>
        <v/>
      </c>
      <c r="AA111" s="187" t="str">
        <f t="shared" si="40"/>
        <v/>
      </c>
      <c r="AB111" s="187" t="str">
        <f t="shared" si="23"/>
        <v/>
      </c>
      <c r="AC111" s="1137" t="str">
        <f t="shared" si="41"/>
        <v/>
      </c>
      <c r="AD111" s="134"/>
      <c r="AE111" s="1141" t="str">
        <f t="shared" si="42"/>
        <v/>
      </c>
      <c r="AF111" s="1137" t="str">
        <f t="shared" si="43"/>
        <v/>
      </c>
    </row>
    <row r="112" spans="1:32" x14ac:dyDescent="0.2">
      <c r="A112" s="58" t="str">
        <f t="shared" si="21"/>
        <v/>
      </c>
      <c r="B112" s="185" t="str">
        <f>IF(MAX($B$65:B111)&lt;(construct+anal_period),B111+1,"")</f>
        <v/>
      </c>
      <c r="C112" s="185" t="str">
        <f t="shared" si="22"/>
        <v/>
      </c>
      <c r="D112" s="185" t="str">
        <f t="shared" si="25"/>
        <v/>
      </c>
      <c r="E112" s="186" t="str">
        <f t="shared" si="26"/>
        <v/>
      </c>
      <c r="F112" s="59" t="str">
        <f t="shared" si="27"/>
        <v/>
      </c>
      <c r="G112" s="1150"/>
      <c r="H112" s="1159" t="str">
        <f t="shared" si="24"/>
        <v/>
      </c>
      <c r="I112" s="187" t="str">
        <f>IF(OR(C112&lt;0,C112=""),"",-E112*INDEX('Replacement Costs'!$A$16:$H$57,MATCH(C112,'Replacement Costs'!$C$16:$C$57,0),MATCH("Total Yearly Replacement Costs",'Replacement Costs'!$A$16:$H$16,0)))</f>
        <v/>
      </c>
      <c r="J112" s="187" t="str">
        <f>IF(AND(C112&gt;=1,C112&lt;anal_period),WorkingCap*SUM(N112:R112)-WorkingCap*SUM(N111:R111),IF(C112&lt;0,0,IF(B112="","",-SUM(J$65:J111))))</f>
        <v/>
      </c>
      <c r="K112" s="187" t="str">
        <f t="shared" si="28"/>
        <v/>
      </c>
      <c r="L112" s="187" t="str">
        <f t="shared" si="29"/>
        <v/>
      </c>
      <c r="M112" s="187" t="str">
        <f t="shared" si="30"/>
        <v/>
      </c>
      <c r="N112" s="187" t="str">
        <f t="shared" si="31"/>
        <v/>
      </c>
      <c r="O112" s="187" t="str">
        <f>IF(C112="","",IF(C112&lt;0,0,IF(AND(C112=1,start_time&lt;1),-(SUM(B279:E279)*output_kgyear*E112*percnt_var*start_time+SUM(B279:E279)*output_kgyear*E112*(1-start_time)),IF(C112&lt;=start_time,-SUM(B279:E279)*output_kgyear*E112*percnt_var,-SUM(B279:E279)*output_kgyear*E112))))</f>
        <v/>
      </c>
      <c r="P112" s="187" t="str">
        <f t="shared" si="33"/>
        <v/>
      </c>
      <c r="Q112" s="187" t="str">
        <f>IF(C112="","",IF(C112&lt;0,0,IF(AND(C112=1,start_time&lt;1),SUM(K279:N279,T279:V279)*output_kgyear*E112*percnt_revs*start_time+SUM(K279:N279,T279:V279)*output_kgyear*E112*(1-start_time),IF(C112&lt;=start_time,SUM(K279:N279,T279:V279)*output_kgyear*E112*percnt_revs,SUM(K279:N279,T279:V279)*output_kgyear*E112))))</f>
        <v/>
      </c>
      <c r="R112" s="187"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87" t="str">
        <f>IF(B112="","",IF($B$31=0,"",-'Debt Financing Calculations'!E61))</f>
        <v/>
      </c>
      <c r="T112" s="187" t="str">
        <f t="shared" si="35"/>
        <v/>
      </c>
      <c r="U112" s="187" t="str">
        <f>IF(C112="","",IF(C112&lt;-1,0,IF(C112=anal_period,-LOOKUP(C112,depr_yr,depr_cost)-Depreciation!$C$141-Depreciation!$B$166,-LOOKUP(C112,depr_yr,depr_cost))))</f>
        <v/>
      </c>
      <c r="V112" s="187" t="str">
        <f t="shared" si="36"/>
        <v/>
      </c>
      <c r="W112" s="188" t="str">
        <f t="shared" si="37"/>
        <v/>
      </c>
      <c r="X112" s="187" t="str">
        <f t="shared" si="38"/>
        <v/>
      </c>
      <c r="Y112" s="187" t="str">
        <f t="shared" si="39"/>
        <v/>
      </c>
      <c r="Z112" s="187" t="str">
        <f>IF(C112="","",IF($B$31=0,"",-'Debt Financing Calculations'!F61))</f>
        <v/>
      </c>
      <c r="AA112" s="187" t="str">
        <f t="shared" si="40"/>
        <v/>
      </c>
      <c r="AB112" s="187" t="str">
        <f t="shared" si="23"/>
        <v/>
      </c>
      <c r="AC112" s="1137" t="str">
        <f t="shared" si="41"/>
        <v/>
      </c>
      <c r="AD112" s="134"/>
      <c r="AE112" s="1141" t="str">
        <f t="shared" si="42"/>
        <v/>
      </c>
      <c r="AF112" s="1137" t="str">
        <f t="shared" si="43"/>
        <v/>
      </c>
    </row>
    <row r="113" spans="1:33" ht="13.5" thickBot="1" x14ac:dyDescent="0.25">
      <c r="A113" s="61" t="str">
        <f t="shared" si="21"/>
        <v/>
      </c>
      <c r="B113" s="189" t="str">
        <f>IF(MAX($B$65:B112)&lt;(construct+anal_period),B112+1,"")</f>
        <v/>
      </c>
      <c r="C113" s="189" t="str">
        <f t="shared" si="22"/>
        <v/>
      </c>
      <c r="D113" s="189" t="str">
        <f t="shared" si="25"/>
        <v/>
      </c>
      <c r="E113" s="1144" t="str">
        <f t="shared" si="26"/>
        <v/>
      </c>
      <c r="F113" s="1145" t="str">
        <f t="shared" si="27"/>
        <v/>
      </c>
      <c r="G113" s="1152"/>
      <c r="H113" s="1161" t="str">
        <f t="shared" si="24"/>
        <v/>
      </c>
      <c r="I113" s="1146" t="str">
        <f>IF(OR(C113&lt;0,C113=""),"",-E113*INDEX('Replacement Costs'!$A$16:$H$57,MATCH(C113,'Replacement Costs'!$C$16:$C$57,0),MATCH("Total Yearly Replacement Costs",'Replacement Costs'!$A$16:$H$16,0)))</f>
        <v/>
      </c>
      <c r="J113" s="1146" t="str">
        <f>IF(AND(C113&gt;=1,C113&lt;anal_period),WorkingCap*SUM(N113:R113)-WorkingCap*SUM(N112:R112),IF(C113&lt;0,0,IF(B113="","",-SUM(J$65:J112))))</f>
        <v/>
      </c>
      <c r="K113" s="1146" t="str">
        <f t="shared" si="28"/>
        <v/>
      </c>
      <c r="L113" s="1146" t="str">
        <f t="shared" si="29"/>
        <v/>
      </c>
      <c r="M113" s="1146" t="str">
        <f t="shared" si="30"/>
        <v/>
      </c>
      <c r="N113" s="1146" t="str">
        <f t="shared" si="31"/>
        <v/>
      </c>
      <c r="O113" s="1146" t="str">
        <f>IF(C113="","",IF(C113&lt;0,0,IF(AND(C113=1,start_time&lt;1),-(SUM(B280:E280)*output_kgyear*E113*percnt_var*start_time+SUM(B280:E280)*output_kgyear*E113*(1-start_time)),IF(C113&lt;=start_time,-SUM(B280:E280)*output_kgyear*E113*percnt_var,-SUM(B280:E280)*output_kgyear*E113))))</f>
        <v/>
      </c>
      <c r="P113" s="1146" t="str">
        <f t="shared" si="33"/>
        <v/>
      </c>
      <c r="Q113" s="1146" t="str">
        <f>IF(C113="","",IF(C113&lt;0,0,IF(AND(C113=1,start_time&lt;1),SUM(K280:N280,T280:V280)*output_kgyear*E113*percnt_revs*start_time+SUM(K280:N280,T280:V280)*output_kgyear*E113*(1-start_time),IF(C113&lt;=start_time,SUM(K280:N280,T280:V280)*output_kgyear*E113*percnt_revs,SUM(K280:N280,T280:V280)*output_kgyear*E113))))</f>
        <v/>
      </c>
      <c r="R113" s="1146"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1146" t="str">
        <f>IF(B113="","",IF($B$31=0,"",-'Debt Financing Calculations'!E62))</f>
        <v/>
      </c>
      <c r="T113" s="1146" t="str">
        <f t="shared" si="35"/>
        <v/>
      </c>
      <c r="U113" s="1146" t="str">
        <f>IF(C113="","",IF(C113&lt;-1,0,IF(C113=anal_period,-LOOKUP(C113,depr_yr,depr_cost)-Depreciation!$C$141-Depreciation!$B$166,-LOOKUP(C113,depr_yr,depr_cost))))</f>
        <v/>
      </c>
      <c r="V113" s="1146" t="str">
        <f t="shared" si="36"/>
        <v/>
      </c>
      <c r="W113" s="1147" t="str">
        <f t="shared" si="37"/>
        <v/>
      </c>
      <c r="X113" s="1146" t="str">
        <f t="shared" si="38"/>
        <v/>
      </c>
      <c r="Y113" s="1146" t="str">
        <f t="shared" si="39"/>
        <v/>
      </c>
      <c r="Z113" s="1146" t="str">
        <f>IF(C113="","",IF($B$31=0,"",-'Debt Financing Calculations'!F62))</f>
        <v/>
      </c>
      <c r="AA113" s="1146" t="str">
        <f t="shared" si="40"/>
        <v/>
      </c>
      <c r="AB113" s="1146" t="str">
        <f t="shared" si="23"/>
        <v/>
      </c>
      <c r="AC113" s="1148" t="str">
        <f t="shared" si="41"/>
        <v/>
      </c>
      <c r="AD113" s="134"/>
      <c r="AE113" s="1143" t="str">
        <f t="shared" si="42"/>
        <v/>
      </c>
      <c r="AF113" s="1139" t="str">
        <f t="shared" si="43"/>
        <v/>
      </c>
    </row>
    <row r="114" spans="1:33" ht="13.5" thickTop="1" x14ac:dyDescent="0.2">
      <c r="A114" s="134"/>
      <c r="B114" s="134"/>
      <c r="C114" s="134"/>
      <c r="D114" s="134"/>
      <c r="E114" s="1162" t="s">
        <v>149</v>
      </c>
      <c r="F114" s="1163">
        <f t="shared" ref="F114:AC114" ca="1" si="44">SUM(F65:F113)</f>
        <v>7072052490.2670088</v>
      </c>
      <c r="G114" s="1163">
        <f t="shared" ca="1" si="44"/>
        <v>-114481807.47900446</v>
      </c>
      <c r="H114" s="1163">
        <f t="shared" ca="1" si="44"/>
        <v>-78128149.201073185</v>
      </c>
      <c r="I114" s="1163">
        <f t="shared" ca="1" si="44"/>
        <v>-59667352.529087596</v>
      </c>
      <c r="J114" s="1163">
        <f t="shared" ca="1" si="44"/>
        <v>0</v>
      </c>
      <c r="K114" s="1163">
        <f t="shared" ca="1" si="44"/>
        <v>-2552244.0594189293</v>
      </c>
      <c r="L114" s="1163">
        <f t="shared" ca="1" si="44"/>
        <v>42625718.397850558</v>
      </c>
      <c r="M114" s="1163">
        <f t="shared" ca="1" si="44"/>
        <v>-42063068.907400139</v>
      </c>
      <c r="N114" s="1163">
        <f t="shared" ca="1" si="44"/>
        <v>-735322922.38230371</v>
      </c>
      <c r="O114" s="1163">
        <f t="shared" ca="1" si="44"/>
        <v>-3965333405.178998</v>
      </c>
      <c r="P114" s="1163">
        <f t="shared" ca="1" si="44"/>
        <v>-612025550.28161526</v>
      </c>
      <c r="Q114" s="1163">
        <f t="shared" ca="1" si="44"/>
        <v>0</v>
      </c>
      <c r="R114" s="1163">
        <f t="shared" ca="1" si="44"/>
        <v>-739509313.58530438</v>
      </c>
      <c r="S114" s="1163">
        <f t="shared" ca="1" si="44"/>
        <v>-182140555.6990962</v>
      </c>
      <c r="T114" s="1163">
        <f t="shared" ca="1" si="44"/>
        <v>838283392.63014078</v>
      </c>
      <c r="U114" s="1163">
        <f t="shared" ca="1" si="44"/>
        <v>-252277309.20916522</v>
      </c>
      <c r="V114" s="1163">
        <f t="shared" ca="1" si="44"/>
        <v>586006083.42097557</v>
      </c>
      <c r="W114" s="1163">
        <f t="shared" si="44"/>
        <v>11.068200000000001</v>
      </c>
      <c r="X114" s="1163">
        <f t="shared" ca="1" si="44"/>
        <v>-150837965.87255907</v>
      </c>
      <c r="Y114" s="1163">
        <f t="shared" ca="1" si="44"/>
        <v>687445426.75758183</v>
      </c>
      <c r="Z114" s="1163">
        <f t="shared" ca="1" si="44"/>
        <v>-114481807.47900446</v>
      </c>
      <c r="AA114" s="1163">
        <f t="shared" ca="1" si="44"/>
        <v>432615873.48899752</v>
      </c>
      <c r="AB114" s="1163">
        <f t="shared" ca="1" si="44"/>
        <v>6591600903.2039738</v>
      </c>
      <c r="AC114" s="1164">
        <f t="shared" ca="1" si="44"/>
        <v>583453839.36155653</v>
      </c>
      <c r="AD114" s="134"/>
    </row>
    <row r="115" spans="1:33" ht="13.5" thickBot="1" x14ac:dyDescent="0.25">
      <c r="E115" s="1165" t="s">
        <v>150</v>
      </c>
      <c r="F115" s="1146">
        <f t="shared" ref="F115:AC115" ca="1" si="45">NPV(nominal_irr,F65:F113)</f>
        <v>1018251126.9768218</v>
      </c>
      <c r="G115" s="1146">
        <f t="shared" ca="1" si="45"/>
        <v>-104025194.8887839</v>
      </c>
      <c r="H115" s="1146">
        <f t="shared" ca="1" si="45"/>
        <v>-63101959.097968124</v>
      </c>
      <c r="I115" s="1146">
        <f t="shared" ca="1" si="45"/>
        <v>-8862455.8900345266</v>
      </c>
      <c r="J115" s="1146">
        <f t="shared" ca="1" si="45"/>
        <v>-12031376.801621215</v>
      </c>
      <c r="K115" s="1146">
        <f t="shared" ca="1" si="45"/>
        <v>-2319125.5582987401</v>
      </c>
      <c r="L115" s="1146">
        <f t="shared" ca="1" si="45"/>
        <v>693362.44224524871</v>
      </c>
      <c r="M115" s="1146">
        <f t="shared" ca="1" si="45"/>
        <v>-684210.22054694139</v>
      </c>
      <c r="N115" s="1146">
        <f t="shared" ca="1" si="45"/>
        <v>-109218302.61142471</v>
      </c>
      <c r="O115" s="1146">
        <f t="shared" ca="1" si="45"/>
        <v>-579258593.90625048</v>
      </c>
      <c r="P115" s="1146">
        <f t="shared" ca="1" si="45"/>
        <v>-89518773.347720444</v>
      </c>
      <c r="Q115" s="1146">
        <f t="shared" ca="1" si="45"/>
        <v>0</v>
      </c>
      <c r="R115" s="1146">
        <f t="shared" ca="1" si="45"/>
        <v>-103690585.63642766</v>
      </c>
      <c r="S115" s="1146">
        <f t="shared" ca="1" si="45"/>
        <v>-41453697.512087449</v>
      </c>
      <c r="T115" s="1146">
        <f t="shared" ca="1" si="45"/>
        <v>95120326.184609279</v>
      </c>
      <c r="U115" s="1146">
        <f t="shared" ca="1" si="45"/>
        <v>-68145912.174524754</v>
      </c>
      <c r="V115" s="1146">
        <f t="shared" ca="1" si="45"/>
        <v>26974414.010084465</v>
      </c>
      <c r="W115" s="1146">
        <f t="shared" ca="1" si="45"/>
        <v>2.5190315964626389</v>
      </c>
      <c r="X115" s="1146">
        <f t="shared" ca="1" si="45"/>
        <v>-6943214.1661957419</v>
      </c>
      <c r="Y115" s="1146">
        <f t="shared" ca="1" si="45"/>
        <v>88177112.018413484</v>
      </c>
      <c r="Z115" s="1146">
        <f t="shared" ca="1" si="45"/>
        <v>-1862194.670490189</v>
      </c>
      <c r="AA115" s="1146">
        <f t="shared" ca="1" si="45"/>
        <v>7.0926901178497249E-7</v>
      </c>
      <c r="AB115" s="1146">
        <f t="shared" ca="1" si="45"/>
        <v>-70006533.343897372</v>
      </c>
      <c r="AC115" s="1148">
        <f t="shared" ca="1" si="45"/>
        <v>6943214.1661964413</v>
      </c>
      <c r="AD115" s="134"/>
    </row>
    <row r="116" spans="1:33" ht="13.5" thickBot="1" x14ac:dyDescent="0.25">
      <c r="D116" s="191"/>
      <c r="E116" s="1166" t="s">
        <v>1119</v>
      </c>
      <c r="F116" s="1167">
        <f t="shared" ref="F116:AC116" ca="1" si="46">+F65+NPV($X$59,F66:F113)</f>
        <v>1120605730.2605321</v>
      </c>
      <c r="G116" s="1167">
        <f t="shared" ca="1" si="46"/>
        <v>-114481807.47900446</v>
      </c>
      <c r="H116" s="1167">
        <f ca="1">+H65+NPV($X$59,H66:H113)</f>
        <v>-69444968.026495889</v>
      </c>
      <c r="I116" s="1167">
        <f t="shared" ca="1" si="46"/>
        <v>-9753309.9561007936</v>
      </c>
      <c r="J116" s="1167">
        <f t="shared" ca="1" si="46"/>
        <v>-13240770.797720179</v>
      </c>
      <c r="K116" s="1167">
        <f t="shared" ca="1" si="46"/>
        <v>-2552244.0594189293</v>
      </c>
      <c r="L116" s="1167">
        <f t="shared" ca="1" si="46"/>
        <v>763059.23493974109</v>
      </c>
      <c r="M116" s="1167">
        <f t="shared" ca="1" si="46"/>
        <v>-752987.03191631986</v>
      </c>
      <c r="N116" s="1167">
        <f t="shared" ca="1" si="46"/>
        <v>-120196926.38992511</v>
      </c>
      <c r="O116" s="1167">
        <f t="shared" ca="1" si="46"/>
        <v>-637485667.76570714</v>
      </c>
      <c r="P116" s="1167">
        <f t="shared" ca="1" si="46"/>
        <v>-98517200.444633245</v>
      </c>
      <c r="Q116" s="1167">
        <f t="shared" ca="1" si="46"/>
        <v>0</v>
      </c>
      <c r="R116" s="1167">
        <f t="shared" ca="1" si="46"/>
        <v>-114113563.30460134</v>
      </c>
      <c r="S116" s="1167">
        <f t="shared" ca="1" si="46"/>
        <v>-45620623.186002471</v>
      </c>
      <c r="T116" s="1167">
        <f t="shared" ca="1" si="46"/>
        <v>104681821.37268615</v>
      </c>
      <c r="U116" s="1167">
        <f t="shared" ca="1" si="46"/>
        <v>-74995939.266308054</v>
      </c>
      <c r="V116" s="1167">
        <f t="shared" ca="1" si="46"/>
        <v>29685882.10637816</v>
      </c>
      <c r="W116" s="1167">
        <f t="shared" ca="1" si="46"/>
        <v>2.7722446525390634</v>
      </c>
      <c r="X116" s="1167">
        <f t="shared" ca="1" si="46"/>
        <v>-7641146.0541817341</v>
      </c>
      <c r="Y116" s="1167">
        <f t="shared" ca="1" si="46"/>
        <v>97040675.318504453</v>
      </c>
      <c r="Z116" s="1167">
        <f t="shared" ca="1" si="46"/>
        <v>-2049382.4787678625</v>
      </c>
      <c r="AA116" s="1167">
        <f t="shared" ca="1" si="46"/>
        <v>7.6554715633392334E-7</v>
      </c>
      <c r="AB116" s="1167">
        <f t="shared" ca="1" si="46"/>
        <v>-77043590.075625926</v>
      </c>
      <c r="AC116" s="1168">
        <f t="shared" ca="1" si="46"/>
        <v>7641146.0541824829</v>
      </c>
      <c r="AD116" s="1169"/>
      <c r="AE116" s="1170">
        <f ca="1">+AE65+NPV(real_irr,AE66:AE113)</f>
        <v>501103531.08796871</v>
      </c>
      <c r="AF116" s="1171">
        <f ca="1">+AF65+NPV($X$59,AF66:AF113)</f>
        <v>0</v>
      </c>
      <c r="AG116" s="1172"/>
    </row>
    <row r="117" spans="1:33" ht="16.5" thickTop="1" thickBot="1" x14ac:dyDescent="0.25">
      <c r="A117" s="49" t="s">
        <v>79</v>
      </c>
      <c r="B117" s="149"/>
      <c r="C117" s="149"/>
      <c r="D117" s="149"/>
      <c r="E117" s="1173" t="s">
        <v>1175</v>
      </c>
      <c r="F117" s="1187"/>
      <c r="G117" s="1187"/>
      <c r="H117" s="1187">
        <f ca="1">-H116/$AE$116*(1+inflation_rate)^construct/INFLATION_FACTOR</f>
        <v>0.14942045524399045</v>
      </c>
      <c r="I117" s="1187">
        <f ca="1">-I116/$AE$116*(1+inflation_rate)^construct/INFLATION_FACTOR</f>
        <v>2.0985595575770056E-2</v>
      </c>
      <c r="J117" s="1187">
        <f ca="1">-J116/$AE$116*(1+inflation_rate)^construct/INFLATION_FACTOR</f>
        <v>2.8489350007646817E-2</v>
      </c>
      <c r="K117" s="1187">
        <f ca="1">-K116/$AE$116*(1+inflation_rate)^construct/INFLATION_FACTOR</f>
        <v>5.4915061535724839E-3</v>
      </c>
      <c r="L117" s="1187"/>
      <c r="M117" s="1187">
        <f ca="1">-M116/$AE$116*(1+inflation_rate)^construct/INFLATION_FACTOR</f>
        <v>1.6201557621688327E-3</v>
      </c>
      <c r="N117" s="1187">
        <f ca="1">-N116/$AE$116*(1+inflation_rate)^construct/INFLATION_FACTOR</f>
        <v>0.25862031433665061</v>
      </c>
      <c r="O117" s="1187">
        <f ca="1">-O116/$AE$116*(1+inflation_rate)^construct/INFLATION_FACTOR</f>
        <v>1.3716385995415594</v>
      </c>
      <c r="P117" s="1187">
        <f ca="1">-P116/$AE$116*(1+inflation_rate)^construct/INFLATION_FACTOR</f>
        <v>0.21197338494250778</v>
      </c>
      <c r="Q117" s="1187"/>
      <c r="R117" s="1187">
        <f ca="1">-R116/$AE$116*(1+inflation_rate)^construct/INFLATION_FACTOR</f>
        <v>0.24553111712834094</v>
      </c>
      <c r="S117" s="1187">
        <f ca="1">-S116/$AE$116*(1+inflation_rate)^construct/INFLATION_FACTOR</f>
        <v>9.8159081625125419E-2</v>
      </c>
      <c r="T117" s="1187"/>
      <c r="U117" s="1187"/>
      <c r="V117" s="1187"/>
      <c r="W117" s="1187"/>
      <c r="X117" s="1187">
        <f ca="1">-X116/$AE$116*(1+inflation_rate)^construct/INFLATION_FACTOR</f>
        <v>1.6440982758693726E-2</v>
      </c>
      <c r="Y117" s="1187"/>
      <c r="Z117" s="1187">
        <f ca="1">-Z116/$AE$116*(1+inflation_rate)^construct/INFLATION_FACTOR</f>
        <v>4.4095299004201019E-3</v>
      </c>
      <c r="AA117" s="1187"/>
      <c r="AB117" s="1187"/>
      <c r="AC117" s="1188"/>
      <c r="AD117" s="1189"/>
      <c r="AE117" s="1190"/>
      <c r="AF117" s="1190"/>
      <c r="AG117" s="1188">
        <f ca="1">+SUM(F117:AC117)</f>
        <v>2.4127800729764468</v>
      </c>
    </row>
    <row r="118" spans="1:33" ht="15" customHeight="1" thickTop="1" thickBot="1" x14ac:dyDescent="0.25">
      <c r="A118" s="54" t="s">
        <v>80</v>
      </c>
      <c r="B118" s="56" t="s">
        <v>151</v>
      </c>
      <c r="C118" s="56" t="s">
        <v>152</v>
      </c>
      <c r="D118" s="1070" t="s">
        <v>153</v>
      </c>
      <c r="E118" s="1174" t="s">
        <v>1176</v>
      </c>
      <c r="F118" s="1191">
        <f ca="1">F116/$AE$116*(1+inflation_rate)^construct/INFLATION_FACTOR</f>
        <v>2.4111382454761561</v>
      </c>
      <c r="G118" s="1191"/>
      <c r="H118" s="1191"/>
      <c r="I118" s="1191"/>
      <c r="J118" s="1191"/>
      <c r="K118" s="1191"/>
      <c r="L118" s="1191">
        <f ca="1">L116/$AE$116*(1+inflation_rate)^construct/INFLATION_FACTOR</f>
        <v>1.6418275002923967E-3</v>
      </c>
      <c r="M118" s="1191"/>
      <c r="N118" s="1191"/>
      <c r="O118" s="1191"/>
      <c r="P118" s="1191"/>
      <c r="Q118" s="1191">
        <f ca="1">Q116/$AE$116*(1+inflation_rate)^construct/INFLATION_FACTOR</f>
        <v>0</v>
      </c>
      <c r="R118" s="1191"/>
      <c r="S118" s="1191"/>
      <c r="T118" s="1191"/>
      <c r="U118" s="1191"/>
      <c r="V118" s="1191"/>
      <c r="W118" s="1191"/>
      <c r="X118" s="1191"/>
      <c r="Y118" s="1191"/>
      <c r="Z118" s="1191"/>
      <c r="AA118" s="1191"/>
      <c r="AB118" s="1191"/>
      <c r="AC118" s="1192"/>
      <c r="AD118" s="1193"/>
      <c r="AE118" s="1194"/>
      <c r="AF118" s="1194"/>
      <c r="AG118" s="1192">
        <f ca="1">+SUM(F118:AC118)</f>
        <v>2.4127800729764486</v>
      </c>
    </row>
    <row r="119" spans="1:33" ht="15" customHeight="1" x14ac:dyDescent="0.2">
      <c r="A119" s="194" t="s">
        <v>154</v>
      </c>
      <c r="B119" s="187">
        <f ca="1">(SUM(H115:K115)+L115*(1-total_tax_rate)+S115*(1-total_tax_rate)+U115*(-total_tax_rate)+Z115)/(1-total_tax_rate)</f>
        <v>-135880661.2544505</v>
      </c>
      <c r="C119" s="195">
        <f t="shared" ref="C119:C125" ca="1" si="47">B119/SUM($B$118:$B$125)</f>
        <v>0.13344513711256975</v>
      </c>
      <c r="D119" s="196">
        <f t="shared" ref="D119:D125" ca="1" si="48">H2_price_real*C119</f>
        <v>0.32175467376492617</v>
      </c>
      <c r="E119" s="192"/>
    </row>
    <row r="120" spans="1:33" ht="15" customHeight="1" x14ac:dyDescent="0.2">
      <c r="A120" s="194" t="s">
        <v>84</v>
      </c>
      <c r="B120" s="187">
        <f ca="1">M115</f>
        <v>-684210.22054694139</v>
      </c>
      <c r="C120" s="195">
        <f t="shared" ca="1" si="47"/>
        <v>6.7194644073545582E-4</v>
      </c>
      <c r="D120" s="196">
        <f t="shared" ca="1" si="48"/>
        <v>1.6201557621688331E-3</v>
      </c>
      <c r="E120" s="192"/>
      <c r="V120" s="151"/>
      <c r="W120" s="134"/>
      <c r="X120" s="134"/>
      <c r="Y120" s="134"/>
    </row>
    <row r="121" spans="1:33" ht="15" customHeight="1" x14ac:dyDescent="0.2">
      <c r="A121" s="194" t="s">
        <v>85</v>
      </c>
      <c r="B121" s="187">
        <f ca="1">N115</f>
        <v>-109218302.61142471</v>
      </c>
      <c r="C121" s="195">
        <f t="shared" ca="1" si="47"/>
        <v>0.10726067442291271</v>
      </c>
      <c r="D121" s="196">
        <f t="shared" ca="1" si="48"/>
        <v>0.25862031433665067</v>
      </c>
      <c r="E121" s="192"/>
      <c r="V121" s="151"/>
      <c r="W121" s="134"/>
      <c r="X121" s="134"/>
      <c r="Y121" s="134"/>
    </row>
    <row r="122" spans="1:33" ht="15" customHeight="1" x14ac:dyDescent="0.2">
      <c r="A122" s="194" t="s">
        <v>1005</v>
      </c>
      <c r="B122" s="187">
        <f ca="1">O115</f>
        <v>-579258593.90625048</v>
      </c>
      <c r="C122" s="195">
        <f t="shared" ca="1" si="47"/>
        <v>0.56887596640925364</v>
      </c>
      <c r="D122" s="196">
        <f t="shared" ca="1" si="48"/>
        <v>1.371638599541559</v>
      </c>
      <c r="E122" s="192"/>
      <c r="V122" s="151"/>
      <c r="W122" s="134"/>
      <c r="X122" s="134"/>
      <c r="Y122" s="134"/>
    </row>
    <row r="123" spans="1:33" ht="15" customHeight="1" x14ac:dyDescent="0.2">
      <c r="A123" s="194" t="s">
        <v>86</v>
      </c>
      <c r="B123" s="187">
        <f ca="1">P115</f>
        <v>-89518773.347720444</v>
      </c>
      <c r="C123" s="195">
        <f t="shared" ca="1" si="47"/>
        <v>8.7914239401336053E-2</v>
      </c>
      <c r="D123" s="196">
        <f t="shared" ca="1" si="48"/>
        <v>0.21197338494250792</v>
      </c>
      <c r="E123" s="192"/>
      <c r="V123" s="151"/>
      <c r="W123" s="134"/>
      <c r="X123" s="134"/>
      <c r="Y123" s="134"/>
    </row>
    <row r="124" spans="1:33" ht="15" customHeight="1" x14ac:dyDescent="0.2">
      <c r="A124" s="194" t="s">
        <v>87</v>
      </c>
      <c r="B124" s="187">
        <f ca="1">Q115</f>
        <v>0</v>
      </c>
      <c r="C124" s="195">
        <f t="shared" ca="1" si="47"/>
        <v>0</v>
      </c>
      <c r="D124" s="196">
        <f t="shared" ca="1" si="48"/>
        <v>0</v>
      </c>
      <c r="E124" s="192"/>
      <c r="V124" s="151"/>
      <c r="W124" s="134"/>
      <c r="X124" s="134"/>
      <c r="Y124" s="134"/>
    </row>
    <row r="125" spans="1:33" ht="29.25" customHeight="1" thickBot="1" x14ac:dyDescent="0.25">
      <c r="A125" s="197" t="s">
        <v>88</v>
      </c>
      <c r="B125" s="190">
        <f ca="1">R115</f>
        <v>-103690585.63642766</v>
      </c>
      <c r="C125" s="198">
        <f t="shared" ca="1" si="47"/>
        <v>0.10183203621319248</v>
      </c>
      <c r="D125" s="199">
        <f t="shared" ca="1" si="48"/>
        <v>0.24553111712834103</v>
      </c>
      <c r="E125" s="192"/>
      <c r="V125" s="151"/>
      <c r="W125" s="134"/>
      <c r="X125" s="134"/>
      <c r="Y125" s="134"/>
    </row>
    <row r="126" spans="1:33" ht="15" customHeight="1" thickTop="1" x14ac:dyDescent="0.2">
      <c r="D126" s="191"/>
      <c r="E126" s="192"/>
      <c r="K126"/>
      <c r="L126"/>
      <c r="M126"/>
      <c r="V126" s="151"/>
      <c r="W126" s="134"/>
      <c r="X126" s="134"/>
      <c r="Y126" s="134"/>
    </row>
    <row r="127" spans="1:33" ht="15" customHeight="1" x14ac:dyDescent="0.2">
      <c r="D127" s="191"/>
      <c r="E127" s="192"/>
      <c r="K127"/>
      <c r="L127"/>
      <c r="M127"/>
      <c r="V127" s="151"/>
      <c r="W127" s="134"/>
      <c r="X127" s="134"/>
      <c r="Y127" s="134"/>
    </row>
    <row r="128" spans="1:33" ht="42.75" customHeight="1" thickBot="1" x14ac:dyDescent="0.25">
      <c r="A128" s="228" t="s">
        <v>261</v>
      </c>
      <c r="B128" s="417">
        <f>(1+inflation_rate)^(startup_year-ref_year)</f>
        <v>0.9813542688910698</v>
      </c>
      <c r="P128" s="822"/>
    </row>
    <row r="129" spans="1:22" ht="51.75" customHeight="1" thickBot="1" x14ac:dyDescent="0.25">
      <c r="A129" s="200" t="s">
        <v>155</v>
      </c>
      <c r="B129" s="201"/>
      <c r="C129" s="201"/>
      <c r="D129" s="201"/>
      <c r="E129" s="201"/>
      <c r="F129" s="201"/>
      <c r="G129" s="201"/>
      <c r="H129" s="201"/>
      <c r="I129" s="201"/>
      <c r="J129" s="201"/>
      <c r="K129" s="201"/>
      <c r="L129" s="201"/>
      <c r="M129" s="201"/>
      <c r="N129" s="201"/>
      <c r="O129" s="201"/>
      <c r="P129" s="821"/>
      <c r="Q129" s="201"/>
      <c r="R129" s="201"/>
      <c r="S129" s="201"/>
      <c r="T129" s="201"/>
      <c r="U129" s="201"/>
      <c r="V129" s="236"/>
    </row>
    <row r="130" spans="1:22" ht="31.9" customHeight="1" thickTop="1" thickBot="1" x14ac:dyDescent="0.25">
      <c r="A130" s="374"/>
      <c r="B130" s="202" t="s">
        <v>67</v>
      </c>
      <c r="C130" s="230"/>
      <c r="D130" s="230"/>
      <c r="E130" s="149"/>
      <c r="F130" s="203" t="s">
        <v>68</v>
      </c>
      <c r="G130" s="230"/>
      <c r="H130" s="230"/>
      <c r="I130" s="231"/>
      <c r="J130" s="595" t="s">
        <v>1003</v>
      </c>
      <c r="K130" s="233" t="s">
        <v>69</v>
      </c>
      <c r="L130" s="149"/>
      <c r="M130" s="149"/>
      <c r="N130" s="193"/>
      <c r="O130" s="395" t="s">
        <v>70</v>
      </c>
      <c r="P130" s="400"/>
      <c r="Q130" s="400"/>
      <c r="R130" s="401"/>
      <c r="S130" s="202" t="s">
        <v>73</v>
      </c>
      <c r="T130" s="411"/>
      <c r="U130" s="411"/>
      <c r="V130" s="412"/>
    </row>
    <row r="131" spans="1:22" ht="30.75" customHeight="1" thickTop="1" thickBot="1" x14ac:dyDescent="0.3">
      <c r="A131" s="375" t="s">
        <v>263</v>
      </c>
      <c r="B131" s="377" t="str">
        <f>Input_Sheet_Template!$B$75</f>
        <v>Woody Biomass</v>
      </c>
      <c r="C131" s="378"/>
      <c r="D131" s="378"/>
      <c r="E131" s="378"/>
      <c r="F131" s="379" t="str">
        <f>Input_Sheet_Template!$B$78</f>
        <v>Commercial Natural Gas</v>
      </c>
      <c r="G131" s="378" t="str">
        <f>Input_Sheet_Template!$B$80</f>
        <v>Commercial Electricity</v>
      </c>
      <c r="H131" s="378"/>
      <c r="I131" s="380"/>
      <c r="J131" s="603" t="str">
        <f ca="1">IF(CO2_CashFlow_eUse&gt;0,'HyARC Physical Property Data'!A77,"")</f>
        <v/>
      </c>
      <c r="K131" s="597"/>
      <c r="L131" s="381"/>
      <c r="M131" s="381"/>
      <c r="N131" s="382"/>
      <c r="O131" s="396" t="s">
        <v>71</v>
      </c>
      <c r="P131" s="402" t="str">
        <f>Input_Sheet_Template!$B$140</f>
        <v>Process Water</v>
      </c>
      <c r="Q131" s="402" t="str">
        <f>Input_Sheet_Template!$B$142</f>
        <v>Cooling Water</v>
      </c>
      <c r="R131" s="403"/>
      <c r="S131" s="396" t="s">
        <v>71</v>
      </c>
      <c r="T131" s="402"/>
      <c r="U131" s="402"/>
      <c r="V131" s="403"/>
    </row>
    <row r="132" spans="1:22" ht="31.5" customHeight="1" thickBot="1" x14ac:dyDescent="0.3">
      <c r="A132" s="376" t="s">
        <v>934</v>
      </c>
      <c r="B132" s="383">
        <f>Input_Sheet_Template!$C$75</f>
        <v>1.9551069237418006E-2</v>
      </c>
      <c r="C132" s="384"/>
      <c r="D132" s="384"/>
      <c r="E132" s="384"/>
      <c r="F132" s="385">
        <f>Input_Sheet_Template!$C$78</f>
        <v>1.0549999999999999</v>
      </c>
      <c r="G132" s="384">
        <f>Input_Sheet_Template!$C$80</f>
        <v>3.5999999999999995E-3</v>
      </c>
      <c r="H132" s="384"/>
      <c r="I132" s="386"/>
      <c r="J132" s="604">
        <f ca="1">IF(J131="",0,VLOOKUP(J131,MASTER_PROPERTY_TABLE,9,FALSE))</f>
        <v>0</v>
      </c>
      <c r="K132" s="598"/>
      <c r="L132" s="387"/>
      <c r="M132" s="387"/>
      <c r="N132" s="388"/>
      <c r="O132" s="397" t="s">
        <v>264</v>
      </c>
      <c r="P132" s="823">
        <f>Input_Sheet_Template!$D$140</f>
        <v>1.321</v>
      </c>
      <c r="Q132" s="823">
        <f>Input_Sheet_Template!$D$142</f>
        <v>79.260000000000005</v>
      </c>
      <c r="R132" s="824"/>
      <c r="S132" s="397" t="s">
        <v>264</v>
      </c>
      <c r="T132" s="404"/>
      <c r="U132" s="404"/>
      <c r="V132" s="405"/>
    </row>
    <row r="133" spans="1:22" ht="16.5" customHeight="1" thickBot="1" x14ac:dyDescent="0.3">
      <c r="A133" s="376" t="s">
        <v>264</v>
      </c>
      <c r="B133" s="383">
        <f ca="1">feedstockWoody_Biomass_Usage</f>
        <v>13.49</v>
      </c>
      <c r="C133" s="384"/>
      <c r="D133" s="384"/>
      <c r="E133" s="384"/>
      <c r="F133" s="385">
        <f ca="1">utilityCommercial_Natural_Gas_Usage</f>
        <v>5.8999999999999999E-3</v>
      </c>
      <c r="G133" s="384">
        <f ca="1">utilityCommercial_Electricity_Usage</f>
        <v>0.98</v>
      </c>
      <c r="H133" s="384"/>
      <c r="I133" s="386"/>
      <c r="J133" s="604">
        <f ca="1" xml:space="preserve"> CO2_eUse_kWhpkg</f>
        <v>0</v>
      </c>
      <c r="K133" s="598"/>
      <c r="L133" s="387"/>
      <c r="M133" s="387"/>
      <c r="N133" s="388"/>
      <c r="O133" s="397" t="s">
        <v>72</v>
      </c>
      <c r="P133" s="404">
        <f>Input_Sheet_Template!$C$140</f>
        <v>2.374951094500801E-3</v>
      </c>
      <c r="Q133" s="404">
        <f>Input_Sheet_Template!$C$142</f>
        <v>1.1334993860117458E-4</v>
      </c>
      <c r="R133" s="405"/>
      <c r="S133" s="397" t="s">
        <v>74</v>
      </c>
      <c r="T133" s="404"/>
      <c r="U133" s="404"/>
      <c r="V133" s="405"/>
    </row>
    <row r="134" spans="1:22" ht="16.5" customHeight="1" thickBot="1" x14ac:dyDescent="0.3">
      <c r="A134" s="376" t="s">
        <v>265</v>
      </c>
      <c r="B134" s="383">
        <f>feedstockWoody_Biomass_Price</f>
        <v>9.9647594727723249E-2</v>
      </c>
      <c r="C134" s="384"/>
      <c r="D134" s="384"/>
      <c r="E134" s="384"/>
      <c r="F134" s="385">
        <f>utilityCommercial_Natural_Gas_Price</f>
        <v>8.5551732446368014</v>
      </c>
      <c r="G134" s="384">
        <f>utilityCommercial_Electricity_Price</f>
        <v>0.10775596291985907</v>
      </c>
      <c r="H134" s="384"/>
      <c r="I134" s="386"/>
      <c r="J134" s="604">
        <f ca="1">IF(J131="",0,CO2_eCost)</f>
        <v>0</v>
      </c>
      <c r="K134" s="598"/>
      <c r="L134" s="387"/>
      <c r="M134" s="387"/>
      <c r="N134" s="388"/>
      <c r="O134" s="398" t="s">
        <v>266</v>
      </c>
      <c r="P134" s="406" t="str">
        <f>Input_Sheet_Template!$F$140</f>
        <v>Yes</v>
      </c>
      <c r="Q134" s="406" t="str">
        <f>Input_Sheet_Template!$F$142</f>
        <v>Yes</v>
      </c>
      <c r="R134" s="407"/>
      <c r="S134" s="398" t="s">
        <v>266</v>
      </c>
      <c r="T134" s="413"/>
      <c r="U134" s="413"/>
      <c r="V134" s="414"/>
    </row>
    <row r="135" spans="1:22" ht="16.5" customHeight="1" thickBot="1" x14ac:dyDescent="0.3">
      <c r="A135" s="418" t="s">
        <v>266</v>
      </c>
      <c r="B135" s="389" t="str">
        <f>Input_Sheet_Template!$G$75</f>
        <v>yes</v>
      </c>
      <c r="C135" s="390"/>
      <c r="D135" s="390"/>
      <c r="E135" s="390"/>
      <c r="F135" s="391" t="str">
        <f>Input_Sheet_Template!$G$78</f>
        <v>yes</v>
      </c>
      <c r="G135" s="390" t="str">
        <f>Input_Sheet_Template!$G$80</f>
        <v>yes</v>
      </c>
      <c r="H135" s="390"/>
      <c r="I135" s="392"/>
      <c r="J135" s="605" t="str">
        <f ca="1">IF(J131="","","yes")</f>
        <v/>
      </c>
      <c r="K135" s="599"/>
      <c r="L135" s="393"/>
      <c r="M135" s="393"/>
      <c r="N135" s="394"/>
      <c r="O135" s="399"/>
      <c r="P135" s="408"/>
      <c r="Q135" s="408"/>
      <c r="R135" s="409"/>
      <c r="S135" s="410"/>
      <c r="T135" s="415"/>
      <c r="U135" s="415"/>
      <c r="V135" s="416"/>
    </row>
    <row r="136" spans="1:22" ht="30" customHeight="1" thickBot="1" x14ac:dyDescent="0.3">
      <c r="A136" s="376" t="s">
        <v>530</v>
      </c>
      <c r="B136" s="534">
        <f ca="1">IF(B131="",0,VLOOKUP(B131,MASTER_PROPERTY_TABLE,11,FALSE)*B132*B133)</f>
        <v>25.814357775672725</v>
      </c>
      <c r="C136" s="535">
        <f>IF(C131="",0,VLOOKUP(C131,MASTER_PROPERTY_TABLE,11,FALSE)*C132*C133)</f>
        <v>0</v>
      </c>
      <c r="D136" s="535">
        <f>IF(D131="",0,VLOOKUP(D131,MASTER_PROPERTY_TABLE,11,FALSE)*D132*D133)</f>
        <v>0</v>
      </c>
      <c r="E136" s="536">
        <f>IF(E131="",0,VLOOKUP(E131,MASTER_PROPERTY_TABLE,11,FALSE)*E132*E133)</f>
        <v>0</v>
      </c>
      <c r="F136" s="534">
        <f ca="1">IF(F131="",,VLOOKUP(F131,MASTER_PROPERTY_TABLE,11,FALSE)*F132*F133)</f>
        <v>0.3505348253645304</v>
      </c>
      <c r="G136" s="535">
        <f ca="1">IF(G131="",,VLOOKUP(G131,MASTER_PROPERTY_TABLE,11,FALSE)*G132*G133)</f>
        <v>0</v>
      </c>
      <c r="H136" s="535">
        <f>IF(H131="",,VLOOKUP(H131,MASTER_PROPERTY_TABLE,11,FALSE)*H132*H133)</f>
        <v>0</v>
      </c>
      <c r="I136" s="535">
        <f>IF(I131="",,VLOOKUP(I131,MASTER_PROPERTY_TABLE,11,FALSE)*I132*I133)</f>
        <v>0</v>
      </c>
      <c r="J136" s="536">
        <f ca="1">IF($J$131="",0,VLOOKUP($J$131,MASTER_PROPERTY_TABLE,12,FALSE)*$J$132*$J$133)</f>
        <v>0</v>
      </c>
      <c r="K136" s="384"/>
      <c r="L136" s="387"/>
      <c r="M136" s="387"/>
      <c r="N136" s="388"/>
      <c r="O136" s="421"/>
      <c r="P136" s="419"/>
      <c r="Q136" s="419"/>
      <c r="R136" s="420"/>
      <c r="S136" s="422"/>
      <c r="T136" s="423"/>
      <c r="U136" s="423"/>
      <c r="V136" s="424"/>
    </row>
    <row r="137" spans="1:22" ht="30" customHeight="1" thickBot="1" x14ac:dyDescent="0.3">
      <c r="A137" s="533" t="s">
        <v>935</v>
      </c>
      <c r="B137" s="425">
        <f ca="1">IF(B131="",0,IF(VLOOKUP(B131,MASTER_PROPERTY_TABLE,12,FALSE)="English",mmBTU_to_GJ,1))</f>
        <v>1</v>
      </c>
      <c r="C137" s="426">
        <f>IF(C131="",0,IF(VLOOKUP(C131,MASTER_PROPERTY_TABLE,12,FALSE)="English",mmBTU_to_GJ,1))</f>
        <v>0</v>
      </c>
      <c r="D137" s="426">
        <f>IF(D131="",0,IF(VLOOKUP(D131,MASTER_PROPERTY_TABLE,12,FALSE)="English",mmBTU_to_GJ,1))</f>
        <v>0</v>
      </c>
      <c r="E137" s="427">
        <f>IF(E131="",,IF(VLOOKUP(E131,MASTER_PROPERTY_TABLE,12,FALSE)="English",mmBTU_to_GJ,1))</f>
        <v>0</v>
      </c>
      <c r="F137" s="425">
        <f ca="1">IF(F131="",,IF(VLOOKUP(F131,MASTER_PROPERTY_TABLE,12,FALSE)="English",mmBTU_to_GJ,1))</f>
        <v>1</v>
      </c>
      <c r="G137" s="426">
        <f ca="1">IF(G131="",,IF(VLOOKUP(G131,MASTER_PROPERTY_TABLE,12,FALSE)="English",mmBTU_to_GJ,1))</f>
        <v>1</v>
      </c>
      <c r="H137" s="426">
        <f>IF(H131="",,IF(VLOOKUP(H131,MASTER_PROPERTY_TABLE,12,FALSE)="English",mmBTU_to_GJ,1))</f>
        <v>0</v>
      </c>
      <c r="I137" s="426">
        <f>IF(I131="",,IF(VLOOKUP(I131,MASTER_PROPERTY_TABLE,12,FALSE)="English",mmBTU_to_GJ,1))</f>
        <v>0</v>
      </c>
      <c r="J137" s="427">
        <f ca="1">IF($J$131="",0,IF(VLOOKUP($J$131,MASTER_PROPERTY_TABLE,12,FALSE)="English",mmBTU_to_GJ,1))</f>
        <v>0</v>
      </c>
      <c r="K137" s="426">
        <f>IF(K131="",,IF(VLOOKUP(K131,MASTER_PROPERTY_TABLE,12,FALSE)="English",mmBTU_to_GJ,1))</f>
        <v>0</v>
      </c>
      <c r="L137" s="426">
        <f>IF(L131="",,IF(VLOOKUP(L131,MASTER_PROPERTY_TABLE,12,FALSE)="English",mmBTU_to_GJ,1))</f>
        <v>0</v>
      </c>
      <c r="M137" s="426">
        <f>IF(M131="",,IF(VLOOKUP(M131,MASTER_PROPERTY_TABLE,12,FALSE)="English",mmBTU_to_GJ,1))</f>
        <v>0</v>
      </c>
      <c r="N137" s="426">
        <f>IF(N131="",,IF(VLOOKUP(N131,MASTER_PROPERTY_TABLE,12,FALSE)="English",mmBTU_to_GJ,1))</f>
        <v>0</v>
      </c>
      <c r="O137" s="532"/>
      <c r="P137" s="530"/>
      <c r="Q137" s="530"/>
      <c r="R137" s="531"/>
      <c r="S137" s="410"/>
      <c r="T137" s="415"/>
      <c r="U137" s="415"/>
      <c r="V137" s="416"/>
    </row>
    <row r="138" spans="1:22" ht="38.25" customHeight="1" thickTop="1" x14ac:dyDescent="0.2">
      <c r="A138" s="204" t="s">
        <v>1035</v>
      </c>
      <c r="B138" s="237" t="str">
        <f t="shared" ref="B138:N138" si="49">IF(B$131="","",B$131&amp;" ($/kg of H2)")</f>
        <v>Woody Biomass ($/kg of H2)</v>
      </c>
      <c r="C138" s="237" t="str">
        <f t="shared" si="49"/>
        <v/>
      </c>
      <c r="D138" s="237" t="str">
        <f t="shared" si="49"/>
        <v/>
      </c>
      <c r="E138" s="237" t="str">
        <f t="shared" si="49"/>
        <v/>
      </c>
      <c r="F138" s="237" t="str">
        <f t="shared" si="49"/>
        <v>Commercial Natural Gas ($/kg of H2)</v>
      </c>
      <c r="G138" s="237" t="str">
        <f t="shared" si="49"/>
        <v>Commercial Electricity ($/kg of H2)</v>
      </c>
      <c r="H138" s="237" t="str">
        <f t="shared" si="49"/>
        <v/>
      </c>
      <c r="I138" s="596" t="str">
        <f t="shared" si="49"/>
        <v/>
      </c>
      <c r="J138" s="602"/>
      <c r="K138" s="600" t="str">
        <f t="shared" si="49"/>
        <v/>
      </c>
      <c r="L138" s="237" t="str">
        <f t="shared" si="49"/>
        <v/>
      </c>
      <c r="M138" s="237" t="str">
        <f t="shared" si="49"/>
        <v/>
      </c>
      <c r="N138" s="237" t="str">
        <f t="shared" si="49"/>
        <v/>
      </c>
      <c r="O138" s="237"/>
      <c r="P138" s="237" t="str">
        <f>IF(P$131="","",P$131&amp;" ($/kg of H2)")</f>
        <v>Process Water ($/kg of H2)</v>
      </c>
      <c r="Q138" s="237" t="str">
        <f>IF(Q$131="","",Q$131&amp;" ($/kg of H2)")</f>
        <v>Cooling Water ($/kg of H2)</v>
      </c>
      <c r="R138" s="237" t="str">
        <f>IF(R$131="","",R$131&amp;" ($/kg of H2)")</f>
        <v/>
      </c>
      <c r="S138" s="238"/>
      <c r="T138" s="237" t="str">
        <f>IF(T$131="","",T$131&amp;" ($/kg of H2)")</f>
        <v/>
      </c>
      <c r="U138" s="237" t="str">
        <f>IF(U$131="","",U$131&amp;" ($/kg of H2)")</f>
        <v/>
      </c>
      <c r="V138" s="237" t="str">
        <f>IF(V$131="","",V$131&amp;" ($/kg of H2)")</f>
        <v/>
      </c>
    </row>
    <row r="139" spans="1:22" ht="15" customHeight="1" x14ac:dyDescent="0.2">
      <c r="A139" s="205">
        <f t="shared" ref="A139:A182" si="50">IF(A65="","",A65)</f>
        <v>2012</v>
      </c>
      <c r="B139" s="207">
        <f ca="1">IF($A139="","",IF($B$131="","",IF($B$135="no",INFLATION_FACTOR*$B$133*$B$134,INFLATION_FACTOR*$B$133*$B$132*INDEX(FEEDPRICETABLE,MATCH($B$131,List_Energy_Feedstocks,0),MATCH($A139,Feedstock_Year,0)))))</f>
        <v>1.3191816024308016</v>
      </c>
      <c r="C139" s="207" t="str">
        <f t="shared" ref="C139:C182" si="51">IF($A139="","",IF($C$131="","",IF($C$135="no",INFLATION_FACTOR*$C$133*$C$134,INFLATION_FACTOR*$C$133*$C$132*INDEX(FEEDPRICETABLE,MATCH($C$131,List_Energy_Feedstocks,0),MATCH($A139,Feedstock_Year,0)))))</f>
        <v/>
      </c>
      <c r="D139" s="207" t="str">
        <f t="shared" ref="D139:D182" si="52">IF($A139="","",IF($D$131="","",IF($D$135="no",INFLATION_FACTOR*$D$133*$D$134,INFLATION_FACTOR*$D$133*$D$132*INDEX(FEEDPRICETABLE,MATCH($D$131,List_Energy_Feedstocks,0),MATCH($A139,Feedstock_Year,0)))))</f>
        <v/>
      </c>
      <c r="E139" s="234" t="str">
        <f t="shared" ref="E139:E182" si="53">IF($A139="","",IF($E$131="","",IF($E$135="no",INFLATION_FACTOR*$E$133*$E$134,INFLATION_FACTOR*$E$133*$E$132*INDEX(FEEDPRICETABLE,MATCH($E$131,List_Energy_Feedstocks,0),MATCH($A139,Feedstock_Year,0)))))</f>
        <v/>
      </c>
      <c r="F139" s="206">
        <f ca="1">IF($A139="","",IF($F$131="","",IF($F$135="no",INFLATION_FACTOR*$F$133*$F$134,INFLATION_FACTOR*$F$133*$F$132*INDEX(FEEDPRICETABLE,MATCH($F$131,List_Energy_Feedstocks,0),MATCH($A139,Feedstock_Year,0)))))</f>
        <v>5.3036875635967817E-2</v>
      </c>
      <c r="G139" s="207">
        <f t="shared" ref="G139:G182" ca="1" si="54">IF($A139="","",IF($G$131="","",IF($G$135="no",INFLATION_FACTOR*$G$133*$G$134,INFLATION_FACTOR*$G$133*$G$132*INDEX(FEEDPRICETABLE,MATCH($G$131,List_Energy_Feedstocks,0),MATCH($A139,Feedstock_Year,0)))))</f>
        <v>0.10275560077068964</v>
      </c>
      <c r="H139" s="207" t="str">
        <f t="shared" ref="H139:H182" si="55">IF($A139="","",IF($H$131="","",IF($H$135="no",INFLATION_FACTOR*$H$133*$H$134,INFLATION_FACTOR*$H$133*$H$132*INDEX(FEEDPRICETABLE,MATCH(H$131,List_Energy_Feedstocks,0),MATCH($A139,Feedstock_Year,0)))))</f>
        <v/>
      </c>
      <c r="I139" s="234" t="str">
        <f t="shared" ref="I139:I182" si="56">IF($A139="","",IF($I$131="","",IF($I$135="no",INFLATION_FACTOR*$I$133*$I$134,INFLATION_FACTOR*$I$133*$I$132*INDEX(FEEDPRICETABLE,MATCH($I$131,List_Energy_Feedstocks,0),MATCH($A139,Feedstock_Year,0)))))</f>
        <v/>
      </c>
      <c r="J139" s="601" t="str">
        <f t="shared" ref="J139:J182" ca="1" si="57">IF($A139="","",IF($J$131="","",IF($J$135="no",INFLATION_FACTOR*$J$133*$J$134,INFLATION_FACTOR*$J$133*$J$132*INDEX(FEEDPRICETABLE,MATCH($J$131,List_Energy_Feedstocks,0),MATCH($A139,Feedstock_Year,0)))))</f>
        <v/>
      </c>
      <c r="K139" s="232" t="str">
        <f t="shared" ref="K139:K182" si="58">IF($A139="","",IF($K$131="","",IF($K$135="no",INFLATION_FACTOR*$K$133*$K$134,INFLATION_FACTOR*$K$133*$K$132*INDEX(FEEDPRICETABLE,MATCH($K$131,List_Energy_Feedstocks,0),MATCH($A139,Feedstock_Year,0)))))</f>
        <v/>
      </c>
      <c r="L139" s="232" t="str">
        <f t="shared" ref="L139:L182" si="59">IF($A139="","",IF($L$131="","",IF($L$135="no",INFLATION_FACTOR*$L$133*$L$134,INFLATION_FACTOR*$L$133*$L$132*INDEX(FEEDPRICETABLE,MATCH($L$131,List_Energy_Feedstocks,0),MATCH($A139,Feedstock_Year,0)))))</f>
        <v/>
      </c>
      <c r="M139" s="207" t="str">
        <f t="shared" ref="M139:M182" si="60">IF($A139="","",IF(M$131="","",IF($M$135="no",INFLATION_FACTOR*$M$133*$M$134,INFLATION_FACTOR*$M$133*$M$132*INDEX(FEEDPRICETABLE,MATCH($M$131,List_Energy_Feedstocks,0),MATCH($A139,Feedstock_Year,0)))))</f>
        <v/>
      </c>
      <c r="N139" s="235" t="str">
        <f t="shared" ref="N139:N182" si="61">IF($A139="","",IF($N$131="","",IF($N$135="no",INFLATION_FACTOR*$N$133*$N$134,INFLATION_FACTOR*$N$133*$N$132*INDEX(FEEDPRICETABLE,MATCH($N$131,List_Energy_Feedstocks,0),MATCH($A139,Feedstock_Year,0)))))</f>
        <v/>
      </c>
      <c r="O139" s="239"/>
      <c r="P139" s="229">
        <f ca="1">IF(OR($A139="",$P$131=""),"",IF($P$134="No",INFLATION_FACTOR*$P$132*$P$133,INFLATION_FACTOR*$P$132*INDEX(Tbl_Other_Inputs_and_Byproducts,MATCH($P$131,Other_Inputs_List,0),MATCH($A139,Other_Inputs_years,0))))</f>
        <v>3.0788129497895567E-3</v>
      </c>
      <c r="Q139" s="229">
        <f ca="1">IF(OR($A139="",$Q$131=""),"",IF($Q$134="No",INFLATION_FACTOR*$Q$132*$Q$133,INFLATION_FACTOR*$Q$132*INDEX(Tbl_Other_Inputs_and_Byproducts,MATCH($Q$131,Other_Inputs_List,0),MATCH($A139,Other_Inputs_years,0))))</f>
        <v>8.8166007198519133E-3</v>
      </c>
      <c r="R139" s="229" t="str">
        <f t="shared" ref="R139:R182" si="62">IF(OR($A139="",$R$131=""),"",IF($R$134="No",INFLATION_FACTOR*$R$132*$R$133,INFLATION_FACTOR*$R$132*INDEX(Tbl_Other_Inputs_and_Byproducts,MATCH($R$131,Other_Inputs_List,0),MATCH($A139,Other_Inputs_years,0))))</f>
        <v/>
      </c>
      <c r="S139" s="239"/>
      <c r="T139" s="229" t="str">
        <f t="shared" ref="T139:T182" si="63">IF(OR($A139="",$T$131=""),"",IF($T$134="No",INFLATION_FACTOR*$T$132*$T$133,INFLATION_FACTOR*$T$132*INDEX(Tbl_Other_Inputs_and_Byproducts,MATCH($T$131,Other_Inputs_List,0),MATCH($A139,Other_Inputs_years,0))))</f>
        <v/>
      </c>
      <c r="U139" s="229" t="str">
        <f t="shared" ref="U139:U182" si="64">IF(OR($A139="",$U$131=""),"",IF($U$134="No",INFLATION_FACTOR*$U$132*$U$133,INFLATION_FACTOR*$U$132*INDEX(Tbl_Other_Inputs_and_Byproducts,MATCH($U$131,Other_Inputs_List,0),MATCH($A139,Other_Inputs_years,0))))</f>
        <v/>
      </c>
      <c r="V139" s="229" t="str">
        <f t="shared" ref="V139:V182" si="65">IF(OR($A139="",$V$131=""),"",IF($V$134="No",INFLATION_FACTOR*$V$132*$V$133,INFLATION_FACTOR*$V$132*INDEX(Tbl_Other_Inputs_and_Byproducts,MATCH($V$131,Other_Inputs_List,0),MATCH($A139,Other_Inputs_years,0))))</f>
        <v/>
      </c>
    </row>
    <row r="140" spans="1:22" ht="15" customHeight="1" x14ac:dyDescent="0.2">
      <c r="A140" s="205">
        <f t="shared" si="50"/>
        <v>2013</v>
      </c>
      <c r="B140" s="207">
        <f t="shared" ref="B140:B182" ca="1" si="66">IF($A140="","",IF($B$131="","",IF($B$135="no",INFLATION_FACTOR*$B$133*$B$134,INFLATION_FACTOR*$B$133*$B$132*INDEX(FEEDPRICETABLE,MATCH($B$131,List_Energy_Feedstocks,0),MATCH($A140,Feedstock_Year,0)))))</f>
        <v>1.3191816024308016</v>
      </c>
      <c r="C140" s="207" t="str">
        <f t="shared" si="51"/>
        <v/>
      </c>
      <c r="D140" s="207" t="str">
        <f t="shared" si="52"/>
        <v/>
      </c>
      <c r="E140" s="234" t="str">
        <f t="shared" si="53"/>
        <v/>
      </c>
      <c r="F140" s="206">
        <f t="shared" ref="F140:F182" ca="1" si="67">IF($A140="","",IF($F$131="","",IF($F$135="no",INFLATION_FACTOR*$F$133*$F$134,INFLATION_FACTOR*$F$133*$F$132*INDEX(FEEDPRICETABLE,MATCH($F$131,List_Energy_Feedstocks,0),MATCH($A140,Feedstock_Year,0)))))</f>
        <v>5.2066136018411265E-2</v>
      </c>
      <c r="G140" s="207">
        <f t="shared" ca="1" si="54"/>
        <v>0.10282832743552919</v>
      </c>
      <c r="H140" s="207" t="str">
        <f t="shared" si="55"/>
        <v/>
      </c>
      <c r="I140" s="234" t="str">
        <f t="shared" si="56"/>
        <v/>
      </c>
      <c r="J140" s="601" t="str">
        <f t="shared" ca="1" si="57"/>
        <v/>
      </c>
      <c r="K140" s="232" t="str">
        <f t="shared" si="58"/>
        <v/>
      </c>
      <c r="L140" s="232" t="str">
        <f t="shared" si="59"/>
        <v/>
      </c>
      <c r="M140" s="207" t="str">
        <f t="shared" si="60"/>
        <v/>
      </c>
      <c r="N140" s="235" t="str">
        <f t="shared" si="61"/>
        <v/>
      </c>
      <c r="O140" s="240"/>
      <c r="P140" s="229">
        <f t="shared" ref="P140:P182" ca="1" si="68">IF(OR($A140="",$P$131=""),"",IF($P$134="No",INFLATION_FACTOR*$P$132*$P$133,INFLATION_FACTOR*$P$132*INDEX(Tbl_Other_Inputs_and_Byproducts,MATCH($P$131,Other_Inputs_List,0),MATCH($A140,Other_Inputs_years,0))))</f>
        <v>3.0788129497895567E-3</v>
      </c>
      <c r="Q140" s="229">
        <f t="shared" ref="Q140:Q182" ca="1" si="69">IF(OR($A140="",$Q$131=""),"",IF($Q$134="No",INFLATION_FACTOR*$Q$132*$Q$133,INFLATION_FACTOR*$Q$132*INDEX(Tbl_Other_Inputs_and_Byproducts,MATCH($Q$131,Other_Inputs_List,0),MATCH($A140,Other_Inputs_years,0))))</f>
        <v>8.8166007198519133E-3</v>
      </c>
      <c r="R140" s="229" t="str">
        <f t="shared" si="62"/>
        <v/>
      </c>
      <c r="S140" s="239"/>
      <c r="T140" s="229" t="str">
        <f t="shared" si="63"/>
        <v/>
      </c>
      <c r="U140" s="229" t="str">
        <f t="shared" si="64"/>
        <v/>
      </c>
      <c r="V140" s="229" t="str">
        <f t="shared" si="65"/>
        <v/>
      </c>
    </row>
    <row r="141" spans="1:22" ht="15" customHeight="1" x14ac:dyDescent="0.2">
      <c r="A141" s="205">
        <f t="shared" si="50"/>
        <v>2014</v>
      </c>
      <c r="B141" s="207">
        <f t="shared" ca="1" si="66"/>
        <v>1.3191816024308016</v>
      </c>
      <c r="C141" s="207" t="str">
        <f t="shared" si="51"/>
        <v/>
      </c>
      <c r="D141" s="207" t="str">
        <f t="shared" si="52"/>
        <v/>
      </c>
      <c r="E141" s="234" t="str">
        <f t="shared" si="53"/>
        <v/>
      </c>
      <c r="F141" s="206">
        <f t="shared" ca="1" si="67"/>
        <v>5.633984745179435E-2</v>
      </c>
      <c r="G141" s="207">
        <f t="shared" ca="1" si="54"/>
        <v>0.10574293601017723</v>
      </c>
      <c r="H141" s="207" t="str">
        <f t="shared" si="55"/>
        <v/>
      </c>
      <c r="I141" s="234" t="str">
        <f t="shared" si="56"/>
        <v/>
      </c>
      <c r="J141" s="601" t="str">
        <f t="shared" ca="1" si="57"/>
        <v/>
      </c>
      <c r="K141" s="232" t="str">
        <f t="shared" si="58"/>
        <v/>
      </c>
      <c r="L141" s="232" t="str">
        <f t="shared" si="59"/>
        <v/>
      </c>
      <c r="M141" s="207" t="str">
        <f t="shared" si="60"/>
        <v/>
      </c>
      <c r="N141" s="235" t="str">
        <f t="shared" si="61"/>
        <v/>
      </c>
      <c r="O141" s="240"/>
      <c r="P141" s="229">
        <f t="shared" ca="1" si="68"/>
        <v>3.0788129497895567E-3</v>
      </c>
      <c r="Q141" s="229">
        <f t="shared" ca="1" si="69"/>
        <v>8.8166007198519133E-3</v>
      </c>
      <c r="R141" s="229" t="str">
        <f t="shared" si="62"/>
        <v/>
      </c>
      <c r="S141" s="239"/>
      <c r="T141" s="229" t="str">
        <f t="shared" si="63"/>
        <v/>
      </c>
      <c r="U141" s="229" t="str">
        <f t="shared" si="64"/>
        <v/>
      </c>
      <c r="V141" s="229" t="str">
        <f t="shared" si="65"/>
        <v/>
      </c>
    </row>
    <row r="142" spans="1:22" ht="15" customHeight="1" x14ac:dyDescent="0.2">
      <c r="A142" s="205">
        <f t="shared" si="50"/>
        <v>2015</v>
      </c>
      <c r="B142" s="207">
        <f t="shared" ca="1" si="66"/>
        <v>1.3191816024308016</v>
      </c>
      <c r="C142" s="207" t="str">
        <f t="shared" si="51"/>
        <v/>
      </c>
      <c r="D142" s="207" t="str">
        <f t="shared" si="52"/>
        <v/>
      </c>
      <c r="E142" s="234" t="str">
        <f t="shared" si="53"/>
        <v/>
      </c>
      <c r="F142" s="206">
        <f t="shared" ca="1" si="67"/>
        <v>4.9534369129889233E-2</v>
      </c>
      <c r="G142" s="207">
        <f t="shared" ca="1" si="54"/>
        <v>0.10363183872567409</v>
      </c>
      <c r="H142" s="207" t="str">
        <f t="shared" si="55"/>
        <v/>
      </c>
      <c r="I142" s="234" t="str">
        <f t="shared" si="56"/>
        <v/>
      </c>
      <c r="J142" s="601" t="str">
        <f t="shared" ca="1" si="57"/>
        <v/>
      </c>
      <c r="K142" s="232" t="str">
        <f t="shared" si="58"/>
        <v/>
      </c>
      <c r="L142" s="232" t="str">
        <f t="shared" si="59"/>
        <v/>
      </c>
      <c r="M142" s="207" t="str">
        <f t="shared" si="60"/>
        <v/>
      </c>
      <c r="N142" s="235" t="str">
        <f t="shared" si="61"/>
        <v/>
      </c>
      <c r="O142" s="240"/>
      <c r="P142" s="229">
        <f t="shared" ca="1" si="68"/>
        <v>3.0788129497895567E-3</v>
      </c>
      <c r="Q142" s="229">
        <f t="shared" ca="1" si="69"/>
        <v>8.8166007198519133E-3</v>
      </c>
      <c r="R142" s="229" t="str">
        <f t="shared" si="62"/>
        <v/>
      </c>
      <c r="S142" s="239"/>
      <c r="T142" s="229" t="str">
        <f t="shared" si="63"/>
        <v/>
      </c>
      <c r="U142" s="229" t="str">
        <f t="shared" si="64"/>
        <v/>
      </c>
      <c r="V142" s="229" t="str">
        <f t="shared" si="65"/>
        <v/>
      </c>
    </row>
    <row r="143" spans="1:22" ht="15" customHeight="1" x14ac:dyDescent="0.2">
      <c r="A143" s="205">
        <f t="shared" si="50"/>
        <v>2016</v>
      </c>
      <c r="B143" s="207">
        <f t="shared" ca="1" si="66"/>
        <v>1.3191816024308016</v>
      </c>
      <c r="C143" s="207" t="str">
        <f t="shared" si="51"/>
        <v/>
      </c>
      <c r="D143" s="207" t="str">
        <f t="shared" si="52"/>
        <v/>
      </c>
      <c r="E143" s="234" t="str">
        <f t="shared" si="53"/>
        <v/>
      </c>
      <c r="F143" s="206">
        <f t="shared" ca="1" si="67"/>
        <v>4.5015463499255073E-2</v>
      </c>
      <c r="G143" s="207">
        <f t="shared" ca="1" si="54"/>
        <v>0.10030811715415112</v>
      </c>
      <c r="H143" s="207" t="str">
        <f t="shared" si="55"/>
        <v/>
      </c>
      <c r="I143" s="234" t="str">
        <f t="shared" si="56"/>
        <v/>
      </c>
      <c r="J143" s="601" t="str">
        <f t="shared" ca="1" si="57"/>
        <v/>
      </c>
      <c r="K143" s="232" t="str">
        <f t="shared" si="58"/>
        <v/>
      </c>
      <c r="L143" s="232" t="str">
        <f t="shared" si="59"/>
        <v/>
      </c>
      <c r="M143" s="207" t="str">
        <f t="shared" si="60"/>
        <v/>
      </c>
      <c r="N143" s="235" t="str">
        <f t="shared" si="61"/>
        <v/>
      </c>
      <c r="O143" s="240"/>
      <c r="P143" s="229">
        <f t="shared" ca="1" si="68"/>
        <v>3.0788129497895567E-3</v>
      </c>
      <c r="Q143" s="229">
        <f t="shared" ca="1" si="69"/>
        <v>8.8166007198519133E-3</v>
      </c>
      <c r="R143" s="229" t="str">
        <f t="shared" si="62"/>
        <v/>
      </c>
      <c r="S143" s="239"/>
      <c r="T143" s="229" t="str">
        <f t="shared" si="63"/>
        <v/>
      </c>
      <c r="U143" s="229" t="str">
        <f t="shared" si="64"/>
        <v/>
      </c>
      <c r="V143" s="229" t="str">
        <f t="shared" si="65"/>
        <v/>
      </c>
    </row>
    <row r="144" spans="1:22" ht="15" customHeight="1" x14ac:dyDescent="0.2">
      <c r="A144" s="205">
        <f t="shared" si="50"/>
        <v>2017</v>
      </c>
      <c r="B144" s="207">
        <f t="shared" ca="1" si="66"/>
        <v>1.3191816024308016</v>
      </c>
      <c r="C144" s="207" t="str">
        <f t="shared" si="51"/>
        <v/>
      </c>
      <c r="D144" s="207" t="str">
        <f t="shared" si="52"/>
        <v/>
      </c>
      <c r="E144" s="234" t="str">
        <f t="shared" si="53"/>
        <v/>
      </c>
      <c r="F144" s="206">
        <f t="shared" ca="1" si="67"/>
        <v>4.5649009309315217E-2</v>
      </c>
      <c r="G144" s="207">
        <f t="shared" ca="1" si="54"/>
        <v>0.10084828527312734</v>
      </c>
      <c r="H144" s="207" t="str">
        <f t="shared" si="55"/>
        <v/>
      </c>
      <c r="I144" s="234" t="str">
        <f t="shared" si="56"/>
        <v/>
      </c>
      <c r="J144" s="601" t="str">
        <f t="shared" ca="1" si="57"/>
        <v/>
      </c>
      <c r="K144" s="232" t="str">
        <f t="shared" si="58"/>
        <v/>
      </c>
      <c r="L144" s="232" t="str">
        <f t="shared" si="59"/>
        <v/>
      </c>
      <c r="M144" s="207" t="str">
        <f t="shared" si="60"/>
        <v/>
      </c>
      <c r="N144" s="235" t="str">
        <f t="shared" si="61"/>
        <v/>
      </c>
      <c r="O144" s="240"/>
      <c r="P144" s="229">
        <f t="shared" ca="1" si="68"/>
        <v>3.0788129497895567E-3</v>
      </c>
      <c r="Q144" s="229">
        <f t="shared" ca="1" si="69"/>
        <v>8.8166007198519133E-3</v>
      </c>
      <c r="R144" s="229" t="str">
        <f t="shared" si="62"/>
        <v/>
      </c>
      <c r="S144" s="239"/>
      <c r="T144" s="229" t="str">
        <f t="shared" si="63"/>
        <v/>
      </c>
      <c r="U144" s="229" t="str">
        <f t="shared" si="64"/>
        <v/>
      </c>
      <c r="V144" s="229" t="str">
        <f t="shared" si="65"/>
        <v/>
      </c>
    </row>
    <row r="145" spans="1:22" ht="15" customHeight="1" x14ac:dyDescent="0.2">
      <c r="A145" s="205">
        <f t="shared" si="50"/>
        <v>2018</v>
      </c>
      <c r="B145" s="207">
        <f t="shared" ca="1" si="66"/>
        <v>1.3191816024308016</v>
      </c>
      <c r="C145" s="207" t="str">
        <f t="shared" si="51"/>
        <v/>
      </c>
      <c r="D145" s="207" t="str">
        <f t="shared" si="52"/>
        <v/>
      </c>
      <c r="E145" s="234" t="str">
        <f t="shared" si="53"/>
        <v/>
      </c>
      <c r="F145" s="206">
        <f t="shared" ca="1" si="67"/>
        <v>4.8771680553205597E-2</v>
      </c>
      <c r="G145" s="207">
        <f t="shared" ca="1" si="54"/>
        <v>0.10038939019281802</v>
      </c>
      <c r="H145" s="207" t="str">
        <f t="shared" si="55"/>
        <v/>
      </c>
      <c r="I145" s="234" t="str">
        <f t="shared" si="56"/>
        <v/>
      </c>
      <c r="J145" s="601" t="str">
        <f t="shared" ca="1" si="57"/>
        <v/>
      </c>
      <c r="K145" s="232" t="str">
        <f t="shared" si="58"/>
        <v/>
      </c>
      <c r="L145" s="232" t="str">
        <f t="shared" si="59"/>
        <v/>
      </c>
      <c r="M145" s="207" t="str">
        <f t="shared" si="60"/>
        <v/>
      </c>
      <c r="N145" s="235" t="str">
        <f t="shared" si="61"/>
        <v/>
      </c>
      <c r="O145" s="240"/>
      <c r="P145" s="229">
        <f t="shared" ca="1" si="68"/>
        <v>3.0788129497895567E-3</v>
      </c>
      <c r="Q145" s="229">
        <f t="shared" ca="1" si="69"/>
        <v>8.8166007198519133E-3</v>
      </c>
      <c r="R145" s="229" t="str">
        <f t="shared" si="62"/>
        <v/>
      </c>
      <c r="S145" s="239"/>
      <c r="T145" s="229" t="str">
        <f t="shared" si="63"/>
        <v/>
      </c>
      <c r="U145" s="229" t="str">
        <f t="shared" si="64"/>
        <v/>
      </c>
      <c r="V145" s="229" t="str">
        <f t="shared" si="65"/>
        <v/>
      </c>
    </row>
    <row r="146" spans="1:22" ht="15" customHeight="1" x14ac:dyDescent="0.2">
      <c r="A146" s="205">
        <f t="shared" si="50"/>
        <v>2019</v>
      </c>
      <c r="B146" s="207">
        <f t="shared" ca="1" si="66"/>
        <v>1.3191816024308016</v>
      </c>
      <c r="C146" s="207" t="str">
        <f t="shared" si="51"/>
        <v/>
      </c>
      <c r="D146" s="207" t="str">
        <f t="shared" si="52"/>
        <v/>
      </c>
      <c r="E146" s="234" t="str">
        <f t="shared" si="53"/>
        <v/>
      </c>
      <c r="F146" s="206">
        <f t="shared" ca="1" si="67"/>
        <v>5.2319262412373155E-2</v>
      </c>
      <c r="G146" s="207">
        <f t="shared" ca="1" si="54"/>
        <v>0.1017710338541402</v>
      </c>
      <c r="H146" s="207" t="str">
        <f t="shared" si="55"/>
        <v/>
      </c>
      <c r="I146" s="234" t="str">
        <f t="shared" si="56"/>
        <v/>
      </c>
      <c r="J146" s="601" t="str">
        <f t="shared" ca="1" si="57"/>
        <v/>
      </c>
      <c r="K146" s="232" t="str">
        <f t="shared" si="58"/>
        <v/>
      </c>
      <c r="L146" s="232" t="str">
        <f t="shared" si="59"/>
        <v/>
      </c>
      <c r="M146" s="207" t="str">
        <f t="shared" si="60"/>
        <v/>
      </c>
      <c r="N146" s="235" t="str">
        <f t="shared" si="61"/>
        <v/>
      </c>
      <c r="O146" s="240"/>
      <c r="P146" s="229">
        <f t="shared" ca="1" si="68"/>
        <v>3.0788129497895567E-3</v>
      </c>
      <c r="Q146" s="229">
        <f t="shared" ca="1" si="69"/>
        <v>8.8166007198519133E-3</v>
      </c>
      <c r="R146" s="229" t="str">
        <f t="shared" si="62"/>
        <v/>
      </c>
      <c r="S146" s="239"/>
      <c r="T146" s="229" t="str">
        <f t="shared" si="63"/>
        <v/>
      </c>
      <c r="U146" s="229" t="str">
        <f t="shared" si="64"/>
        <v/>
      </c>
      <c r="V146" s="229" t="str">
        <f t="shared" si="65"/>
        <v/>
      </c>
    </row>
    <row r="147" spans="1:22" ht="15" customHeight="1" x14ac:dyDescent="0.2">
      <c r="A147" s="205">
        <f t="shared" si="50"/>
        <v>2020</v>
      </c>
      <c r="B147" s="207">
        <f t="shared" ca="1" si="66"/>
        <v>1.3191816024308016</v>
      </c>
      <c r="C147" s="207" t="str">
        <f t="shared" si="51"/>
        <v/>
      </c>
      <c r="D147" s="207" t="str">
        <f t="shared" si="52"/>
        <v/>
      </c>
      <c r="E147" s="234" t="str">
        <f t="shared" si="53"/>
        <v/>
      </c>
      <c r="F147" s="206">
        <f t="shared" ca="1" si="67"/>
        <v>5.5878522061883047E-2</v>
      </c>
      <c r="G147" s="207">
        <f t="shared" ca="1" si="54"/>
        <v>0.10347171954457339</v>
      </c>
      <c r="H147" s="207" t="str">
        <f t="shared" si="55"/>
        <v/>
      </c>
      <c r="I147" s="234" t="str">
        <f t="shared" si="56"/>
        <v/>
      </c>
      <c r="J147" s="601" t="str">
        <f t="shared" ca="1" si="57"/>
        <v/>
      </c>
      <c r="K147" s="232" t="str">
        <f t="shared" si="58"/>
        <v/>
      </c>
      <c r="L147" s="232" t="str">
        <f t="shared" si="59"/>
        <v/>
      </c>
      <c r="M147" s="207" t="str">
        <f t="shared" si="60"/>
        <v/>
      </c>
      <c r="N147" s="235" t="str">
        <f t="shared" si="61"/>
        <v/>
      </c>
      <c r="O147" s="240"/>
      <c r="P147" s="229">
        <f t="shared" ca="1" si="68"/>
        <v>3.0788129497895567E-3</v>
      </c>
      <c r="Q147" s="229">
        <f t="shared" ca="1" si="69"/>
        <v>8.8166007198519133E-3</v>
      </c>
      <c r="R147" s="229" t="str">
        <f t="shared" si="62"/>
        <v/>
      </c>
      <c r="S147" s="239"/>
      <c r="T147" s="229" t="str">
        <f t="shared" si="63"/>
        <v/>
      </c>
      <c r="U147" s="229" t="str">
        <f t="shared" si="64"/>
        <v/>
      </c>
      <c r="V147" s="229" t="str">
        <f t="shared" si="65"/>
        <v/>
      </c>
    </row>
    <row r="148" spans="1:22" ht="15" customHeight="1" x14ac:dyDescent="0.2">
      <c r="A148" s="205">
        <f t="shared" si="50"/>
        <v>2021</v>
      </c>
      <c r="B148" s="207">
        <f t="shared" ca="1" si="66"/>
        <v>1.3191816024308016</v>
      </c>
      <c r="C148" s="207" t="str">
        <f t="shared" si="51"/>
        <v/>
      </c>
      <c r="D148" s="207" t="str">
        <f t="shared" si="52"/>
        <v/>
      </c>
      <c r="E148" s="234" t="str">
        <f t="shared" si="53"/>
        <v/>
      </c>
      <c r="F148" s="206">
        <f t="shared" ca="1" si="67"/>
        <v>5.651217390323976E-2</v>
      </c>
      <c r="G148" s="207">
        <f t="shared" ca="1" si="54"/>
        <v>0.10417491937770104</v>
      </c>
      <c r="H148" s="207" t="str">
        <f t="shared" si="55"/>
        <v/>
      </c>
      <c r="I148" s="234" t="str">
        <f t="shared" si="56"/>
        <v/>
      </c>
      <c r="J148" s="601" t="str">
        <f t="shared" ca="1" si="57"/>
        <v/>
      </c>
      <c r="K148" s="232" t="str">
        <f t="shared" si="58"/>
        <v/>
      </c>
      <c r="L148" s="232" t="str">
        <f t="shared" si="59"/>
        <v/>
      </c>
      <c r="M148" s="207" t="str">
        <f t="shared" si="60"/>
        <v/>
      </c>
      <c r="N148" s="235" t="str">
        <f t="shared" si="61"/>
        <v/>
      </c>
      <c r="O148" s="240"/>
      <c r="P148" s="229">
        <f t="shared" ca="1" si="68"/>
        <v>3.0788129497895567E-3</v>
      </c>
      <c r="Q148" s="229">
        <f t="shared" ca="1" si="69"/>
        <v>8.8166007198519133E-3</v>
      </c>
      <c r="R148" s="229" t="str">
        <f t="shared" si="62"/>
        <v/>
      </c>
      <c r="S148" s="239"/>
      <c r="T148" s="229" t="str">
        <f t="shared" si="63"/>
        <v/>
      </c>
      <c r="U148" s="229" t="str">
        <f t="shared" si="64"/>
        <v/>
      </c>
      <c r="V148" s="229" t="str">
        <f t="shared" si="65"/>
        <v/>
      </c>
    </row>
    <row r="149" spans="1:22" ht="15" customHeight="1" x14ac:dyDescent="0.2">
      <c r="A149" s="205">
        <f t="shared" si="50"/>
        <v>2022</v>
      </c>
      <c r="B149" s="207">
        <f t="shared" ca="1" si="66"/>
        <v>1.3191816024308016</v>
      </c>
      <c r="C149" s="207" t="str">
        <f t="shared" si="51"/>
        <v/>
      </c>
      <c r="D149" s="207" t="str">
        <f t="shared" si="52"/>
        <v/>
      </c>
      <c r="E149" s="234" t="str">
        <f t="shared" si="53"/>
        <v/>
      </c>
      <c r="F149" s="206">
        <f t="shared" ca="1" si="67"/>
        <v>5.6866317224836059E-2</v>
      </c>
      <c r="G149" s="207">
        <f t="shared" ca="1" si="54"/>
        <v>0.107611580535483</v>
      </c>
      <c r="H149" s="207" t="str">
        <f t="shared" si="55"/>
        <v/>
      </c>
      <c r="I149" s="234" t="str">
        <f t="shared" si="56"/>
        <v/>
      </c>
      <c r="J149" s="601" t="str">
        <f t="shared" ca="1" si="57"/>
        <v/>
      </c>
      <c r="K149" s="232" t="str">
        <f t="shared" si="58"/>
        <v/>
      </c>
      <c r="L149" s="232" t="str">
        <f t="shared" si="59"/>
        <v/>
      </c>
      <c r="M149" s="207" t="str">
        <f t="shared" si="60"/>
        <v/>
      </c>
      <c r="N149" s="235" t="str">
        <f t="shared" si="61"/>
        <v/>
      </c>
      <c r="O149" s="240"/>
      <c r="P149" s="229">
        <f t="shared" ca="1" si="68"/>
        <v>3.0788129497895567E-3</v>
      </c>
      <c r="Q149" s="229">
        <f t="shared" ca="1" si="69"/>
        <v>8.8166007198519133E-3</v>
      </c>
      <c r="R149" s="229" t="str">
        <f t="shared" si="62"/>
        <v/>
      </c>
      <c r="S149" s="239"/>
      <c r="T149" s="229" t="str">
        <f t="shared" si="63"/>
        <v/>
      </c>
      <c r="U149" s="229" t="str">
        <f t="shared" si="64"/>
        <v/>
      </c>
      <c r="V149" s="229" t="str">
        <f t="shared" si="65"/>
        <v/>
      </c>
    </row>
    <row r="150" spans="1:22" ht="15" customHeight="1" x14ac:dyDescent="0.2">
      <c r="A150" s="205">
        <f t="shared" si="50"/>
        <v>2023</v>
      </c>
      <c r="B150" s="207">
        <f t="shared" ca="1" si="66"/>
        <v>1.3191816024308016</v>
      </c>
      <c r="C150" s="207" t="str">
        <f t="shared" si="51"/>
        <v/>
      </c>
      <c r="D150" s="207" t="str">
        <f t="shared" si="52"/>
        <v/>
      </c>
      <c r="E150" s="234" t="str">
        <f t="shared" si="53"/>
        <v/>
      </c>
      <c r="F150" s="206">
        <f t="shared" ca="1" si="67"/>
        <v>5.7273540358955176E-2</v>
      </c>
      <c r="G150" s="207">
        <f t="shared" ca="1" si="54"/>
        <v>0.1087144894328842</v>
      </c>
      <c r="H150" s="207" t="str">
        <f t="shared" si="55"/>
        <v/>
      </c>
      <c r="I150" s="234" t="str">
        <f t="shared" si="56"/>
        <v/>
      </c>
      <c r="J150" s="601" t="str">
        <f t="shared" ca="1" si="57"/>
        <v/>
      </c>
      <c r="K150" s="232" t="str">
        <f t="shared" si="58"/>
        <v/>
      </c>
      <c r="L150" s="232" t="str">
        <f t="shared" si="59"/>
        <v/>
      </c>
      <c r="M150" s="207" t="str">
        <f t="shared" si="60"/>
        <v/>
      </c>
      <c r="N150" s="235" t="str">
        <f t="shared" si="61"/>
        <v/>
      </c>
      <c r="O150" s="240"/>
      <c r="P150" s="229">
        <f t="shared" ca="1" si="68"/>
        <v>3.0788129497895567E-3</v>
      </c>
      <c r="Q150" s="229">
        <f t="shared" ca="1" si="69"/>
        <v>8.8166007198519133E-3</v>
      </c>
      <c r="R150" s="229" t="str">
        <f t="shared" si="62"/>
        <v/>
      </c>
      <c r="S150" s="239"/>
      <c r="T150" s="229" t="str">
        <f t="shared" si="63"/>
        <v/>
      </c>
      <c r="U150" s="229" t="str">
        <f t="shared" si="64"/>
        <v/>
      </c>
      <c r="V150" s="229" t="str">
        <f t="shared" si="65"/>
        <v/>
      </c>
    </row>
    <row r="151" spans="1:22" ht="15" customHeight="1" x14ac:dyDescent="0.2">
      <c r="A151" s="205">
        <f t="shared" si="50"/>
        <v>2024</v>
      </c>
      <c r="B151" s="207">
        <f t="shared" ca="1" si="66"/>
        <v>1.3191816024308016</v>
      </c>
      <c r="C151" s="207" t="str">
        <f t="shared" si="51"/>
        <v/>
      </c>
      <c r="D151" s="207" t="str">
        <f t="shared" si="52"/>
        <v/>
      </c>
      <c r="E151" s="234" t="str">
        <f t="shared" si="53"/>
        <v/>
      </c>
      <c r="F151" s="206">
        <f t="shared" ca="1" si="67"/>
        <v>5.7963994778918032E-2</v>
      </c>
      <c r="G151" s="207">
        <f t="shared" ca="1" si="54"/>
        <v>0.10849890151452633</v>
      </c>
      <c r="H151" s="207" t="str">
        <f t="shared" si="55"/>
        <v/>
      </c>
      <c r="I151" s="234" t="str">
        <f t="shared" si="56"/>
        <v/>
      </c>
      <c r="J151" s="601" t="str">
        <f t="shared" ca="1" si="57"/>
        <v/>
      </c>
      <c r="K151" s="232" t="str">
        <f t="shared" si="58"/>
        <v/>
      </c>
      <c r="L151" s="232" t="str">
        <f t="shared" si="59"/>
        <v/>
      </c>
      <c r="M151" s="207" t="str">
        <f t="shared" si="60"/>
        <v/>
      </c>
      <c r="N151" s="235" t="str">
        <f t="shared" si="61"/>
        <v/>
      </c>
      <c r="O151" s="240"/>
      <c r="P151" s="229">
        <f t="shared" ca="1" si="68"/>
        <v>3.0788129497895567E-3</v>
      </c>
      <c r="Q151" s="229">
        <f t="shared" ca="1" si="69"/>
        <v>8.8166007198519133E-3</v>
      </c>
      <c r="R151" s="229" t="str">
        <f t="shared" si="62"/>
        <v/>
      </c>
      <c r="S151" s="239"/>
      <c r="T151" s="229" t="str">
        <f t="shared" si="63"/>
        <v/>
      </c>
      <c r="U151" s="229" t="str">
        <f t="shared" si="64"/>
        <v/>
      </c>
      <c r="V151" s="229" t="str">
        <f t="shared" si="65"/>
        <v/>
      </c>
    </row>
    <row r="152" spans="1:22" ht="15" customHeight="1" x14ac:dyDescent="0.2">
      <c r="A152" s="205">
        <f t="shared" si="50"/>
        <v>2025</v>
      </c>
      <c r="B152" s="207">
        <f t="shared" ca="1" si="66"/>
        <v>1.3191816024308016</v>
      </c>
      <c r="C152" s="207" t="str">
        <f t="shared" si="51"/>
        <v/>
      </c>
      <c r="D152" s="207" t="str">
        <f t="shared" si="52"/>
        <v/>
      </c>
      <c r="E152" s="234" t="str">
        <f t="shared" si="53"/>
        <v/>
      </c>
      <c r="F152" s="206">
        <f t="shared" ca="1" si="67"/>
        <v>5.8728643984818925E-2</v>
      </c>
      <c r="G152" s="207">
        <f t="shared" ca="1" si="54"/>
        <v>0.11028744083222222</v>
      </c>
      <c r="H152" s="207" t="str">
        <f t="shared" si="55"/>
        <v/>
      </c>
      <c r="I152" s="234" t="str">
        <f t="shared" si="56"/>
        <v/>
      </c>
      <c r="J152" s="601" t="str">
        <f t="shared" ca="1" si="57"/>
        <v/>
      </c>
      <c r="K152" s="232" t="str">
        <f t="shared" si="58"/>
        <v/>
      </c>
      <c r="L152" s="232" t="str">
        <f t="shared" si="59"/>
        <v/>
      </c>
      <c r="M152" s="207" t="str">
        <f t="shared" si="60"/>
        <v/>
      </c>
      <c r="N152" s="235" t="str">
        <f t="shared" si="61"/>
        <v/>
      </c>
      <c r="O152" s="240"/>
      <c r="P152" s="229">
        <f t="shared" ca="1" si="68"/>
        <v>3.0788129497895567E-3</v>
      </c>
      <c r="Q152" s="229">
        <f t="shared" ca="1" si="69"/>
        <v>8.8166007198519133E-3</v>
      </c>
      <c r="R152" s="229" t="str">
        <f t="shared" si="62"/>
        <v/>
      </c>
      <c r="S152" s="239"/>
      <c r="T152" s="229" t="str">
        <f t="shared" si="63"/>
        <v/>
      </c>
      <c r="U152" s="229" t="str">
        <f t="shared" si="64"/>
        <v/>
      </c>
      <c r="V152" s="229" t="str">
        <f t="shared" si="65"/>
        <v/>
      </c>
    </row>
    <row r="153" spans="1:22" ht="15" customHeight="1" x14ac:dyDescent="0.2">
      <c r="A153" s="205">
        <f t="shared" si="50"/>
        <v>2026</v>
      </c>
      <c r="B153" s="207">
        <f t="shared" ca="1" si="66"/>
        <v>1.3191816024308016</v>
      </c>
      <c r="C153" s="207" t="str">
        <f t="shared" si="51"/>
        <v/>
      </c>
      <c r="D153" s="207" t="str">
        <f t="shared" si="52"/>
        <v/>
      </c>
      <c r="E153" s="234" t="str">
        <f t="shared" si="53"/>
        <v/>
      </c>
      <c r="F153" s="206">
        <f t="shared" ca="1" si="67"/>
        <v>5.9409968074900843E-2</v>
      </c>
      <c r="G153" s="207">
        <f t="shared" ca="1" si="54"/>
        <v>0.11144866941674852</v>
      </c>
      <c r="H153" s="207" t="str">
        <f t="shared" si="55"/>
        <v/>
      </c>
      <c r="I153" s="234" t="str">
        <f t="shared" si="56"/>
        <v/>
      </c>
      <c r="J153" s="601" t="str">
        <f t="shared" ca="1" si="57"/>
        <v/>
      </c>
      <c r="K153" s="232" t="str">
        <f t="shared" si="58"/>
        <v/>
      </c>
      <c r="L153" s="232" t="str">
        <f t="shared" si="59"/>
        <v/>
      </c>
      <c r="M153" s="207" t="str">
        <f t="shared" si="60"/>
        <v/>
      </c>
      <c r="N153" s="235" t="str">
        <f t="shared" si="61"/>
        <v/>
      </c>
      <c r="O153" s="240"/>
      <c r="P153" s="229">
        <f t="shared" ca="1" si="68"/>
        <v>3.0788129497895567E-3</v>
      </c>
      <c r="Q153" s="229">
        <f t="shared" ca="1" si="69"/>
        <v>8.8166007198519133E-3</v>
      </c>
      <c r="R153" s="229" t="str">
        <f t="shared" si="62"/>
        <v/>
      </c>
      <c r="S153" s="239"/>
      <c r="T153" s="229" t="str">
        <f t="shared" si="63"/>
        <v/>
      </c>
      <c r="U153" s="229" t="str">
        <f t="shared" si="64"/>
        <v/>
      </c>
      <c r="V153" s="229" t="str">
        <f t="shared" si="65"/>
        <v/>
      </c>
    </row>
    <row r="154" spans="1:22" ht="15" customHeight="1" x14ac:dyDescent="0.2">
      <c r="A154" s="205">
        <f t="shared" si="50"/>
        <v>2027</v>
      </c>
      <c r="B154" s="207">
        <f t="shared" ca="1" si="66"/>
        <v>1.3191816024308016</v>
      </c>
      <c r="C154" s="207" t="str">
        <f t="shared" si="51"/>
        <v/>
      </c>
      <c r="D154" s="207" t="str">
        <f t="shared" si="52"/>
        <v/>
      </c>
      <c r="E154" s="234" t="str">
        <f t="shared" si="53"/>
        <v/>
      </c>
      <c r="F154" s="206">
        <f t="shared" ca="1" si="67"/>
        <v>6.1616358318608906E-2</v>
      </c>
      <c r="G154" s="207">
        <f t="shared" ca="1" si="54"/>
        <v>0.11174190862682595</v>
      </c>
      <c r="H154" s="207" t="str">
        <f t="shared" si="55"/>
        <v/>
      </c>
      <c r="I154" s="234" t="str">
        <f t="shared" si="56"/>
        <v/>
      </c>
      <c r="J154" s="601" t="str">
        <f t="shared" ca="1" si="57"/>
        <v/>
      </c>
      <c r="K154" s="232" t="str">
        <f t="shared" si="58"/>
        <v/>
      </c>
      <c r="L154" s="232" t="str">
        <f t="shared" si="59"/>
        <v/>
      </c>
      <c r="M154" s="207" t="str">
        <f t="shared" si="60"/>
        <v/>
      </c>
      <c r="N154" s="235" t="str">
        <f t="shared" si="61"/>
        <v/>
      </c>
      <c r="O154" s="240"/>
      <c r="P154" s="229">
        <f t="shared" ca="1" si="68"/>
        <v>3.0788129497895567E-3</v>
      </c>
      <c r="Q154" s="229">
        <f t="shared" ca="1" si="69"/>
        <v>8.8166007198519133E-3</v>
      </c>
      <c r="R154" s="229" t="str">
        <f t="shared" si="62"/>
        <v/>
      </c>
      <c r="S154" s="239"/>
      <c r="T154" s="229" t="str">
        <f t="shared" si="63"/>
        <v/>
      </c>
      <c r="U154" s="229" t="str">
        <f t="shared" si="64"/>
        <v/>
      </c>
      <c r="V154" s="229" t="str">
        <f t="shared" si="65"/>
        <v/>
      </c>
    </row>
    <row r="155" spans="1:22" ht="15" customHeight="1" x14ac:dyDescent="0.2">
      <c r="A155" s="205">
        <f t="shared" si="50"/>
        <v>2028</v>
      </c>
      <c r="B155" s="207">
        <f t="shared" ca="1" si="66"/>
        <v>1.3191816024308016</v>
      </c>
      <c r="C155" s="207" t="str">
        <f t="shared" si="51"/>
        <v/>
      </c>
      <c r="D155" s="207" t="str">
        <f t="shared" si="52"/>
        <v/>
      </c>
      <c r="E155" s="234" t="str">
        <f t="shared" si="53"/>
        <v/>
      </c>
      <c r="F155" s="206">
        <f t="shared" ca="1" si="67"/>
        <v>6.2298116634905837E-2</v>
      </c>
      <c r="G155" s="207">
        <f t="shared" ca="1" si="54"/>
        <v>0.11199253364283376</v>
      </c>
      <c r="H155" s="207" t="str">
        <f t="shared" si="55"/>
        <v/>
      </c>
      <c r="I155" s="234" t="str">
        <f t="shared" si="56"/>
        <v/>
      </c>
      <c r="J155" s="601" t="str">
        <f t="shared" ca="1" si="57"/>
        <v/>
      </c>
      <c r="K155" s="232" t="str">
        <f t="shared" si="58"/>
        <v/>
      </c>
      <c r="L155" s="232" t="str">
        <f t="shared" si="59"/>
        <v/>
      </c>
      <c r="M155" s="207" t="str">
        <f t="shared" si="60"/>
        <v/>
      </c>
      <c r="N155" s="235" t="str">
        <f t="shared" si="61"/>
        <v/>
      </c>
      <c r="O155" s="240"/>
      <c r="P155" s="229">
        <f t="shared" ca="1" si="68"/>
        <v>3.0788129497895567E-3</v>
      </c>
      <c r="Q155" s="229">
        <f t="shared" ca="1" si="69"/>
        <v>8.8166007198519133E-3</v>
      </c>
      <c r="R155" s="229" t="str">
        <f t="shared" si="62"/>
        <v/>
      </c>
      <c r="S155" s="239"/>
      <c r="T155" s="229" t="str">
        <f t="shared" si="63"/>
        <v/>
      </c>
      <c r="U155" s="229" t="str">
        <f t="shared" si="64"/>
        <v/>
      </c>
      <c r="V155" s="229" t="str">
        <f t="shared" si="65"/>
        <v/>
      </c>
    </row>
    <row r="156" spans="1:22" ht="15" customHeight="1" x14ac:dyDescent="0.2">
      <c r="A156" s="205">
        <f t="shared" si="50"/>
        <v>2029</v>
      </c>
      <c r="B156" s="207">
        <f t="shared" ca="1" si="66"/>
        <v>1.3191816024308016</v>
      </c>
      <c r="C156" s="207" t="str">
        <f t="shared" si="51"/>
        <v/>
      </c>
      <c r="D156" s="207" t="str">
        <f t="shared" si="52"/>
        <v/>
      </c>
      <c r="E156" s="234" t="str">
        <f t="shared" si="53"/>
        <v/>
      </c>
      <c r="F156" s="206">
        <f t="shared" ca="1" si="67"/>
        <v>6.2945866354043201E-2</v>
      </c>
      <c r="G156" s="207">
        <f t="shared" ca="1" si="54"/>
        <v>0.11216988823490903</v>
      </c>
      <c r="H156" s="207" t="str">
        <f t="shared" si="55"/>
        <v/>
      </c>
      <c r="I156" s="234" t="str">
        <f t="shared" si="56"/>
        <v/>
      </c>
      <c r="J156" s="601" t="str">
        <f t="shared" ca="1" si="57"/>
        <v/>
      </c>
      <c r="K156" s="232" t="str">
        <f t="shared" si="58"/>
        <v/>
      </c>
      <c r="L156" s="232" t="str">
        <f t="shared" si="59"/>
        <v/>
      </c>
      <c r="M156" s="207" t="str">
        <f t="shared" si="60"/>
        <v/>
      </c>
      <c r="N156" s="235" t="str">
        <f t="shared" si="61"/>
        <v/>
      </c>
      <c r="O156" s="240"/>
      <c r="P156" s="229">
        <f t="shared" ca="1" si="68"/>
        <v>3.0788129497895567E-3</v>
      </c>
      <c r="Q156" s="229">
        <f t="shared" ca="1" si="69"/>
        <v>8.8166007198519133E-3</v>
      </c>
      <c r="R156" s="229" t="str">
        <f t="shared" si="62"/>
        <v/>
      </c>
      <c r="S156" s="239"/>
      <c r="T156" s="229" t="str">
        <f t="shared" si="63"/>
        <v/>
      </c>
      <c r="U156" s="229" t="str">
        <f t="shared" si="64"/>
        <v/>
      </c>
      <c r="V156" s="229" t="str">
        <f t="shared" si="65"/>
        <v/>
      </c>
    </row>
    <row r="157" spans="1:22" ht="15" customHeight="1" x14ac:dyDescent="0.2">
      <c r="A157" s="205">
        <f t="shared" si="50"/>
        <v>2030</v>
      </c>
      <c r="B157" s="207">
        <f t="shared" ca="1" si="66"/>
        <v>1.3191816024308016</v>
      </c>
      <c r="C157" s="207" t="str">
        <f t="shared" si="51"/>
        <v/>
      </c>
      <c r="D157" s="207" t="str">
        <f t="shared" si="52"/>
        <v/>
      </c>
      <c r="E157" s="234" t="str">
        <f t="shared" si="53"/>
        <v/>
      </c>
      <c r="F157" s="206">
        <f t="shared" ca="1" si="67"/>
        <v>6.3269023292936405E-2</v>
      </c>
      <c r="G157" s="207">
        <f t="shared" ca="1" si="54"/>
        <v>0.11242974096643535</v>
      </c>
      <c r="H157" s="207" t="str">
        <f t="shared" si="55"/>
        <v/>
      </c>
      <c r="I157" s="234" t="str">
        <f t="shared" si="56"/>
        <v/>
      </c>
      <c r="J157" s="601" t="str">
        <f t="shared" ca="1" si="57"/>
        <v/>
      </c>
      <c r="K157" s="232" t="str">
        <f t="shared" si="58"/>
        <v/>
      </c>
      <c r="L157" s="232" t="str">
        <f t="shared" si="59"/>
        <v/>
      </c>
      <c r="M157" s="207" t="str">
        <f t="shared" si="60"/>
        <v/>
      </c>
      <c r="N157" s="235" t="str">
        <f t="shared" si="61"/>
        <v/>
      </c>
      <c r="O157" s="240"/>
      <c r="P157" s="229">
        <f t="shared" ca="1" si="68"/>
        <v>3.0788129497895567E-3</v>
      </c>
      <c r="Q157" s="229">
        <f t="shared" ca="1" si="69"/>
        <v>8.8166007198519133E-3</v>
      </c>
      <c r="R157" s="229" t="str">
        <f t="shared" si="62"/>
        <v/>
      </c>
      <c r="S157" s="239"/>
      <c r="T157" s="229" t="str">
        <f t="shared" si="63"/>
        <v/>
      </c>
      <c r="U157" s="229" t="str">
        <f t="shared" si="64"/>
        <v/>
      </c>
      <c r="V157" s="229" t="str">
        <f t="shared" si="65"/>
        <v/>
      </c>
    </row>
    <row r="158" spans="1:22" ht="15" customHeight="1" x14ac:dyDescent="0.2">
      <c r="A158" s="205">
        <f t="shared" si="50"/>
        <v>2031</v>
      </c>
      <c r="B158" s="207">
        <f t="shared" ca="1" si="66"/>
        <v>1.3191816024308016</v>
      </c>
      <c r="C158" s="207" t="str">
        <f t="shared" si="51"/>
        <v/>
      </c>
      <c r="D158" s="207" t="str">
        <f t="shared" si="52"/>
        <v/>
      </c>
      <c r="E158" s="234" t="str">
        <f t="shared" si="53"/>
        <v/>
      </c>
      <c r="F158" s="206">
        <f t="shared" ca="1" si="67"/>
        <v>6.3696707166306779E-2</v>
      </c>
      <c r="G158" s="207">
        <f t="shared" ca="1" si="54"/>
        <v>0.11226063290675628</v>
      </c>
      <c r="H158" s="207" t="str">
        <f t="shared" si="55"/>
        <v/>
      </c>
      <c r="I158" s="234" t="str">
        <f t="shared" si="56"/>
        <v/>
      </c>
      <c r="J158" s="601" t="str">
        <f t="shared" ca="1" si="57"/>
        <v/>
      </c>
      <c r="K158" s="232" t="str">
        <f t="shared" si="58"/>
        <v/>
      </c>
      <c r="L158" s="232" t="str">
        <f t="shared" si="59"/>
        <v/>
      </c>
      <c r="M158" s="207" t="str">
        <f t="shared" si="60"/>
        <v/>
      </c>
      <c r="N158" s="235" t="str">
        <f t="shared" si="61"/>
        <v/>
      </c>
      <c r="O158" s="240"/>
      <c r="P158" s="229">
        <f t="shared" ca="1" si="68"/>
        <v>3.0788129497895567E-3</v>
      </c>
      <c r="Q158" s="229">
        <f t="shared" ca="1" si="69"/>
        <v>8.8166007198519133E-3</v>
      </c>
      <c r="R158" s="229" t="str">
        <f t="shared" si="62"/>
        <v/>
      </c>
      <c r="S158" s="239"/>
      <c r="T158" s="229" t="str">
        <f t="shared" si="63"/>
        <v/>
      </c>
      <c r="U158" s="229" t="str">
        <f t="shared" si="64"/>
        <v/>
      </c>
      <c r="V158" s="229" t="str">
        <f t="shared" si="65"/>
        <v/>
      </c>
    </row>
    <row r="159" spans="1:22" ht="15" customHeight="1" x14ac:dyDescent="0.2">
      <c r="A159" s="205">
        <f t="shared" si="50"/>
        <v>2032</v>
      </c>
      <c r="B159" s="207">
        <f t="shared" ca="1" si="66"/>
        <v>1.3191816024308016</v>
      </c>
      <c r="C159" s="207" t="str">
        <f t="shared" si="51"/>
        <v/>
      </c>
      <c r="D159" s="207" t="str">
        <f t="shared" si="52"/>
        <v/>
      </c>
      <c r="E159" s="234" t="str">
        <f t="shared" si="53"/>
        <v/>
      </c>
      <c r="F159" s="206">
        <f t="shared" ca="1" si="67"/>
        <v>6.3854997095885033E-2</v>
      </c>
      <c r="G159" s="207">
        <f t="shared" ca="1" si="54"/>
        <v>0.11195793299118807</v>
      </c>
      <c r="H159" s="207" t="str">
        <f t="shared" si="55"/>
        <v/>
      </c>
      <c r="I159" s="234" t="str">
        <f t="shared" si="56"/>
        <v/>
      </c>
      <c r="J159" s="601" t="str">
        <f t="shared" ca="1" si="57"/>
        <v/>
      </c>
      <c r="K159" s="232" t="str">
        <f t="shared" si="58"/>
        <v/>
      </c>
      <c r="L159" s="232" t="str">
        <f t="shared" si="59"/>
        <v/>
      </c>
      <c r="M159" s="207" t="str">
        <f t="shared" si="60"/>
        <v/>
      </c>
      <c r="N159" s="235" t="str">
        <f t="shared" si="61"/>
        <v/>
      </c>
      <c r="O159" s="240"/>
      <c r="P159" s="229">
        <f t="shared" ca="1" si="68"/>
        <v>3.0788129497895567E-3</v>
      </c>
      <c r="Q159" s="229">
        <f t="shared" ca="1" si="69"/>
        <v>8.8166007198519133E-3</v>
      </c>
      <c r="R159" s="229" t="str">
        <f t="shared" si="62"/>
        <v/>
      </c>
      <c r="S159" s="239"/>
      <c r="T159" s="229" t="str">
        <f t="shared" si="63"/>
        <v/>
      </c>
      <c r="U159" s="229" t="str">
        <f t="shared" si="64"/>
        <v/>
      </c>
      <c r="V159" s="229" t="str">
        <f t="shared" si="65"/>
        <v/>
      </c>
    </row>
    <row r="160" spans="1:22" ht="15" customHeight="1" x14ac:dyDescent="0.2">
      <c r="A160" s="205">
        <f t="shared" si="50"/>
        <v>2033</v>
      </c>
      <c r="B160" s="207">
        <f t="shared" ca="1" si="66"/>
        <v>1.3191816024308016</v>
      </c>
      <c r="C160" s="207" t="str">
        <f t="shared" si="51"/>
        <v/>
      </c>
      <c r="D160" s="207" t="str">
        <f t="shared" si="52"/>
        <v/>
      </c>
      <c r="E160" s="234" t="str">
        <f t="shared" si="53"/>
        <v/>
      </c>
      <c r="F160" s="206">
        <f t="shared" ca="1" si="67"/>
        <v>6.378400979425522E-2</v>
      </c>
      <c r="G160" s="207">
        <f t="shared" ca="1" si="54"/>
        <v>0.11153046530473409</v>
      </c>
      <c r="H160" s="207" t="str">
        <f t="shared" si="55"/>
        <v/>
      </c>
      <c r="I160" s="234" t="str">
        <f t="shared" si="56"/>
        <v/>
      </c>
      <c r="J160" s="601" t="str">
        <f t="shared" ca="1" si="57"/>
        <v/>
      </c>
      <c r="K160" s="232" t="str">
        <f t="shared" si="58"/>
        <v/>
      </c>
      <c r="L160" s="232" t="str">
        <f t="shared" si="59"/>
        <v/>
      </c>
      <c r="M160" s="207" t="str">
        <f t="shared" si="60"/>
        <v/>
      </c>
      <c r="N160" s="235" t="str">
        <f t="shared" si="61"/>
        <v/>
      </c>
      <c r="O160" s="240"/>
      <c r="P160" s="229">
        <f t="shared" ca="1" si="68"/>
        <v>3.0788129497895567E-3</v>
      </c>
      <c r="Q160" s="229">
        <f t="shared" ca="1" si="69"/>
        <v>8.8166007198519133E-3</v>
      </c>
      <c r="R160" s="229" t="str">
        <f t="shared" si="62"/>
        <v/>
      </c>
      <c r="S160" s="239"/>
      <c r="T160" s="229" t="str">
        <f t="shared" si="63"/>
        <v/>
      </c>
      <c r="U160" s="229" t="str">
        <f t="shared" si="64"/>
        <v/>
      </c>
      <c r="V160" s="229" t="str">
        <f t="shared" si="65"/>
        <v/>
      </c>
    </row>
    <row r="161" spans="1:22" ht="15" customHeight="1" x14ac:dyDescent="0.2">
      <c r="A161" s="205">
        <f t="shared" si="50"/>
        <v>2034</v>
      </c>
      <c r="B161" s="207">
        <f t="shared" ca="1" si="66"/>
        <v>1.3191816024308016</v>
      </c>
      <c r="C161" s="207" t="str">
        <f t="shared" si="51"/>
        <v/>
      </c>
      <c r="D161" s="207" t="str">
        <f t="shared" si="52"/>
        <v/>
      </c>
      <c r="E161" s="234" t="str">
        <f t="shared" si="53"/>
        <v/>
      </c>
      <c r="F161" s="206">
        <f t="shared" ca="1" si="67"/>
        <v>6.4176920832327608E-2</v>
      </c>
      <c r="G161" s="207">
        <f t="shared" ca="1" si="54"/>
        <v>0.1112173366267484</v>
      </c>
      <c r="H161" s="207" t="str">
        <f t="shared" si="55"/>
        <v/>
      </c>
      <c r="I161" s="234" t="str">
        <f t="shared" si="56"/>
        <v/>
      </c>
      <c r="J161" s="601" t="str">
        <f t="shared" ca="1" si="57"/>
        <v/>
      </c>
      <c r="K161" s="232" t="str">
        <f t="shared" si="58"/>
        <v/>
      </c>
      <c r="L161" s="232" t="str">
        <f t="shared" si="59"/>
        <v/>
      </c>
      <c r="M161" s="207" t="str">
        <f t="shared" si="60"/>
        <v/>
      </c>
      <c r="N161" s="235" t="str">
        <f t="shared" si="61"/>
        <v/>
      </c>
      <c r="O161" s="240"/>
      <c r="P161" s="229">
        <f t="shared" ca="1" si="68"/>
        <v>3.0788129497895567E-3</v>
      </c>
      <c r="Q161" s="229">
        <f t="shared" ca="1" si="69"/>
        <v>8.8166007198519133E-3</v>
      </c>
      <c r="R161" s="229" t="str">
        <f t="shared" si="62"/>
        <v/>
      </c>
      <c r="S161" s="239"/>
      <c r="T161" s="229" t="str">
        <f t="shared" si="63"/>
        <v/>
      </c>
      <c r="U161" s="229" t="str">
        <f t="shared" si="64"/>
        <v/>
      </c>
      <c r="V161" s="229" t="str">
        <f t="shared" si="65"/>
        <v/>
      </c>
    </row>
    <row r="162" spans="1:22" ht="15" customHeight="1" x14ac:dyDescent="0.2">
      <c r="A162" s="205">
        <f t="shared" si="50"/>
        <v>2035</v>
      </c>
      <c r="B162" s="207">
        <f t="shared" ca="1" si="66"/>
        <v>1.3191816024308016</v>
      </c>
      <c r="C162" s="207" t="str">
        <f t="shared" si="51"/>
        <v/>
      </c>
      <c r="D162" s="207" t="str">
        <f t="shared" si="52"/>
        <v/>
      </c>
      <c r="E162" s="234" t="str">
        <f t="shared" si="53"/>
        <v/>
      </c>
      <c r="F162" s="206">
        <f t="shared" ca="1" si="67"/>
        <v>6.5105475960187523E-2</v>
      </c>
      <c r="G162" s="207">
        <f t="shared" ca="1" si="54"/>
        <v>0.1114454403726268</v>
      </c>
      <c r="H162" s="207" t="str">
        <f t="shared" si="55"/>
        <v/>
      </c>
      <c r="I162" s="234" t="str">
        <f t="shared" si="56"/>
        <v/>
      </c>
      <c r="J162" s="601" t="str">
        <f t="shared" ca="1" si="57"/>
        <v/>
      </c>
      <c r="K162" s="232" t="str">
        <f t="shared" si="58"/>
        <v/>
      </c>
      <c r="L162" s="232" t="str">
        <f t="shared" si="59"/>
        <v/>
      </c>
      <c r="M162" s="207" t="str">
        <f t="shared" si="60"/>
        <v/>
      </c>
      <c r="N162" s="235" t="str">
        <f t="shared" si="61"/>
        <v/>
      </c>
      <c r="O162" s="240"/>
      <c r="P162" s="229">
        <f t="shared" ca="1" si="68"/>
        <v>3.0788129497895567E-3</v>
      </c>
      <c r="Q162" s="229">
        <f t="shared" ca="1" si="69"/>
        <v>8.8166007198519133E-3</v>
      </c>
      <c r="R162" s="229" t="str">
        <f t="shared" si="62"/>
        <v/>
      </c>
      <c r="S162" s="239"/>
      <c r="T162" s="229" t="str">
        <f t="shared" si="63"/>
        <v/>
      </c>
      <c r="U162" s="229" t="str">
        <f t="shared" si="64"/>
        <v/>
      </c>
      <c r="V162" s="229" t="str">
        <f t="shared" si="65"/>
        <v/>
      </c>
    </row>
    <row r="163" spans="1:22" ht="15" customHeight="1" x14ac:dyDescent="0.2">
      <c r="A163" s="205">
        <f t="shared" si="50"/>
        <v>2036</v>
      </c>
      <c r="B163" s="207">
        <f t="shared" ca="1" si="66"/>
        <v>1.3191816024308016</v>
      </c>
      <c r="C163" s="207" t="str">
        <f t="shared" si="51"/>
        <v/>
      </c>
      <c r="D163" s="207" t="str">
        <f t="shared" si="52"/>
        <v/>
      </c>
      <c r="E163" s="234" t="str">
        <f t="shared" si="53"/>
        <v/>
      </c>
      <c r="F163" s="206">
        <f t="shared" ca="1" si="67"/>
        <v>6.5500199168997228E-2</v>
      </c>
      <c r="G163" s="207">
        <f t="shared" ca="1" si="54"/>
        <v>0.11148807753753881</v>
      </c>
      <c r="H163" s="207" t="str">
        <f t="shared" si="55"/>
        <v/>
      </c>
      <c r="I163" s="234" t="str">
        <f t="shared" si="56"/>
        <v/>
      </c>
      <c r="J163" s="601" t="str">
        <f t="shared" ca="1" si="57"/>
        <v/>
      </c>
      <c r="K163" s="232" t="str">
        <f t="shared" si="58"/>
        <v/>
      </c>
      <c r="L163" s="232" t="str">
        <f t="shared" si="59"/>
        <v/>
      </c>
      <c r="M163" s="207" t="str">
        <f t="shared" si="60"/>
        <v/>
      </c>
      <c r="N163" s="235" t="str">
        <f t="shared" si="61"/>
        <v/>
      </c>
      <c r="O163" s="240"/>
      <c r="P163" s="229">
        <f t="shared" ca="1" si="68"/>
        <v>3.0788129497895567E-3</v>
      </c>
      <c r="Q163" s="229">
        <f t="shared" ca="1" si="69"/>
        <v>8.8166007198519133E-3</v>
      </c>
      <c r="R163" s="229" t="str">
        <f t="shared" si="62"/>
        <v/>
      </c>
      <c r="S163" s="239"/>
      <c r="T163" s="229" t="str">
        <f t="shared" si="63"/>
        <v/>
      </c>
      <c r="U163" s="229" t="str">
        <f t="shared" si="64"/>
        <v/>
      </c>
      <c r="V163" s="229" t="str">
        <f t="shared" si="65"/>
        <v/>
      </c>
    </row>
    <row r="164" spans="1:22" ht="15" customHeight="1" x14ac:dyDescent="0.2">
      <c r="A164" s="205">
        <f t="shared" si="50"/>
        <v>2037</v>
      </c>
      <c r="B164" s="207">
        <f t="shared" ca="1" si="66"/>
        <v>1.3191816024308016</v>
      </c>
      <c r="C164" s="207" t="str">
        <f t="shared" si="51"/>
        <v/>
      </c>
      <c r="D164" s="207" t="str">
        <f t="shared" si="52"/>
        <v/>
      </c>
      <c r="E164" s="234" t="str">
        <f t="shared" si="53"/>
        <v/>
      </c>
      <c r="F164" s="206">
        <f t="shared" ca="1" si="67"/>
        <v>6.5887777909149278E-2</v>
      </c>
      <c r="G164" s="207">
        <f t="shared" ca="1" si="54"/>
        <v>0.11126648110313737</v>
      </c>
      <c r="H164" s="207" t="str">
        <f t="shared" si="55"/>
        <v/>
      </c>
      <c r="I164" s="234" t="str">
        <f t="shared" si="56"/>
        <v/>
      </c>
      <c r="J164" s="601" t="str">
        <f t="shared" ca="1" si="57"/>
        <v/>
      </c>
      <c r="K164" s="232" t="str">
        <f t="shared" si="58"/>
        <v/>
      </c>
      <c r="L164" s="232" t="str">
        <f t="shared" si="59"/>
        <v/>
      </c>
      <c r="M164" s="207" t="str">
        <f t="shared" si="60"/>
        <v/>
      </c>
      <c r="N164" s="235" t="str">
        <f t="shared" si="61"/>
        <v/>
      </c>
      <c r="O164" s="240"/>
      <c r="P164" s="229">
        <f t="shared" ca="1" si="68"/>
        <v>3.0788129497895567E-3</v>
      </c>
      <c r="Q164" s="229">
        <f t="shared" ca="1" si="69"/>
        <v>8.8166007198519133E-3</v>
      </c>
      <c r="R164" s="229" t="str">
        <f t="shared" si="62"/>
        <v/>
      </c>
      <c r="S164" s="239"/>
      <c r="T164" s="229" t="str">
        <f t="shared" si="63"/>
        <v/>
      </c>
      <c r="U164" s="229" t="str">
        <f t="shared" si="64"/>
        <v/>
      </c>
      <c r="V164" s="229" t="str">
        <f t="shared" si="65"/>
        <v/>
      </c>
    </row>
    <row r="165" spans="1:22" ht="15" customHeight="1" x14ac:dyDescent="0.2">
      <c r="A165" s="205">
        <f t="shared" si="50"/>
        <v>2038</v>
      </c>
      <c r="B165" s="207">
        <f t="shared" ca="1" si="66"/>
        <v>1.3191816024308016</v>
      </c>
      <c r="C165" s="207" t="str">
        <f t="shared" si="51"/>
        <v/>
      </c>
      <c r="D165" s="207" t="str">
        <f t="shared" si="52"/>
        <v/>
      </c>
      <c r="E165" s="234" t="str">
        <f t="shared" si="53"/>
        <v/>
      </c>
      <c r="F165" s="206">
        <f t="shared" ca="1" si="67"/>
        <v>6.6079914324766856E-2</v>
      </c>
      <c r="G165" s="207">
        <f t="shared" ca="1" si="54"/>
        <v>0.1111581998339462</v>
      </c>
      <c r="H165" s="207" t="str">
        <f t="shared" si="55"/>
        <v/>
      </c>
      <c r="I165" s="234" t="str">
        <f t="shared" si="56"/>
        <v/>
      </c>
      <c r="J165" s="601" t="str">
        <f t="shared" ca="1" si="57"/>
        <v/>
      </c>
      <c r="K165" s="232" t="str">
        <f t="shared" si="58"/>
        <v/>
      </c>
      <c r="L165" s="232" t="str">
        <f t="shared" si="59"/>
        <v/>
      </c>
      <c r="M165" s="207" t="str">
        <f t="shared" si="60"/>
        <v/>
      </c>
      <c r="N165" s="235" t="str">
        <f t="shared" si="61"/>
        <v/>
      </c>
      <c r="O165" s="240"/>
      <c r="P165" s="229">
        <f t="shared" ca="1" si="68"/>
        <v>3.0788129497895567E-3</v>
      </c>
      <c r="Q165" s="229">
        <f t="shared" ca="1" si="69"/>
        <v>8.8166007198519133E-3</v>
      </c>
      <c r="R165" s="229" t="str">
        <f t="shared" si="62"/>
        <v/>
      </c>
      <c r="S165" s="239"/>
      <c r="T165" s="229" t="str">
        <f t="shared" si="63"/>
        <v/>
      </c>
      <c r="U165" s="229" t="str">
        <f t="shared" si="64"/>
        <v/>
      </c>
      <c r="V165" s="229" t="str">
        <f t="shared" si="65"/>
        <v/>
      </c>
    </row>
    <row r="166" spans="1:22" ht="15" customHeight="1" x14ac:dyDescent="0.2">
      <c r="A166" s="205">
        <f t="shared" si="50"/>
        <v>2039</v>
      </c>
      <c r="B166" s="207">
        <f t="shared" ca="1" si="66"/>
        <v>1.3191816024308016</v>
      </c>
      <c r="C166" s="207" t="str">
        <f t="shared" si="51"/>
        <v/>
      </c>
      <c r="D166" s="207" t="str">
        <f t="shared" si="52"/>
        <v/>
      </c>
      <c r="E166" s="234" t="str">
        <f t="shared" si="53"/>
        <v/>
      </c>
      <c r="F166" s="206">
        <f t="shared" ca="1" si="67"/>
        <v>6.6374093900911729E-2</v>
      </c>
      <c r="G166" s="207">
        <f t="shared" ca="1" si="54"/>
        <v>0.11098277151107766</v>
      </c>
      <c r="H166" s="207" t="str">
        <f t="shared" si="55"/>
        <v/>
      </c>
      <c r="I166" s="234" t="str">
        <f t="shared" si="56"/>
        <v/>
      </c>
      <c r="J166" s="601" t="str">
        <f t="shared" ca="1" si="57"/>
        <v/>
      </c>
      <c r="K166" s="232" t="str">
        <f t="shared" si="58"/>
        <v/>
      </c>
      <c r="L166" s="232" t="str">
        <f t="shared" si="59"/>
        <v/>
      </c>
      <c r="M166" s="207" t="str">
        <f t="shared" si="60"/>
        <v/>
      </c>
      <c r="N166" s="235" t="str">
        <f t="shared" si="61"/>
        <v/>
      </c>
      <c r="O166" s="240"/>
      <c r="P166" s="229">
        <f t="shared" ca="1" si="68"/>
        <v>3.0788129497895567E-3</v>
      </c>
      <c r="Q166" s="229">
        <f t="shared" ca="1" si="69"/>
        <v>8.8166007198519133E-3</v>
      </c>
      <c r="R166" s="229" t="str">
        <f t="shared" si="62"/>
        <v/>
      </c>
      <c r="S166" s="239"/>
      <c r="T166" s="229" t="str">
        <f t="shared" si="63"/>
        <v/>
      </c>
      <c r="U166" s="229" t="str">
        <f t="shared" si="64"/>
        <v/>
      </c>
      <c r="V166" s="229" t="str">
        <f t="shared" si="65"/>
        <v/>
      </c>
    </row>
    <row r="167" spans="1:22" ht="15" customHeight="1" x14ac:dyDescent="0.2">
      <c r="A167" s="205">
        <f t="shared" si="50"/>
        <v>2040</v>
      </c>
      <c r="B167" s="207">
        <f t="shared" ca="1" si="66"/>
        <v>1.3191816024308016</v>
      </c>
      <c r="C167" s="207" t="str">
        <f t="shared" si="51"/>
        <v/>
      </c>
      <c r="D167" s="207" t="str">
        <f t="shared" si="52"/>
        <v/>
      </c>
      <c r="E167" s="234" t="str">
        <f t="shared" si="53"/>
        <v/>
      </c>
      <c r="F167" s="206">
        <f t="shared" ca="1" si="67"/>
        <v>6.6208115272486351E-2</v>
      </c>
      <c r="G167" s="207">
        <f t="shared" ca="1" si="54"/>
        <v>0.11074179753039708</v>
      </c>
      <c r="H167" s="207" t="str">
        <f t="shared" si="55"/>
        <v/>
      </c>
      <c r="I167" s="234" t="str">
        <f t="shared" si="56"/>
        <v/>
      </c>
      <c r="J167" s="601" t="str">
        <f t="shared" ca="1" si="57"/>
        <v/>
      </c>
      <c r="K167" s="232" t="str">
        <f t="shared" si="58"/>
        <v/>
      </c>
      <c r="L167" s="232" t="str">
        <f t="shared" si="59"/>
        <v/>
      </c>
      <c r="M167" s="207" t="str">
        <f t="shared" si="60"/>
        <v/>
      </c>
      <c r="N167" s="235" t="str">
        <f t="shared" si="61"/>
        <v/>
      </c>
      <c r="O167" s="240"/>
      <c r="P167" s="229">
        <f t="shared" ca="1" si="68"/>
        <v>3.0788129497895567E-3</v>
      </c>
      <c r="Q167" s="229">
        <f t="shared" ca="1" si="69"/>
        <v>8.8166007198519133E-3</v>
      </c>
      <c r="R167" s="229" t="str">
        <f t="shared" si="62"/>
        <v/>
      </c>
      <c r="S167" s="239"/>
      <c r="T167" s="229" t="str">
        <f t="shared" si="63"/>
        <v/>
      </c>
      <c r="U167" s="229" t="str">
        <f t="shared" si="64"/>
        <v/>
      </c>
      <c r="V167" s="229" t="str">
        <f t="shared" si="65"/>
        <v/>
      </c>
    </row>
    <row r="168" spans="1:22" ht="15" customHeight="1" x14ac:dyDescent="0.2">
      <c r="A168" s="205">
        <f t="shared" si="50"/>
        <v>2041</v>
      </c>
      <c r="B168" s="207">
        <f t="shared" ca="1" si="66"/>
        <v>1.3191816024308016</v>
      </c>
      <c r="C168" s="207" t="str">
        <f t="shared" si="51"/>
        <v/>
      </c>
      <c r="D168" s="207" t="str">
        <f t="shared" si="52"/>
        <v/>
      </c>
      <c r="E168" s="234" t="str">
        <f t="shared" si="53"/>
        <v/>
      </c>
      <c r="F168" s="206">
        <f t="shared" ca="1" si="67"/>
        <v>6.6387045421484742E-2</v>
      </c>
      <c r="G168" s="207">
        <f t="shared" ca="1" si="54"/>
        <v>0.11038789888882587</v>
      </c>
      <c r="H168" s="207" t="str">
        <f t="shared" si="55"/>
        <v/>
      </c>
      <c r="I168" s="234" t="str">
        <f t="shared" si="56"/>
        <v/>
      </c>
      <c r="J168" s="601" t="str">
        <f t="shared" ca="1" si="57"/>
        <v/>
      </c>
      <c r="K168" s="232" t="str">
        <f t="shared" si="58"/>
        <v/>
      </c>
      <c r="L168" s="232" t="str">
        <f t="shared" si="59"/>
        <v/>
      </c>
      <c r="M168" s="207" t="str">
        <f t="shared" si="60"/>
        <v/>
      </c>
      <c r="N168" s="235" t="str">
        <f t="shared" si="61"/>
        <v/>
      </c>
      <c r="O168" s="240"/>
      <c r="P168" s="229">
        <f t="shared" ca="1" si="68"/>
        <v>3.0788129497895567E-3</v>
      </c>
      <c r="Q168" s="229">
        <f t="shared" ca="1" si="69"/>
        <v>8.8166007198519133E-3</v>
      </c>
      <c r="R168" s="229" t="str">
        <f t="shared" si="62"/>
        <v/>
      </c>
      <c r="S168" s="239"/>
      <c r="T168" s="229" t="str">
        <f t="shared" si="63"/>
        <v/>
      </c>
      <c r="U168" s="229" t="str">
        <f t="shared" si="64"/>
        <v/>
      </c>
      <c r="V168" s="229" t="str">
        <f t="shared" si="65"/>
        <v/>
      </c>
    </row>
    <row r="169" spans="1:22" ht="15" customHeight="1" x14ac:dyDescent="0.2">
      <c r="A169" s="205">
        <f t="shared" si="50"/>
        <v>2042</v>
      </c>
      <c r="B169" s="207">
        <f t="shared" ca="1" si="66"/>
        <v>1.3191816024308016</v>
      </c>
      <c r="C169" s="207" t="str">
        <f t="shared" si="51"/>
        <v/>
      </c>
      <c r="D169" s="207" t="str">
        <f t="shared" si="52"/>
        <v/>
      </c>
      <c r="E169" s="234" t="str">
        <f t="shared" si="53"/>
        <v/>
      </c>
      <c r="F169" s="206">
        <f t="shared" ca="1" si="67"/>
        <v>6.6811915508981856E-2</v>
      </c>
      <c r="G169" s="207">
        <f t="shared" ca="1" si="54"/>
        <v>0.11037702055420852</v>
      </c>
      <c r="H169" s="207" t="str">
        <f t="shared" si="55"/>
        <v/>
      </c>
      <c r="I169" s="234" t="str">
        <f t="shared" si="56"/>
        <v/>
      </c>
      <c r="J169" s="601" t="str">
        <f t="shared" ca="1" si="57"/>
        <v/>
      </c>
      <c r="K169" s="232" t="str">
        <f t="shared" si="58"/>
        <v/>
      </c>
      <c r="L169" s="232" t="str">
        <f t="shared" si="59"/>
        <v/>
      </c>
      <c r="M169" s="207" t="str">
        <f t="shared" si="60"/>
        <v/>
      </c>
      <c r="N169" s="235" t="str">
        <f t="shared" si="61"/>
        <v/>
      </c>
      <c r="O169" s="240"/>
      <c r="P169" s="229">
        <f t="shared" ca="1" si="68"/>
        <v>3.0788129497895567E-3</v>
      </c>
      <c r="Q169" s="229">
        <f t="shared" ca="1" si="69"/>
        <v>8.8166007198519133E-3</v>
      </c>
      <c r="R169" s="229" t="str">
        <f t="shared" si="62"/>
        <v/>
      </c>
      <c r="S169" s="239"/>
      <c r="T169" s="229" t="str">
        <f t="shared" si="63"/>
        <v/>
      </c>
      <c r="U169" s="229" t="str">
        <f t="shared" si="64"/>
        <v/>
      </c>
      <c r="V169" s="229" t="str">
        <f t="shared" si="65"/>
        <v/>
      </c>
    </row>
    <row r="170" spans="1:22" ht="15" customHeight="1" x14ac:dyDescent="0.2">
      <c r="A170" s="205">
        <f t="shared" si="50"/>
        <v>2043</v>
      </c>
      <c r="B170" s="207">
        <f t="shared" ca="1" si="66"/>
        <v>1.3191816024308016</v>
      </c>
      <c r="C170" s="207" t="str">
        <f t="shared" si="51"/>
        <v/>
      </c>
      <c r="D170" s="207" t="str">
        <f t="shared" si="52"/>
        <v/>
      </c>
      <c r="E170" s="234" t="str">
        <f t="shared" si="53"/>
        <v/>
      </c>
      <c r="F170" s="206">
        <f t="shared" ca="1" si="67"/>
        <v>6.7359590559766619E-2</v>
      </c>
      <c r="G170" s="207">
        <f t="shared" ca="1" si="54"/>
        <v>0.11052031595020731</v>
      </c>
      <c r="H170" s="207" t="str">
        <f t="shared" si="55"/>
        <v/>
      </c>
      <c r="I170" s="234" t="str">
        <f t="shared" si="56"/>
        <v/>
      </c>
      <c r="J170" s="601" t="str">
        <f t="shared" ca="1" si="57"/>
        <v/>
      </c>
      <c r="K170" s="232" t="str">
        <f t="shared" si="58"/>
        <v/>
      </c>
      <c r="L170" s="232" t="str">
        <f t="shared" si="59"/>
        <v/>
      </c>
      <c r="M170" s="207" t="str">
        <f t="shared" si="60"/>
        <v/>
      </c>
      <c r="N170" s="235" t="str">
        <f t="shared" si="61"/>
        <v/>
      </c>
      <c r="O170" s="240"/>
      <c r="P170" s="229">
        <f t="shared" ca="1" si="68"/>
        <v>3.0788129497895567E-3</v>
      </c>
      <c r="Q170" s="229">
        <f t="shared" ca="1" si="69"/>
        <v>8.8166007198519133E-3</v>
      </c>
      <c r="R170" s="229" t="str">
        <f t="shared" si="62"/>
        <v/>
      </c>
      <c r="S170" s="239"/>
      <c r="T170" s="229" t="str">
        <f t="shared" si="63"/>
        <v/>
      </c>
      <c r="U170" s="229" t="str">
        <f t="shared" si="64"/>
        <v/>
      </c>
      <c r="V170" s="229" t="str">
        <f t="shared" si="65"/>
        <v/>
      </c>
    </row>
    <row r="171" spans="1:22" ht="15" customHeight="1" x14ac:dyDescent="0.2">
      <c r="A171" s="205">
        <f t="shared" si="50"/>
        <v>2044</v>
      </c>
      <c r="B171" s="207">
        <f t="shared" ca="1" si="66"/>
        <v>1.3191816024308016</v>
      </c>
      <c r="C171" s="207" t="str">
        <f t="shared" si="51"/>
        <v/>
      </c>
      <c r="D171" s="207" t="str">
        <f t="shared" si="52"/>
        <v/>
      </c>
      <c r="E171" s="234" t="str">
        <f t="shared" si="53"/>
        <v/>
      </c>
      <c r="F171" s="206">
        <f t="shared" ca="1" si="67"/>
        <v>6.7893428268499728E-2</v>
      </c>
      <c r="G171" s="207">
        <f t="shared" ca="1" si="54"/>
        <v>0.11067948419825561</v>
      </c>
      <c r="H171" s="207" t="str">
        <f t="shared" si="55"/>
        <v/>
      </c>
      <c r="I171" s="234" t="str">
        <f t="shared" si="56"/>
        <v/>
      </c>
      <c r="J171" s="601" t="str">
        <f t="shared" ca="1" si="57"/>
        <v/>
      </c>
      <c r="K171" s="232" t="str">
        <f t="shared" si="58"/>
        <v/>
      </c>
      <c r="L171" s="232" t="str">
        <f t="shared" si="59"/>
        <v/>
      </c>
      <c r="M171" s="207" t="str">
        <f t="shared" si="60"/>
        <v/>
      </c>
      <c r="N171" s="235" t="str">
        <f t="shared" si="61"/>
        <v/>
      </c>
      <c r="O171" s="240"/>
      <c r="P171" s="229">
        <f t="shared" ca="1" si="68"/>
        <v>3.0788129497895567E-3</v>
      </c>
      <c r="Q171" s="229">
        <f t="shared" ca="1" si="69"/>
        <v>8.8166007198519133E-3</v>
      </c>
      <c r="R171" s="229" t="str">
        <f t="shared" si="62"/>
        <v/>
      </c>
      <c r="S171" s="239"/>
      <c r="T171" s="229" t="str">
        <f t="shared" si="63"/>
        <v/>
      </c>
      <c r="U171" s="229" t="str">
        <f t="shared" si="64"/>
        <v/>
      </c>
      <c r="V171" s="229" t="str">
        <f t="shared" si="65"/>
        <v/>
      </c>
    </row>
    <row r="172" spans="1:22" ht="15" customHeight="1" x14ac:dyDescent="0.2">
      <c r="A172" s="205">
        <f t="shared" si="50"/>
        <v>2045</v>
      </c>
      <c r="B172" s="207">
        <f t="shared" ca="1" si="66"/>
        <v>1.3191816024308016</v>
      </c>
      <c r="C172" s="207" t="str">
        <f t="shared" si="51"/>
        <v/>
      </c>
      <c r="D172" s="207" t="str">
        <f t="shared" si="52"/>
        <v/>
      </c>
      <c r="E172" s="234" t="str">
        <f t="shared" si="53"/>
        <v/>
      </c>
      <c r="F172" s="206">
        <f t="shared" ca="1" si="67"/>
        <v>6.8489400853759319E-2</v>
      </c>
      <c r="G172" s="207">
        <f t="shared" ca="1" si="54"/>
        <v>0.11082916220687304</v>
      </c>
      <c r="H172" s="207" t="str">
        <f t="shared" si="55"/>
        <v/>
      </c>
      <c r="I172" s="234" t="str">
        <f t="shared" si="56"/>
        <v/>
      </c>
      <c r="J172" s="601" t="str">
        <f t="shared" ca="1" si="57"/>
        <v/>
      </c>
      <c r="K172" s="232" t="str">
        <f t="shared" si="58"/>
        <v/>
      </c>
      <c r="L172" s="232" t="str">
        <f t="shared" si="59"/>
        <v/>
      </c>
      <c r="M172" s="207" t="str">
        <f t="shared" si="60"/>
        <v/>
      </c>
      <c r="N172" s="235" t="str">
        <f t="shared" si="61"/>
        <v/>
      </c>
      <c r="O172" s="240"/>
      <c r="P172" s="229">
        <f t="shared" ca="1" si="68"/>
        <v>3.0788129497895567E-3</v>
      </c>
      <c r="Q172" s="229">
        <f t="shared" ca="1" si="69"/>
        <v>8.8166007198519133E-3</v>
      </c>
      <c r="R172" s="229" t="str">
        <f t="shared" si="62"/>
        <v/>
      </c>
      <c r="S172" s="239"/>
      <c r="T172" s="229" t="str">
        <f t="shared" si="63"/>
        <v/>
      </c>
      <c r="U172" s="229" t="str">
        <f t="shared" si="64"/>
        <v/>
      </c>
      <c r="V172" s="229" t="str">
        <f t="shared" si="65"/>
        <v/>
      </c>
    </row>
    <row r="173" spans="1:22" ht="15" customHeight="1" x14ac:dyDescent="0.2">
      <c r="A173" s="205">
        <f t="shared" si="50"/>
        <v>2046</v>
      </c>
      <c r="B173" s="207">
        <f t="shared" ca="1" si="66"/>
        <v>1.3191816024308016</v>
      </c>
      <c r="C173" s="207" t="str">
        <f t="shared" si="51"/>
        <v/>
      </c>
      <c r="D173" s="207" t="str">
        <f t="shared" si="52"/>
        <v/>
      </c>
      <c r="E173" s="234" t="str">
        <f t="shared" si="53"/>
        <v/>
      </c>
      <c r="F173" s="206">
        <f t="shared" ca="1" si="67"/>
        <v>6.8984858754768424E-2</v>
      </c>
      <c r="G173" s="207">
        <f t="shared" ca="1" si="54"/>
        <v>0.11093013218510571</v>
      </c>
      <c r="H173" s="207" t="str">
        <f t="shared" si="55"/>
        <v/>
      </c>
      <c r="I173" s="234" t="str">
        <f t="shared" si="56"/>
        <v/>
      </c>
      <c r="J173" s="601" t="str">
        <f t="shared" ca="1" si="57"/>
        <v/>
      </c>
      <c r="K173" s="232" t="str">
        <f t="shared" si="58"/>
        <v/>
      </c>
      <c r="L173" s="232" t="str">
        <f t="shared" si="59"/>
        <v/>
      </c>
      <c r="M173" s="207" t="str">
        <f t="shared" si="60"/>
        <v/>
      </c>
      <c r="N173" s="235" t="str">
        <f t="shared" si="61"/>
        <v/>
      </c>
      <c r="O173" s="240"/>
      <c r="P173" s="229">
        <f t="shared" ca="1" si="68"/>
        <v>3.0788129497895567E-3</v>
      </c>
      <c r="Q173" s="229">
        <f t="shared" ca="1" si="69"/>
        <v>8.8166007198519133E-3</v>
      </c>
      <c r="R173" s="229" t="str">
        <f t="shared" si="62"/>
        <v/>
      </c>
      <c r="S173" s="239"/>
      <c r="T173" s="229" t="str">
        <f t="shared" si="63"/>
        <v/>
      </c>
      <c r="U173" s="229" t="str">
        <f t="shared" si="64"/>
        <v/>
      </c>
      <c r="V173" s="229" t="str">
        <f t="shared" si="65"/>
        <v/>
      </c>
    </row>
    <row r="174" spans="1:22" ht="15" customHeight="1" x14ac:dyDescent="0.2">
      <c r="A174" s="205">
        <f t="shared" si="50"/>
        <v>2047</v>
      </c>
      <c r="B174" s="207">
        <f t="shared" ca="1" si="66"/>
        <v>1.3191816024308016</v>
      </c>
      <c r="C174" s="207" t="str">
        <f t="shared" si="51"/>
        <v/>
      </c>
      <c r="D174" s="207" t="str">
        <f t="shared" si="52"/>
        <v/>
      </c>
      <c r="E174" s="234" t="str">
        <f t="shared" si="53"/>
        <v/>
      </c>
      <c r="F174" s="206">
        <f t="shared" ca="1" si="67"/>
        <v>6.9380664634274197E-2</v>
      </c>
      <c r="G174" s="207">
        <f t="shared" ca="1" si="54"/>
        <v>0.11108269139366105</v>
      </c>
      <c r="H174" s="207" t="str">
        <f t="shared" si="55"/>
        <v/>
      </c>
      <c r="I174" s="234" t="str">
        <f t="shared" si="56"/>
        <v/>
      </c>
      <c r="J174" s="601" t="str">
        <f t="shared" ca="1" si="57"/>
        <v/>
      </c>
      <c r="K174" s="232" t="str">
        <f t="shared" si="58"/>
        <v/>
      </c>
      <c r="L174" s="232" t="str">
        <f t="shared" si="59"/>
        <v/>
      </c>
      <c r="M174" s="207" t="str">
        <f t="shared" si="60"/>
        <v/>
      </c>
      <c r="N174" s="235" t="str">
        <f t="shared" si="61"/>
        <v/>
      </c>
      <c r="O174" s="240"/>
      <c r="P174" s="229">
        <f t="shared" ca="1" si="68"/>
        <v>3.0788129497895567E-3</v>
      </c>
      <c r="Q174" s="229">
        <f t="shared" ca="1" si="69"/>
        <v>8.8166007198519133E-3</v>
      </c>
      <c r="R174" s="229" t="str">
        <f t="shared" si="62"/>
        <v/>
      </c>
      <c r="S174" s="239"/>
      <c r="T174" s="229" t="str">
        <f t="shared" si="63"/>
        <v/>
      </c>
      <c r="U174" s="229" t="str">
        <f t="shared" si="64"/>
        <v/>
      </c>
      <c r="V174" s="229" t="str">
        <f t="shared" si="65"/>
        <v/>
      </c>
    </row>
    <row r="175" spans="1:22" ht="15" customHeight="1" x14ac:dyDescent="0.2">
      <c r="A175" s="205">
        <f t="shared" si="50"/>
        <v>2048</v>
      </c>
      <c r="B175" s="207">
        <f t="shared" ca="1" si="66"/>
        <v>1.3191816024308016</v>
      </c>
      <c r="C175" s="207" t="str">
        <f t="shared" si="51"/>
        <v/>
      </c>
      <c r="D175" s="207" t="str">
        <f t="shared" si="52"/>
        <v/>
      </c>
      <c r="E175" s="234" t="str">
        <f t="shared" si="53"/>
        <v/>
      </c>
      <c r="F175" s="206">
        <f t="shared" ca="1" si="67"/>
        <v>7.0038256814285133E-2</v>
      </c>
      <c r="G175" s="207">
        <f t="shared" ca="1" si="54"/>
        <v>0.11121649655022892</v>
      </c>
      <c r="H175" s="207" t="str">
        <f t="shared" si="55"/>
        <v/>
      </c>
      <c r="I175" s="234" t="str">
        <f t="shared" si="56"/>
        <v/>
      </c>
      <c r="J175" s="601" t="str">
        <f t="shared" ca="1" si="57"/>
        <v/>
      </c>
      <c r="K175" s="232" t="str">
        <f t="shared" si="58"/>
        <v/>
      </c>
      <c r="L175" s="232" t="str">
        <f t="shared" si="59"/>
        <v/>
      </c>
      <c r="M175" s="207" t="str">
        <f t="shared" si="60"/>
        <v/>
      </c>
      <c r="N175" s="235" t="str">
        <f t="shared" si="61"/>
        <v/>
      </c>
      <c r="O175" s="240"/>
      <c r="P175" s="229">
        <f t="shared" ca="1" si="68"/>
        <v>3.0788129497895567E-3</v>
      </c>
      <c r="Q175" s="229">
        <f t="shared" ca="1" si="69"/>
        <v>8.8166007198519133E-3</v>
      </c>
      <c r="R175" s="229" t="str">
        <f t="shared" si="62"/>
        <v/>
      </c>
      <c r="S175" s="239"/>
      <c r="T175" s="229" t="str">
        <f t="shared" si="63"/>
        <v/>
      </c>
      <c r="U175" s="229" t="str">
        <f t="shared" si="64"/>
        <v/>
      </c>
      <c r="V175" s="229" t="str">
        <f t="shared" si="65"/>
        <v/>
      </c>
    </row>
    <row r="176" spans="1:22" ht="15" customHeight="1" x14ac:dyDescent="0.2">
      <c r="A176" s="205">
        <f t="shared" si="50"/>
        <v>2049</v>
      </c>
      <c r="B176" s="207">
        <f t="shared" ca="1" si="66"/>
        <v>1.3191816024308016</v>
      </c>
      <c r="C176" s="207" t="str">
        <f t="shared" si="51"/>
        <v/>
      </c>
      <c r="D176" s="207" t="str">
        <f t="shared" si="52"/>
        <v/>
      </c>
      <c r="E176" s="234" t="str">
        <f t="shared" si="53"/>
        <v/>
      </c>
      <c r="F176" s="206">
        <f t="shared" ca="1" si="67"/>
        <v>7.0376519035777796E-2</v>
      </c>
      <c r="G176" s="207">
        <f t="shared" ca="1" si="54"/>
        <v>0.11128912707212513</v>
      </c>
      <c r="H176" s="207" t="str">
        <f t="shared" si="55"/>
        <v/>
      </c>
      <c r="I176" s="234" t="str">
        <f t="shared" si="56"/>
        <v/>
      </c>
      <c r="J176" s="601" t="str">
        <f t="shared" ca="1" si="57"/>
        <v/>
      </c>
      <c r="K176" s="232" t="str">
        <f t="shared" si="58"/>
        <v/>
      </c>
      <c r="L176" s="232" t="str">
        <f t="shared" si="59"/>
        <v/>
      </c>
      <c r="M176" s="207" t="str">
        <f t="shared" si="60"/>
        <v/>
      </c>
      <c r="N176" s="235" t="str">
        <f t="shared" si="61"/>
        <v/>
      </c>
      <c r="O176" s="240"/>
      <c r="P176" s="229">
        <f t="shared" ca="1" si="68"/>
        <v>3.0788129497895567E-3</v>
      </c>
      <c r="Q176" s="229">
        <f t="shared" ca="1" si="69"/>
        <v>8.8166007198519133E-3</v>
      </c>
      <c r="R176" s="229" t="str">
        <f t="shared" si="62"/>
        <v/>
      </c>
      <c r="S176" s="239"/>
      <c r="T176" s="229" t="str">
        <f t="shared" si="63"/>
        <v/>
      </c>
      <c r="U176" s="229" t="str">
        <f t="shared" si="64"/>
        <v/>
      </c>
      <c r="V176" s="229" t="str">
        <f t="shared" si="65"/>
        <v/>
      </c>
    </row>
    <row r="177" spans="1:22" ht="15" customHeight="1" x14ac:dyDescent="0.2">
      <c r="A177" s="205">
        <f t="shared" si="50"/>
        <v>2050</v>
      </c>
      <c r="B177" s="207">
        <f t="shared" ca="1" si="66"/>
        <v>1.3191816024308016</v>
      </c>
      <c r="C177" s="207" t="str">
        <f t="shared" si="51"/>
        <v/>
      </c>
      <c r="D177" s="207" t="str">
        <f t="shared" si="52"/>
        <v/>
      </c>
      <c r="E177" s="234" t="str">
        <f t="shared" si="53"/>
        <v/>
      </c>
      <c r="F177" s="206">
        <f t="shared" ca="1" si="67"/>
        <v>7.102966473934702E-2</v>
      </c>
      <c r="G177" s="207">
        <f t="shared" ca="1" si="54"/>
        <v>0.11151997419288741</v>
      </c>
      <c r="H177" s="207" t="str">
        <f t="shared" si="55"/>
        <v/>
      </c>
      <c r="I177" s="234" t="str">
        <f t="shared" si="56"/>
        <v/>
      </c>
      <c r="J177" s="601" t="str">
        <f t="shared" ca="1" si="57"/>
        <v/>
      </c>
      <c r="K177" s="232" t="str">
        <f t="shared" si="58"/>
        <v/>
      </c>
      <c r="L177" s="232" t="str">
        <f t="shared" si="59"/>
        <v/>
      </c>
      <c r="M177" s="207" t="str">
        <f t="shared" si="60"/>
        <v/>
      </c>
      <c r="N177" s="235" t="str">
        <f t="shared" si="61"/>
        <v/>
      </c>
      <c r="O177" s="240"/>
      <c r="P177" s="229">
        <f t="shared" ca="1" si="68"/>
        <v>3.0788129497895567E-3</v>
      </c>
      <c r="Q177" s="229">
        <f t="shared" ca="1" si="69"/>
        <v>8.8166007198519133E-3</v>
      </c>
      <c r="R177" s="229" t="str">
        <f t="shared" si="62"/>
        <v/>
      </c>
      <c r="S177" s="239"/>
      <c r="T177" s="229" t="str">
        <f t="shared" si="63"/>
        <v/>
      </c>
      <c r="U177" s="229" t="str">
        <f t="shared" si="64"/>
        <v/>
      </c>
      <c r="V177" s="229" t="str">
        <f t="shared" si="65"/>
        <v/>
      </c>
    </row>
    <row r="178" spans="1:22" ht="15" customHeight="1" x14ac:dyDescent="0.2">
      <c r="A178" s="205">
        <f t="shared" si="50"/>
        <v>2051</v>
      </c>
      <c r="B178" s="207">
        <f t="shared" ca="1" si="66"/>
        <v>1.324661948525353</v>
      </c>
      <c r="C178" s="207" t="str">
        <f t="shared" si="51"/>
        <v/>
      </c>
      <c r="D178" s="207" t="str">
        <f t="shared" si="52"/>
        <v/>
      </c>
      <c r="E178" s="234" t="str">
        <f t="shared" si="53"/>
        <v/>
      </c>
      <c r="F178" s="206">
        <f t="shared" ca="1" si="67"/>
        <v>7.1424542890853038E-2</v>
      </c>
      <c r="G178" s="207">
        <f t="shared" ca="1" si="54"/>
        <v>0.11152675662785588</v>
      </c>
      <c r="H178" s="207" t="str">
        <f t="shared" si="55"/>
        <v/>
      </c>
      <c r="I178" s="234" t="str">
        <f t="shared" si="56"/>
        <v/>
      </c>
      <c r="J178" s="601" t="str">
        <f t="shared" ca="1" si="57"/>
        <v/>
      </c>
      <c r="K178" s="232" t="str">
        <f t="shared" si="58"/>
        <v/>
      </c>
      <c r="L178" s="232" t="str">
        <f t="shared" si="59"/>
        <v/>
      </c>
      <c r="M178" s="207" t="str">
        <f t="shared" si="60"/>
        <v/>
      </c>
      <c r="N178" s="235" t="str">
        <f t="shared" si="61"/>
        <v/>
      </c>
      <c r="O178" s="240"/>
      <c r="P178" s="229">
        <f t="shared" ca="1" si="68"/>
        <v>3.0788129497895567E-3</v>
      </c>
      <c r="Q178" s="229">
        <f t="shared" ca="1" si="69"/>
        <v>8.8166007198519133E-3</v>
      </c>
      <c r="R178" s="229" t="str">
        <f t="shared" si="62"/>
        <v/>
      </c>
      <c r="S178" s="239"/>
      <c r="T178" s="229" t="str">
        <f t="shared" si="63"/>
        <v/>
      </c>
      <c r="U178" s="229" t="str">
        <f t="shared" si="64"/>
        <v/>
      </c>
      <c r="V178" s="229" t="str">
        <f t="shared" si="65"/>
        <v/>
      </c>
    </row>
    <row r="179" spans="1:22" ht="15" customHeight="1" x14ac:dyDescent="0.2">
      <c r="A179" s="205">
        <f t="shared" si="50"/>
        <v>2052</v>
      </c>
      <c r="B179" s="207">
        <f t="shared" ca="1" si="66"/>
        <v>1.3301650619123384</v>
      </c>
      <c r="C179" s="207" t="str">
        <f t="shared" si="51"/>
        <v/>
      </c>
      <c r="D179" s="207" t="str">
        <f t="shared" si="52"/>
        <v/>
      </c>
      <c r="E179" s="234" t="str">
        <f t="shared" si="53"/>
        <v/>
      </c>
      <c r="F179" s="206">
        <f t="shared" ca="1" si="67"/>
        <v>7.1821616304790725E-2</v>
      </c>
      <c r="G179" s="207">
        <f t="shared" ca="1" si="54"/>
        <v>0.11153353947531927</v>
      </c>
      <c r="H179" s="207" t="str">
        <f t="shared" si="55"/>
        <v/>
      </c>
      <c r="I179" s="234" t="str">
        <f t="shared" si="56"/>
        <v/>
      </c>
      <c r="J179" s="601" t="str">
        <f t="shared" ca="1" si="57"/>
        <v/>
      </c>
      <c r="K179" s="232" t="str">
        <f t="shared" si="58"/>
        <v/>
      </c>
      <c r="L179" s="232" t="str">
        <f t="shared" si="59"/>
        <v/>
      </c>
      <c r="M179" s="207" t="str">
        <f t="shared" si="60"/>
        <v/>
      </c>
      <c r="N179" s="235" t="str">
        <f t="shared" si="61"/>
        <v/>
      </c>
      <c r="O179" s="240"/>
      <c r="P179" s="229">
        <f t="shared" ca="1" si="68"/>
        <v>3.0788129497895567E-3</v>
      </c>
      <c r="Q179" s="229">
        <f t="shared" ca="1" si="69"/>
        <v>8.8166007198519133E-3</v>
      </c>
      <c r="R179" s="229" t="str">
        <f t="shared" si="62"/>
        <v/>
      </c>
      <c r="S179" s="239"/>
      <c r="T179" s="229" t="str">
        <f t="shared" si="63"/>
        <v/>
      </c>
      <c r="U179" s="229" t="str">
        <f t="shared" si="64"/>
        <v/>
      </c>
      <c r="V179" s="229" t="str">
        <f t="shared" si="65"/>
        <v/>
      </c>
    </row>
    <row r="180" spans="1:22" ht="15" customHeight="1" x14ac:dyDescent="0.2">
      <c r="A180" s="205">
        <f t="shared" si="50"/>
        <v>2053</v>
      </c>
      <c r="B180" s="207">
        <f t="shared" ca="1" si="66"/>
        <v>1.3356910371751283</v>
      </c>
      <c r="C180" s="207" t="str">
        <f t="shared" si="51"/>
        <v/>
      </c>
      <c r="D180" s="207" t="str">
        <f t="shared" si="52"/>
        <v/>
      </c>
      <c r="E180" s="234" t="str">
        <f t="shared" si="53"/>
        <v/>
      </c>
      <c r="F180" s="206">
        <f t="shared" ca="1" si="67"/>
        <v>7.2220897185373278E-2</v>
      </c>
      <c r="G180" s="207">
        <f t="shared" ca="1" si="54"/>
        <v>0.11154032273530268</v>
      </c>
      <c r="H180" s="207" t="str">
        <f t="shared" si="55"/>
        <v/>
      </c>
      <c r="I180" s="234" t="str">
        <f t="shared" si="56"/>
        <v/>
      </c>
      <c r="J180" s="601" t="str">
        <f t="shared" ca="1" si="57"/>
        <v/>
      </c>
      <c r="K180" s="232" t="str">
        <f t="shared" si="58"/>
        <v/>
      </c>
      <c r="L180" s="232" t="str">
        <f t="shared" si="59"/>
        <v/>
      </c>
      <c r="M180" s="207" t="str">
        <f t="shared" si="60"/>
        <v/>
      </c>
      <c r="N180" s="235" t="str">
        <f t="shared" si="61"/>
        <v/>
      </c>
      <c r="O180" s="240"/>
      <c r="P180" s="229">
        <f t="shared" ca="1" si="68"/>
        <v>3.0788129497895567E-3</v>
      </c>
      <c r="Q180" s="229">
        <f t="shared" ca="1" si="69"/>
        <v>8.8166007198519133E-3</v>
      </c>
      <c r="R180" s="229" t="str">
        <f t="shared" si="62"/>
        <v/>
      </c>
      <c r="S180" s="239"/>
      <c r="T180" s="229" t="str">
        <f t="shared" si="63"/>
        <v/>
      </c>
      <c r="U180" s="229" t="str">
        <f t="shared" si="64"/>
        <v/>
      </c>
      <c r="V180" s="229" t="str">
        <f t="shared" si="65"/>
        <v/>
      </c>
    </row>
    <row r="181" spans="1:22" ht="15" customHeight="1" x14ac:dyDescent="0.2">
      <c r="A181" s="205">
        <f t="shared" si="50"/>
        <v>2054</v>
      </c>
      <c r="B181" s="207">
        <f t="shared" ca="1" si="66"/>
        <v>1.3412399692900256</v>
      </c>
      <c r="C181" s="207" t="str">
        <f t="shared" si="51"/>
        <v/>
      </c>
      <c r="D181" s="207" t="str">
        <f t="shared" si="52"/>
        <v/>
      </c>
      <c r="E181" s="234" t="str">
        <f t="shared" si="53"/>
        <v/>
      </c>
      <c r="F181" s="206">
        <f t="shared" ca="1" si="67"/>
        <v>7.2622397804661273E-2</v>
      </c>
      <c r="G181" s="207">
        <f t="shared" ca="1" si="54"/>
        <v>0.11154710640783119</v>
      </c>
      <c r="H181" s="207" t="str">
        <f t="shared" si="55"/>
        <v/>
      </c>
      <c r="I181" s="234" t="str">
        <f t="shared" si="56"/>
        <v/>
      </c>
      <c r="J181" s="601" t="str">
        <f t="shared" ca="1" si="57"/>
        <v/>
      </c>
      <c r="K181" s="232" t="str">
        <f t="shared" si="58"/>
        <v/>
      </c>
      <c r="L181" s="232" t="str">
        <f t="shared" si="59"/>
        <v/>
      </c>
      <c r="M181" s="207" t="str">
        <f t="shared" si="60"/>
        <v/>
      </c>
      <c r="N181" s="235" t="str">
        <f t="shared" si="61"/>
        <v/>
      </c>
      <c r="O181" s="240"/>
      <c r="P181" s="229">
        <f t="shared" ca="1" si="68"/>
        <v>3.0788129497895567E-3</v>
      </c>
      <c r="Q181" s="229">
        <f t="shared" ca="1" si="69"/>
        <v>8.8166007198519133E-3</v>
      </c>
      <c r="R181" s="229" t="str">
        <f t="shared" si="62"/>
        <v/>
      </c>
      <c r="S181" s="239"/>
      <c r="T181" s="229" t="str">
        <f t="shared" si="63"/>
        <v/>
      </c>
      <c r="U181" s="229" t="str">
        <f t="shared" si="64"/>
        <v/>
      </c>
      <c r="V181" s="229" t="str">
        <f t="shared" si="65"/>
        <v/>
      </c>
    </row>
    <row r="182" spans="1:22" ht="15" customHeight="1" thickBot="1" x14ac:dyDescent="0.25">
      <c r="A182" s="208" t="str">
        <f t="shared" si="50"/>
        <v/>
      </c>
      <c r="B182" s="207" t="str">
        <f t="shared" si="66"/>
        <v/>
      </c>
      <c r="C182" s="207" t="str">
        <f t="shared" si="51"/>
        <v/>
      </c>
      <c r="D182" s="207" t="str">
        <f t="shared" si="52"/>
        <v/>
      </c>
      <c r="E182" s="234" t="str">
        <f t="shared" si="53"/>
        <v/>
      </c>
      <c r="F182" s="206" t="str">
        <f t="shared" si="67"/>
        <v/>
      </c>
      <c r="G182" s="207" t="str">
        <f t="shared" si="54"/>
        <v/>
      </c>
      <c r="H182" s="207" t="str">
        <f t="shared" si="55"/>
        <v/>
      </c>
      <c r="I182" s="234" t="str">
        <f t="shared" si="56"/>
        <v/>
      </c>
      <c r="J182" s="601" t="str">
        <f t="shared" si="57"/>
        <v/>
      </c>
      <c r="K182" s="232" t="str">
        <f t="shared" si="58"/>
        <v/>
      </c>
      <c r="L182" s="232" t="str">
        <f t="shared" si="59"/>
        <v/>
      </c>
      <c r="M182" s="207" t="str">
        <f t="shared" si="60"/>
        <v/>
      </c>
      <c r="N182" s="235" t="str">
        <f t="shared" si="61"/>
        <v/>
      </c>
      <c r="O182" s="241"/>
      <c r="P182" s="229" t="str">
        <f t="shared" si="68"/>
        <v/>
      </c>
      <c r="Q182" s="229" t="str">
        <f t="shared" si="69"/>
        <v/>
      </c>
      <c r="R182" s="229" t="str">
        <f t="shared" si="62"/>
        <v/>
      </c>
      <c r="S182" s="239"/>
      <c r="T182" s="229" t="str">
        <f t="shared" si="63"/>
        <v/>
      </c>
      <c r="U182" s="229" t="str">
        <f t="shared" si="64"/>
        <v/>
      </c>
      <c r="V182" s="229" t="str">
        <f t="shared" si="65"/>
        <v/>
      </c>
    </row>
    <row r="184" spans="1:22" ht="13.5" thickBot="1" x14ac:dyDescent="0.25">
      <c r="A184" s="1063" t="s">
        <v>1189</v>
      </c>
    </row>
    <row r="185" spans="1:22" ht="26.25" thickTop="1" x14ac:dyDescent="0.2">
      <c r="A185" s="204" t="s">
        <v>1035</v>
      </c>
      <c r="B185" s="237" t="str">
        <f>IF(B$131="","",B$131&amp;" ($/year)")</f>
        <v>Woody Biomass ($/year)</v>
      </c>
      <c r="C185" s="237" t="str">
        <f t="shared" ref="C185:N185" si="70">IF(C$131="","",C$131&amp;" ($/year)")</f>
        <v/>
      </c>
      <c r="D185" s="237" t="str">
        <f t="shared" si="70"/>
        <v/>
      </c>
      <c r="E185" s="237" t="str">
        <f t="shared" si="70"/>
        <v/>
      </c>
      <c r="F185" s="237" t="str">
        <f t="shared" si="70"/>
        <v>Commercial Natural Gas ($/year)</v>
      </c>
      <c r="G185" s="237" t="str">
        <f t="shared" si="70"/>
        <v>Commercial Electricity ($/year)</v>
      </c>
      <c r="H185" s="237" t="str">
        <f t="shared" si="70"/>
        <v/>
      </c>
      <c r="I185" s="596" t="str">
        <f t="shared" si="70"/>
        <v/>
      </c>
      <c r="J185" s="237" t="str">
        <f t="shared" ca="1" si="70"/>
        <v/>
      </c>
      <c r="K185" s="237" t="str">
        <f t="shared" si="70"/>
        <v/>
      </c>
      <c r="L185" s="237" t="str">
        <f t="shared" si="70"/>
        <v/>
      </c>
      <c r="M185" s="237" t="str">
        <f t="shared" si="70"/>
        <v/>
      </c>
      <c r="N185" s="237" t="str">
        <f t="shared" si="70"/>
        <v/>
      </c>
    </row>
    <row r="186" spans="1:22" x14ac:dyDescent="0.2">
      <c r="A186" s="205">
        <f>+A139</f>
        <v>2012</v>
      </c>
      <c r="B186" s="207">
        <f>IF($C65="","",IF($C65&lt;0,0,IF(AND($C65=1,start_time&lt;1),-(SUM(B139)*output_kgyear*$E65*percnt_var*start_time+SUM(B139)*output_kgyear*$E65*(1-start_time)),IF($C65&lt;=start_time,-SUM(B139)*output_kgyear*$E65*percnt_var,-SUM(B139)*output_kgyear*$E65))))</f>
        <v>0</v>
      </c>
      <c r="C186" s="207">
        <f t="shared" ref="C186:N186" si="71">IF($C65="","",IF($C65&lt;0,0,IF(AND($C65=1,start_time&lt;1),-(SUM(C139)*output_kgyear*$E65*percnt_var*start_time+SUM(C139)*output_kgyear*$E65*(1-start_time)),IF($C65&lt;=start_time,-SUM(C139)*output_kgyear*$E65*percnt_var,-SUM(C139)*output_kgyear*$E65))))</f>
        <v>0</v>
      </c>
      <c r="D186" s="207">
        <f t="shared" si="71"/>
        <v>0</v>
      </c>
      <c r="E186" s="234">
        <f t="shared" si="71"/>
        <v>0</v>
      </c>
      <c r="F186" s="206">
        <f t="shared" si="71"/>
        <v>0</v>
      </c>
      <c r="G186" s="207">
        <f t="shared" si="71"/>
        <v>0</v>
      </c>
      <c r="H186" s="207">
        <f t="shared" si="71"/>
        <v>0</v>
      </c>
      <c r="I186" s="234">
        <f t="shared" si="71"/>
        <v>0</v>
      </c>
      <c r="J186" s="601">
        <f t="shared" si="71"/>
        <v>0</v>
      </c>
      <c r="K186" s="232">
        <f t="shared" si="71"/>
        <v>0</v>
      </c>
      <c r="L186" s="232">
        <f t="shared" si="71"/>
        <v>0</v>
      </c>
      <c r="M186" s="207">
        <f t="shared" si="71"/>
        <v>0</v>
      </c>
      <c r="N186" s="235">
        <f t="shared" si="71"/>
        <v>0</v>
      </c>
    </row>
    <row r="187" spans="1:22" x14ac:dyDescent="0.2">
      <c r="A187" s="205">
        <f t="shared" ref="A187:A229" si="72">+A140</f>
        <v>2013</v>
      </c>
      <c r="B187" s="207">
        <f t="shared" ref="B187:N187" si="73">IF($C66="","",IF($C66&lt;0,0,IF(AND($C66=1,start_time&lt;1),-(SUM(B140)*output_kgyear*$E66*percnt_var*start_time+SUM(B140)*output_kgyear*$E66*(1-start_time)),IF($C66&lt;=start_time,-SUM(B140)*output_kgyear*$E66*percnt_var,-SUM(B140)*output_kgyear*$E66))))</f>
        <v>0</v>
      </c>
      <c r="C187" s="207">
        <f t="shared" si="73"/>
        <v>0</v>
      </c>
      <c r="D187" s="207">
        <f t="shared" si="73"/>
        <v>0</v>
      </c>
      <c r="E187" s="234">
        <f t="shared" si="73"/>
        <v>0</v>
      </c>
      <c r="F187" s="206">
        <f t="shared" si="73"/>
        <v>0</v>
      </c>
      <c r="G187" s="207">
        <f t="shared" si="73"/>
        <v>0</v>
      </c>
      <c r="H187" s="207">
        <f t="shared" si="73"/>
        <v>0</v>
      </c>
      <c r="I187" s="234">
        <f t="shared" si="73"/>
        <v>0</v>
      </c>
      <c r="J187" s="601">
        <f t="shared" si="73"/>
        <v>0</v>
      </c>
      <c r="K187" s="232">
        <f t="shared" si="73"/>
        <v>0</v>
      </c>
      <c r="L187" s="232">
        <f t="shared" si="73"/>
        <v>0</v>
      </c>
      <c r="M187" s="207">
        <f t="shared" si="73"/>
        <v>0</v>
      </c>
      <c r="N187" s="235">
        <f t="shared" si="73"/>
        <v>0</v>
      </c>
    </row>
    <row r="188" spans="1:22" x14ac:dyDescent="0.2">
      <c r="A188" s="205">
        <f t="shared" si="72"/>
        <v>2014</v>
      </c>
      <c r="B188" s="207">
        <f t="shared" ref="B188:N188" si="74">IF($C67="","",IF($C67&lt;0,0,IF(AND($C67=1,start_time&lt;1),-(SUM(B141)*output_kgyear*$E67*percnt_var*start_time+SUM(B141)*output_kgyear*$E67*(1-start_time)),IF($C67&lt;=start_time,-SUM(B141)*output_kgyear*$E67*percnt_var,-SUM(B141)*output_kgyear*$E67))))</f>
        <v>0</v>
      </c>
      <c r="C188" s="207">
        <f t="shared" si="74"/>
        <v>0</v>
      </c>
      <c r="D188" s="207">
        <f t="shared" si="74"/>
        <v>0</v>
      </c>
      <c r="E188" s="234">
        <f t="shared" si="74"/>
        <v>0</v>
      </c>
      <c r="F188" s="206">
        <f t="shared" si="74"/>
        <v>0</v>
      </c>
      <c r="G188" s="207">
        <f t="shared" si="74"/>
        <v>0</v>
      </c>
      <c r="H188" s="207">
        <f t="shared" si="74"/>
        <v>0</v>
      </c>
      <c r="I188" s="234">
        <f t="shared" si="74"/>
        <v>0</v>
      </c>
      <c r="J188" s="601">
        <f t="shared" si="74"/>
        <v>0</v>
      </c>
      <c r="K188" s="232">
        <f t="shared" si="74"/>
        <v>0</v>
      </c>
      <c r="L188" s="232">
        <f t="shared" si="74"/>
        <v>0</v>
      </c>
      <c r="M188" s="207">
        <f t="shared" si="74"/>
        <v>0</v>
      </c>
      <c r="N188" s="235">
        <f t="shared" si="74"/>
        <v>0</v>
      </c>
    </row>
    <row r="189" spans="1:22" x14ac:dyDescent="0.2">
      <c r="A189" s="205">
        <f t="shared" si="72"/>
        <v>2015</v>
      </c>
      <c r="B189" s="207">
        <f t="shared" ref="B189:N189" ca="1" si="75">IF($C68="","",IF($C68&lt;0,0,IF(AND($C68=1,start_time&lt;1),-(SUM(B142)*output_kgyear*$E68*percnt_var*start_time+SUM(B142)*output_kgyear*$E68*(1-start_time)),IF($C68&lt;=start_time,-SUM(B142)*output_kgyear*$E68*percnt_var,-SUM(B142)*output_kgyear*$E68))))</f>
        <v>-50453775.086010292</v>
      </c>
      <c r="C189" s="207">
        <f t="shared" ca="1" si="75"/>
        <v>0</v>
      </c>
      <c r="D189" s="207">
        <f t="shared" ca="1" si="75"/>
        <v>0</v>
      </c>
      <c r="E189" s="234">
        <f t="shared" ca="1" si="75"/>
        <v>0</v>
      </c>
      <c r="F189" s="206">
        <f ca="1">IF($C68="","",IF($C68&lt;0,0,IF(AND($C68=1,start_time&lt;1),-(SUM(F142)*output_kgyear*$E68*percnt_var*start_time+SUM(F142)*output_kgyear*$E68*(1-start_time)),IF($C68&lt;=start_time,-SUM(F142)*output_kgyear*$E68*percnt_var,-SUM(F142)*output_kgyear*$E68))))</f>
        <v>-1894504.8312542238</v>
      </c>
      <c r="G189" s="207">
        <f t="shared" ca="1" si="75"/>
        <v>-3963531.2326826677</v>
      </c>
      <c r="H189" s="207">
        <f t="shared" ca="1" si="75"/>
        <v>0</v>
      </c>
      <c r="I189" s="234">
        <f t="shared" ca="1" si="75"/>
        <v>0</v>
      </c>
      <c r="J189" s="601">
        <f t="shared" ca="1" si="75"/>
        <v>0</v>
      </c>
      <c r="K189" s="232">
        <f t="shared" ca="1" si="75"/>
        <v>0</v>
      </c>
      <c r="L189" s="232">
        <f t="shared" ca="1" si="75"/>
        <v>0</v>
      </c>
      <c r="M189" s="207">
        <f t="shared" ca="1" si="75"/>
        <v>0</v>
      </c>
      <c r="N189" s="235">
        <f t="shared" ca="1" si="75"/>
        <v>0</v>
      </c>
    </row>
    <row r="190" spans="1:22" x14ac:dyDescent="0.2">
      <c r="A190" s="205">
        <f t="shared" si="72"/>
        <v>2016</v>
      </c>
      <c r="B190" s="207">
        <f t="shared" ref="B190:N190" ca="1" si="76">IF($C69="","",IF($C69&lt;0,0,IF(AND($C69=1,start_time&lt;1),-(SUM(B143)*output_kgyear*$E69*percnt_var*start_time+SUM(B143)*output_kgyear*$E69*(1-start_time)),IF($C69&lt;=start_time,-SUM(B143)*output_kgyear*$E69*percnt_var,-SUM(B143)*output_kgyear*$E69))))</f>
        <v>-68549862.416859314</v>
      </c>
      <c r="C190" s="207">
        <f t="shared" ca="1" si="76"/>
        <v>0</v>
      </c>
      <c r="D190" s="207">
        <f t="shared" ca="1" si="76"/>
        <v>0</v>
      </c>
      <c r="E190" s="234">
        <f t="shared" ca="1" si="76"/>
        <v>0</v>
      </c>
      <c r="F190" s="206">
        <f t="shared" ca="1" si="76"/>
        <v>-2339180.4614459481</v>
      </c>
      <c r="G190" s="207">
        <f t="shared" ca="1" si="76"/>
        <v>-5212404.1280904347</v>
      </c>
      <c r="H190" s="207">
        <f t="shared" ca="1" si="76"/>
        <v>0</v>
      </c>
      <c r="I190" s="234">
        <f t="shared" ca="1" si="76"/>
        <v>0</v>
      </c>
      <c r="J190" s="601">
        <f t="shared" ca="1" si="76"/>
        <v>0</v>
      </c>
      <c r="K190" s="232">
        <f t="shared" ca="1" si="76"/>
        <v>0</v>
      </c>
      <c r="L190" s="232">
        <f t="shared" ca="1" si="76"/>
        <v>0</v>
      </c>
      <c r="M190" s="207">
        <f t="shared" ca="1" si="76"/>
        <v>0</v>
      </c>
      <c r="N190" s="235">
        <f t="shared" ca="1" si="76"/>
        <v>0</v>
      </c>
    </row>
    <row r="191" spans="1:22" x14ac:dyDescent="0.2">
      <c r="A191" s="205">
        <f t="shared" si="72"/>
        <v>2017</v>
      </c>
      <c r="B191" s="207">
        <f t="shared" ref="B191:N191" ca="1" si="77">IF($C70="","",IF($C70&lt;0,0,IF(AND($C70=1,start_time&lt;1),-(SUM(B144)*output_kgyear*$E70*percnt_var*start_time+SUM(B144)*output_kgyear*$E70*(1-start_time)),IF($C70&lt;=start_time,-SUM(B144)*output_kgyear*$E70*percnt_var,-SUM(B144)*output_kgyear*$E70))))</f>
        <v>-69852309.802779645</v>
      </c>
      <c r="C191" s="207">
        <f t="shared" ca="1" si="77"/>
        <v>0</v>
      </c>
      <c r="D191" s="207">
        <f t="shared" ca="1" si="77"/>
        <v>0</v>
      </c>
      <c r="E191" s="234">
        <f t="shared" ca="1" si="77"/>
        <v>0</v>
      </c>
      <c r="F191" s="206">
        <f t="shared" ca="1" si="77"/>
        <v>-2417171.9303760706</v>
      </c>
      <c r="G191" s="207">
        <f t="shared" ca="1" si="77"/>
        <v>-5340042.38157734</v>
      </c>
      <c r="H191" s="207">
        <f t="shared" ca="1" si="77"/>
        <v>0</v>
      </c>
      <c r="I191" s="234">
        <f t="shared" ca="1" si="77"/>
        <v>0</v>
      </c>
      <c r="J191" s="601">
        <f t="shared" ca="1" si="77"/>
        <v>0</v>
      </c>
      <c r="K191" s="232">
        <f t="shared" ca="1" si="77"/>
        <v>0</v>
      </c>
      <c r="L191" s="232">
        <f t="shared" ca="1" si="77"/>
        <v>0</v>
      </c>
      <c r="M191" s="207">
        <f t="shared" ca="1" si="77"/>
        <v>0</v>
      </c>
      <c r="N191" s="235">
        <f t="shared" ca="1" si="77"/>
        <v>0</v>
      </c>
    </row>
    <row r="192" spans="1:22" x14ac:dyDescent="0.2">
      <c r="A192" s="205">
        <f t="shared" si="72"/>
        <v>2018</v>
      </c>
      <c r="B192" s="207">
        <f t="shared" ref="B192:N192" ca="1" si="78">IF($C71="","",IF($C71&lt;0,0,IF(AND($C71=1,start_time&lt;1),-(SUM(B145)*output_kgyear*$E71*percnt_var*start_time+SUM(B145)*output_kgyear*$E71*(1-start_time)),IF($C71&lt;=start_time,-SUM(B145)*output_kgyear*$E71*percnt_var,-SUM(B145)*output_kgyear*$E71))))</f>
        <v>-71179503.68903245</v>
      </c>
      <c r="C192" s="207">
        <f t="shared" ca="1" si="78"/>
        <v>0</v>
      </c>
      <c r="D192" s="207">
        <f t="shared" ca="1" si="78"/>
        <v>0</v>
      </c>
      <c r="E192" s="234">
        <f t="shared" ca="1" si="78"/>
        <v>0</v>
      </c>
      <c r="F192" s="206">
        <f t="shared" ca="1" si="78"/>
        <v>-2631589.1682087886</v>
      </c>
      <c r="G192" s="207">
        <f t="shared" ca="1" si="78"/>
        <v>-5416742.4381922716</v>
      </c>
      <c r="H192" s="207">
        <f t="shared" ca="1" si="78"/>
        <v>0</v>
      </c>
      <c r="I192" s="234">
        <f t="shared" ca="1" si="78"/>
        <v>0</v>
      </c>
      <c r="J192" s="601">
        <f t="shared" ca="1" si="78"/>
        <v>0</v>
      </c>
      <c r="K192" s="232">
        <f t="shared" ca="1" si="78"/>
        <v>0</v>
      </c>
      <c r="L192" s="232">
        <f t="shared" ca="1" si="78"/>
        <v>0</v>
      </c>
      <c r="M192" s="207">
        <f t="shared" ca="1" si="78"/>
        <v>0</v>
      </c>
      <c r="N192" s="235">
        <f t="shared" ca="1" si="78"/>
        <v>0</v>
      </c>
    </row>
    <row r="193" spans="1:14" x14ac:dyDescent="0.2">
      <c r="A193" s="205">
        <f t="shared" si="72"/>
        <v>2019</v>
      </c>
      <c r="B193" s="207">
        <f t="shared" ref="B193:N193" ca="1" si="79">IF($C72="","",IF($C72&lt;0,0,IF(AND($C72=1,start_time&lt;1),-(SUM(B146)*output_kgyear*$E72*percnt_var*start_time+SUM(B146)*output_kgyear*$E72*(1-start_time)),IF($C72&lt;=start_time,-SUM(B146)*output_kgyear*$E72*percnt_var,-SUM(B146)*output_kgyear*$E72))))</f>
        <v>-72531914.25912407</v>
      </c>
      <c r="C193" s="207">
        <f t="shared" ca="1" si="79"/>
        <v>0</v>
      </c>
      <c r="D193" s="207">
        <f t="shared" ca="1" si="79"/>
        <v>0</v>
      </c>
      <c r="E193" s="234">
        <f t="shared" ca="1" si="79"/>
        <v>0</v>
      </c>
      <c r="F193" s="206">
        <f t="shared" ca="1" si="79"/>
        <v>-2876644.3137186803</v>
      </c>
      <c r="G193" s="207">
        <f t="shared" ca="1" si="79"/>
        <v>-5595626.7794889277</v>
      </c>
      <c r="H193" s="207">
        <f t="shared" ca="1" si="79"/>
        <v>0</v>
      </c>
      <c r="I193" s="234">
        <f t="shared" ca="1" si="79"/>
        <v>0</v>
      </c>
      <c r="J193" s="601">
        <f t="shared" ca="1" si="79"/>
        <v>0</v>
      </c>
      <c r="K193" s="232">
        <f t="shared" ca="1" si="79"/>
        <v>0</v>
      </c>
      <c r="L193" s="232">
        <f t="shared" ca="1" si="79"/>
        <v>0</v>
      </c>
      <c r="M193" s="207">
        <f t="shared" ca="1" si="79"/>
        <v>0</v>
      </c>
      <c r="N193" s="235">
        <f t="shared" ca="1" si="79"/>
        <v>0</v>
      </c>
    </row>
    <row r="194" spans="1:14" x14ac:dyDescent="0.2">
      <c r="A194" s="205">
        <f t="shared" si="72"/>
        <v>2020</v>
      </c>
      <c r="B194" s="207">
        <f t="shared" ref="B194:N194" ca="1" si="80">IF($C73="","",IF($C73&lt;0,0,IF(AND($C73=1,start_time&lt;1),-(SUM(B147)*output_kgyear*$E73*percnt_var*start_time+SUM(B147)*output_kgyear*$E73*(1-start_time)),IF($C73&lt;=start_time,-SUM(B147)*output_kgyear*$E73*percnt_var,-SUM(B147)*output_kgyear*$E73))))</f>
        <v>-73910020.630047411</v>
      </c>
      <c r="C194" s="207">
        <f t="shared" ca="1" si="80"/>
        <v>0</v>
      </c>
      <c r="D194" s="207">
        <f t="shared" ca="1" si="80"/>
        <v>0</v>
      </c>
      <c r="E194" s="234">
        <f t="shared" ca="1" si="80"/>
        <v>0</v>
      </c>
      <c r="F194" s="206">
        <f t="shared" ca="1" si="80"/>
        <v>-3130715.8246902367</v>
      </c>
      <c r="G194" s="207">
        <f t="shared" ca="1" si="80"/>
        <v>-5797228.3058481002</v>
      </c>
      <c r="H194" s="207">
        <f t="shared" ca="1" si="80"/>
        <v>0</v>
      </c>
      <c r="I194" s="234">
        <f t="shared" ca="1" si="80"/>
        <v>0</v>
      </c>
      <c r="J194" s="601">
        <f t="shared" ca="1" si="80"/>
        <v>0</v>
      </c>
      <c r="K194" s="232">
        <f t="shared" ca="1" si="80"/>
        <v>0</v>
      </c>
      <c r="L194" s="232">
        <f t="shared" ca="1" si="80"/>
        <v>0</v>
      </c>
      <c r="M194" s="207">
        <f t="shared" ca="1" si="80"/>
        <v>0</v>
      </c>
      <c r="N194" s="235">
        <f t="shared" ca="1" si="80"/>
        <v>0</v>
      </c>
    </row>
    <row r="195" spans="1:14" x14ac:dyDescent="0.2">
      <c r="A195" s="205">
        <f t="shared" si="72"/>
        <v>2021</v>
      </c>
      <c r="B195" s="207">
        <f t="shared" ref="B195:N195" ca="1" si="81">IF($C74="","",IF($C74&lt;0,0,IF(AND($C74=1,start_time&lt;1),-(SUM(B148)*output_kgyear*$E74*percnt_var*start_time+SUM(B148)*output_kgyear*$E74*(1-start_time)),IF($C74&lt;=start_time,-SUM(B148)*output_kgyear*$E74*percnt_var,-SUM(B148)*output_kgyear*$E74))))</f>
        <v>-75314311.022018328</v>
      </c>
      <c r="C195" s="207">
        <f t="shared" ca="1" si="81"/>
        <v>0</v>
      </c>
      <c r="D195" s="207">
        <f t="shared" ca="1" si="81"/>
        <v>0</v>
      </c>
      <c r="E195" s="234">
        <f t="shared" ca="1" si="81"/>
        <v>0</v>
      </c>
      <c r="F195" s="206">
        <f t="shared" ca="1" si="81"/>
        <v>-3226375.6817380618</v>
      </c>
      <c r="G195" s="207">
        <f t="shared" ca="1" si="81"/>
        <v>-5947522.5126310224</v>
      </c>
      <c r="H195" s="207">
        <f t="shared" ca="1" si="81"/>
        <v>0</v>
      </c>
      <c r="I195" s="234">
        <f t="shared" ca="1" si="81"/>
        <v>0</v>
      </c>
      <c r="J195" s="601">
        <f t="shared" ca="1" si="81"/>
        <v>0</v>
      </c>
      <c r="K195" s="232">
        <f t="shared" ca="1" si="81"/>
        <v>0</v>
      </c>
      <c r="L195" s="232">
        <f t="shared" ca="1" si="81"/>
        <v>0</v>
      </c>
      <c r="M195" s="207">
        <f t="shared" ca="1" si="81"/>
        <v>0</v>
      </c>
      <c r="N195" s="235">
        <f t="shared" ca="1" si="81"/>
        <v>0</v>
      </c>
    </row>
    <row r="196" spans="1:14" x14ac:dyDescent="0.2">
      <c r="A196" s="205">
        <f t="shared" si="72"/>
        <v>2022</v>
      </c>
      <c r="B196" s="207">
        <f t="shared" ref="B196:N196" ca="1" si="82">IF($C75="","",IF($C75&lt;0,0,IF(AND($C75=1,start_time&lt;1),-(SUM(B149)*output_kgyear*$E75*percnt_var*start_time+SUM(B149)*output_kgyear*$E75*(1-start_time)),IF($C75&lt;=start_time,-SUM(B149)*output_kgyear*$E75*percnt_var,-SUM(B149)*output_kgyear*$E75))))</f>
        <v>-76745282.931436673</v>
      </c>
      <c r="C196" s="207">
        <f t="shared" ca="1" si="82"/>
        <v>0</v>
      </c>
      <c r="D196" s="207">
        <f t="shared" ca="1" si="82"/>
        <v>0</v>
      </c>
      <c r="E196" s="234">
        <f t="shared" ca="1" si="82"/>
        <v>0</v>
      </c>
      <c r="F196" s="206">
        <f t="shared" ca="1" si="82"/>
        <v>-3308279.6156701264</v>
      </c>
      <c r="G196" s="207">
        <f t="shared" ca="1" si="82"/>
        <v>-6260458.1353141936</v>
      </c>
      <c r="H196" s="207">
        <f t="shared" ca="1" si="82"/>
        <v>0</v>
      </c>
      <c r="I196" s="234">
        <f t="shared" ca="1" si="82"/>
        <v>0</v>
      </c>
      <c r="J196" s="601">
        <f t="shared" ca="1" si="82"/>
        <v>0</v>
      </c>
      <c r="K196" s="232">
        <f t="shared" ca="1" si="82"/>
        <v>0</v>
      </c>
      <c r="L196" s="232">
        <f t="shared" ca="1" si="82"/>
        <v>0</v>
      </c>
      <c r="M196" s="207">
        <f t="shared" ca="1" si="82"/>
        <v>0</v>
      </c>
      <c r="N196" s="235">
        <f t="shared" ca="1" si="82"/>
        <v>0</v>
      </c>
    </row>
    <row r="197" spans="1:14" x14ac:dyDescent="0.2">
      <c r="A197" s="205">
        <f t="shared" si="72"/>
        <v>2023</v>
      </c>
      <c r="B197" s="207">
        <f t="shared" ref="B197:N197" ca="1" si="83">IF($C76="","",IF($C76&lt;0,0,IF(AND($C76=1,start_time&lt;1),-(SUM(B150)*output_kgyear*$E76*percnt_var*start_time+SUM(B150)*output_kgyear*$E76*(1-start_time)),IF($C76&lt;=start_time,-SUM(B150)*output_kgyear*$E76*percnt_var,-SUM(B150)*output_kgyear*$E76))))</f>
        <v>-78203443.307133958</v>
      </c>
      <c r="C197" s="207">
        <f t="shared" ca="1" si="83"/>
        <v>0</v>
      </c>
      <c r="D197" s="207">
        <f t="shared" ca="1" si="83"/>
        <v>0</v>
      </c>
      <c r="E197" s="234">
        <f t="shared" ca="1" si="83"/>
        <v>0</v>
      </c>
      <c r="F197" s="206">
        <f t="shared" ca="1" si="83"/>
        <v>-3395277.8436321067</v>
      </c>
      <c r="G197" s="207">
        <f t="shared" ca="1" si="83"/>
        <v>-6444789.2506706947</v>
      </c>
      <c r="H197" s="207">
        <f t="shared" ca="1" si="83"/>
        <v>0</v>
      </c>
      <c r="I197" s="234">
        <f t="shared" ca="1" si="83"/>
        <v>0</v>
      </c>
      <c r="J197" s="601">
        <f t="shared" ca="1" si="83"/>
        <v>0</v>
      </c>
      <c r="K197" s="232">
        <f t="shared" ca="1" si="83"/>
        <v>0</v>
      </c>
      <c r="L197" s="232">
        <f t="shared" ca="1" si="83"/>
        <v>0</v>
      </c>
      <c r="M197" s="207">
        <f t="shared" ca="1" si="83"/>
        <v>0</v>
      </c>
      <c r="N197" s="235">
        <f t="shared" ca="1" si="83"/>
        <v>0</v>
      </c>
    </row>
    <row r="198" spans="1:14" x14ac:dyDescent="0.2">
      <c r="A198" s="205">
        <f t="shared" si="72"/>
        <v>2024</v>
      </c>
      <c r="B198" s="207">
        <f t="shared" ref="B198:N198" ca="1" si="84">IF($C77="","",IF($C77&lt;0,0,IF(AND($C77=1,start_time&lt;1),-(SUM(B151)*output_kgyear*$E77*percnt_var*start_time+SUM(B151)*output_kgyear*$E77*(1-start_time)),IF($C77&lt;=start_time,-SUM(B151)*output_kgyear*$E77*percnt_var,-SUM(B151)*output_kgyear*$E77))))</f>
        <v>-79689308.729969501</v>
      </c>
      <c r="C198" s="207">
        <f t="shared" ca="1" si="84"/>
        <v>0</v>
      </c>
      <c r="D198" s="207">
        <f t="shared" ca="1" si="84"/>
        <v>0</v>
      </c>
      <c r="E198" s="234">
        <f t="shared" ca="1" si="84"/>
        <v>0</v>
      </c>
      <c r="F198" s="206">
        <f t="shared" ca="1" si="84"/>
        <v>-3501497.1908705318</v>
      </c>
      <c r="G198" s="207">
        <f t="shared" ca="1" si="84"/>
        <v>-6554216.9809839996</v>
      </c>
      <c r="H198" s="207">
        <f t="shared" ca="1" si="84"/>
        <v>0</v>
      </c>
      <c r="I198" s="234">
        <f t="shared" ca="1" si="84"/>
        <v>0</v>
      </c>
      <c r="J198" s="601">
        <f t="shared" ca="1" si="84"/>
        <v>0</v>
      </c>
      <c r="K198" s="232">
        <f t="shared" ca="1" si="84"/>
        <v>0</v>
      </c>
      <c r="L198" s="232">
        <f t="shared" ca="1" si="84"/>
        <v>0</v>
      </c>
      <c r="M198" s="207">
        <f t="shared" ca="1" si="84"/>
        <v>0</v>
      </c>
      <c r="N198" s="235">
        <f t="shared" ca="1" si="84"/>
        <v>0</v>
      </c>
    </row>
    <row r="199" spans="1:14" x14ac:dyDescent="0.2">
      <c r="A199" s="205">
        <f t="shared" si="72"/>
        <v>2025</v>
      </c>
      <c r="B199" s="207">
        <f t="shared" ref="B199:N199" ca="1" si="85">IF($C78="","",IF($C78&lt;0,0,IF(AND($C78=1,start_time&lt;1),-(SUM(B152)*output_kgyear*$E78*percnt_var*start_time+SUM(B152)*output_kgyear*$E78*(1-start_time)),IF($C78&lt;=start_time,-SUM(B152)*output_kgyear*$E78*percnt_var,-SUM(B152)*output_kgyear*$E78))))</f>
        <v>-81203405.595838919</v>
      </c>
      <c r="C199" s="207">
        <f t="shared" ca="1" si="85"/>
        <v>0</v>
      </c>
      <c r="D199" s="207">
        <f t="shared" ca="1" si="85"/>
        <v>0</v>
      </c>
      <c r="E199" s="234">
        <f t="shared" ca="1" si="85"/>
        <v>0</v>
      </c>
      <c r="F199" s="206">
        <f t="shared" ca="1" si="85"/>
        <v>-3615094.3045334308</v>
      </c>
      <c r="G199" s="207">
        <f t="shared" ca="1" si="85"/>
        <v>-6788842.2439516271</v>
      </c>
      <c r="H199" s="207">
        <f t="shared" ca="1" si="85"/>
        <v>0</v>
      </c>
      <c r="I199" s="234">
        <f t="shared" ca="1" si="85"/>
        <v>0</v>
      </c>
      <c r="J199" s="601">
        <f t="shared" ca="1" si="85"/>
        <v>0</v>
      </c>
      <c r="K199" s="232">
        <f t="shared" ca="1" si="85"/>
        <v>0</v>
      </c>
      <c r="L199" s="232">
        <f t="shared" ca="1" si="85"/>
        <v>0</v>
      </c>
      <c r="M199" s="207">
        <f t="shared" ca="1" si="85"/>
        <v>0</v>
      </c>
      <c r="N199" s="235">
        <f t="shared" ca="1" si="85"/>
        <v>0</v>
      </c>
    </row>
    <row r="200" spans="1:14" x14ac:dyDescent="0.2">
      <c r="A200" s="205">
        <f t="shared" si="72"/>
        <v>2026</v>
      </c>
      <c r="B200" s="207">
        <f t="shared" ref="B200:N200" ca="1" si="86">IF($C79="","",IF($C79&lt;0,0,IF(AND($C79=1,start_time&lt;1),-(SUM(B153)*output_kgyear*$E79*percnt_var*start_time+SUM(B153)*output_kgyear*$E79*(1-start_time)),IF($C79&lt;=start_time,-SUM(B153)*output_kgyear*$E79*percnt_var,-SUM(B153)*output_kgyear*$E79))))</f>
        <v>-82746270.302159846</v>
      </c>
      <c r="C200" s="207">
        <f t="shared" ca="1" si="86"/>
        <v>0</v>
      </c>
      <c r="D200" s="207">
        <f t="shared" ca="1" si="86"/>
        <v>0</v>
      </c>
      <c r="E200" s="234">
        <f t="shared" ca="1" si="86"/>
        <v>0</v>
      </c>
      <c r="F200" s="206">
        <f t="shared" ca="1" si="86"/>
        <v>-3726517.461970367</v>
      </c>
      <c r="G200" s="207">
        <f t="shared" ca="1" si="86"/>
        <v>-6990668.8414858123</v>
      </c>
      <c r="H200" s="207">
        <f t="shared" ca="1" si="86"/>
        <v>0</v>
      </c>
      <c r="I200" s="234">
        <f t="shared" ca="1" si="86"/>
        <v>0</v>
      </c>
      <c r="J200" s="601">
        <f t="shared" ca="1" si="86"/>
        <v>0</v>
      </c>
      <c r="K200" s="232">
        <f t="shared" ca="1" si="86"/>
        <v>0</v>
      </c>
      <c r="L200" s="232">
        <f t="shared" ca="1" si="86"/>
        <v>0</v>
      </c>
      <c r="M200" s="207">
        <f t="shared" ca="1" si="86"/>
        <v>0</v>
      </c>
      <c r="N200" s="235">
        <f t="shared" ca="1" si="86"/>
        <v>0</v>
      </c>
    </row>
    <row r="201" spans="1:14" x14ac:dyDescent="0.2">
      <c r="A201" s="205">
        <f t="shared" si="72"/>
        <v>2027</v>
      </c>
      <c r="B201" s="207">
        <f t="shared" ref="B201:N201" ca="1" si="87">IF($C80="","",IF($C80&lt;0,0,IF(AND($C80=1,start_time&lt;1),-(SUM(B154)*output_kgyear*$E80*percnt_var*start_time+SUM(B154)*output_kgyear*$E80*(1-start_time)),IF($C80&lt;=start_time,-SUM(B154)*output_kgyear*$E80*percnt_var,-SUM(B154)*output_kgyear*$E80))))</f>
        <v>-84318449.437900886</v>
      </c>
      <c r="C201" s="207">
        <f t="shared" ca="1" si="87"/>
        <v>0</v>
      </c>
      <c r="D201" s="207">
        <f t="shared" ca="1" si="87"/>
        <v>0</v>
      </c>
      <c r="E201" s="234">
        <f t="shared" ca="1" si="87"/>
        <v>0</v>
      </c>
      <c r="F201" s="206">
        <f t="shared" ca="1" si="87"/>
        <v>-3938347.6724219518</v>
      </c>
      <c r="G201" s="207">
        <f t="shared" ca="1" si="87"/>
        <v>-7142234.5909647383</v>
      </c>
      <c r="H201" s="207">
        <f t="shared" ca="1" si="87"/>
        <v>0</v>
      </c>
      <c r="I201" s="234">
        <f t="shared" ca="1" si="87"/>
        <v>0</v>
      </c>
      <c r="J201" s="601">
        <f t="shared" ca="1" si="87"/>
        <v>0</v>
      </c>
      <c r="K201" s="232">
        <f t="shared" ca="1" si="87"/>
        <v>0</v>
      </c>
      <c r="L201" s="232">
        <f t="shared" ca="1" si="87"/>
        <v>0</v>
      </c>
      <c r="M201" s="207">
        <f t="shared" ca="1" si="87"/>
        <v>0</v>
      </c>
      <c r="N201" s="235">
        <f t="shared" ca="1" si="87"/>
        <v>0</v>
      </c>
    </row>
    <row r="202" spans="1:14" x14ac:dyDescent="0.2">
      <c r="A202" s="205">
        <f t="shared" si="72"/>
        <v>2028</v>
      </c>
      <c r="B202" s="207">
        <f t="shared" ref="B202:N202" ca="1" si="88">IF($C81="","",IF($C81&lt;0,0,IF(AND($C81=1,start_time&lt;1),-(SUM(B155)*output_kgyear*$E81*percnt_var*start_time+SUM(B155)*output_kgyear*$E81*(1-start_time)),IF($C81&lt;=start_time,-SUM(B155)*output_kgyear*$E81*percnt_var,-SUM(B155)*output_kgyear*$E81))))</f>
        <v>-85920499.977220982</v>
      </c>
      <c r="C202" s="207">
        <f t="shared" ca="1" si="88"/>
        <v>0</v>
      </c>
      <c r="D202" s="207">
        <f t="shared" ca="1" si="88"/>
        <v>0</v>
      </c>
      <c r="E202" s="234">
        <f t="shared" ca="1" si="88"/>
        <v>0</v>
      </c>
      <c r="F202" s="206">
        <f t="shared" ca="1" si="88"/>
        <v>-4057580.3354497692</v>
      </c>
      <c r="G202" s="207">
        <f t="shared" ca="1" si="88"/>
        <v>-7294260.6738731936</v>
      </c>
      <c r="H202" s="207">
        <f t="shared" ca="1" si="88"/>
        <v>0</v>
      </c>
      <c r="I202" s="234">
        <f t="shared" ca="1" si="88"/>
        <v>0</v>
      </c>
      <c r="J202" s="601">
        <f t="shared" ca="1" si="88"/>
        <v>0</v>
      </c>
      <c r="K202" s="232">
        <f t="shared" ca="1" si="88"/>
        <v>0</v>
      </c>
      <c r="L202" s="232">
        <f t="shared" ca="1" si="88"/>
        <v>0</v>
      </c>
      <c r="M202" s="207">
        <f t="shared" ca="1" si="88"/>
        <v>0</v>
      </c>
      <c r="N202" s="235">
        <f t="shared" ca="1" si="88"/>
        <v>0</v>
      </c>
    </row>
    <row r="203" spans="1:14" x14ac:dyDescent="0.2">
      <c r="A203" s="205">
        <f t="shared" si="72"/>
        <v>2029</v>
      </c>
      <c r="B203" s="207">
        <f t="shared" ref="B203:N203" ca="1" si="89">IF($C82="","",IF($C82&lt;0,0,IF(AND($C82=1,start_time&lt;1),-(SUM(B156)*output_kgyear*$E82*percnt_var*start_time+SUM(B156)*output_kgyear*$E82*(1-start_time)),IF($C82&lt;=start_time,-SUM(B156)*output_kgyear*$E82*percnt_var,-SUM(B156)*output_kgyear*$E82))))</f>
        <v>-87552989.476788193</v>
      </c>
      <c r="C203" s="207">
        <f t="shared" ca="1" si="89"/>
        <v>0</v>
      </c>
      <c r="D203" s="207">
        <f t="shared" ca="1" si="89"/>
        <v>0</v>
      </c>
      <c r="E203" s="234">
        <f t="shared" ca="1" si="89"/>
        <v>0</v>
      </c>
      <c r="F203" s="206">
        <f t="shared" ca="1" si="89"/>
        <v>-4177664.9737593262</v>
      </c>
      <c r="G203" s="207">
        <f t="shared" ca="1" si="89"/>
        <v>-7444622.5039426703</v>
      </c>
      <c r="H203" s="207">
        <f t="shared" ca="1" si="89"/>
        <v>0</v>
      </c>
      <c r="I203" s="234">
        <f t="shared" ca="1" si="89"/>
        <v>0</v>
      </c>
      <c r="J203" s="601">
        <f t="shared" ca="1" si="89"/>
        <v>0</v>
      </c>
      <c r="K203" s="232">
        <f t="shared" ca="1" si="89"/>
        <v>0</v>
      </c>
      <c r="L203" s="232">
        <f t="shared" ca="1" si="89"/>
        <v>0</v>
      </c>
      <c r="M203" s="207">
        <f t="shared" ca="1" si="89"/>
        <v>0</v>
      </c>
      <c r="N203" s="235">
        <f t="shared" ca="1" si="89"/>
        <v>0</v>
      </c>
    </row>
    <row r="204" spans="1:14" x14ac:dyDescent="0.2">
      <c r="A204" s="205">
        <f t="shared" si="72"/>
        <v>2030</v>
      </c>
      <c r="B204" s="207">
        <f t="shared" ref="B204:N204" ca="1" si="90">IF($C83="","",IF($C83&lt;0,0,IF(AND($C83=1,start_time&lt;1),-(SUM(B157)*output_kgyear*$E83*percnt_var*start_time+SUM(B157)*output_kgyear*$E83*(1-start_time)),IF($C83&lt;=start_time,-SUM(B157)*output_kgyear*$E83*percnt_var,-SUM(B157)*output_kgyear*$E83))))</f>
        <v>-89216496.276847169</v>
      </c>
      <c r="C204" s="207">
        <f t="shared" ca="1" si="90"/>
        <v>0</v>
      </c>
      <c r="D204" s="207">
        <f t="shared" ca="1" si="90"/>
        <v>0</v>
      </c>
      <c r="E204" s="234">
        <f t="shared" ca="1" si="90"/>
        <v>0</v>
      </c>
      <c r="F204" s="206">
        <f t="shared" ca="1" si="90"/>
        <v>-4278895.7719338033</v>
      </c>
      <c r="G204" s="207">
        <f t="shared" ca="1" si="90"/>
        <v>-7603644.2199132545</v>
      </c>
      <c r="H204" s="207">
        <f t="shared" ca="1" si="90"/>
        <v>0</v>
      </c>
      <c r="I204" s="234">
        <f t="shared" ca="1" si="90"/>
        <v>0</v>
      </c>
      <c r="J204" s="601">
        <f t="shared" ca="1" si="90"/>
        <v>0</v>
      </c>
      <c r="K204" s="232">
        <f t="shared" ca="1" si="90"/>
        <v>0</v>
      </c>
      <c r="L204" s="232">
        <f t="shared" ca="1" si="90"/>
        <v>0</v>
      </c>
      <c r="M204" s="207">
        <f t="shared" ca="1" si="90"/>
        <v>0</v>
      </c>
      <c r="N204" s="235">
        <f t="shared" ca="1" si="90"/>
        <v>0</v>
      </c>
    </row>
    <row r="205" spans="1:14" x14ac:dyDescent="0.2">
      <c r="A205" s="205">
        <f t="shared" si="72"/>
        <v>2031</v>
      </c>
      <c r="B205" s="207">
        <f t="shared" ref="B205:N205" ca="1" si="91">IF($C84="","",IF($C84&lt;0,0,IF(AND($C84=1,start_time&lt;1),-(SUM(B158)*output_kgyear*$E84*percnt_var*start_time+SUM(B158)*output_kgyear*$E84*(1-start_time)),IF($C84&lt;=start_time,-SUM(B158)*output_kgyear*$E84*percnt_var,-SUM(B158)*output_kgyear*$E84))))</f>
        <v>-90911609.706107259</v>
      </c>
      <c r="C205" s="207">
        <f t="shared" ca="1" si="91"/>
        <v>0</v>
      </c>
      <c r="D205" s="207">
        <f t="shared" ca="1" si="91"/>
        <v>0</v>
      </c>
      <c r="E205" s="234">
        <f t="shared" ca="1" si="91"/>
        <v>0</v>
      </c>
      <c r="F205" s="206">
        <f t="shared" ca="1" si="91"/>
        <v>-4389668.693678773</v>
      </c>
      <c r="G205" s="207">
        <f t="shared" ca="1" si="91"/>
        <v>-7736459.3512931122</v>
      </c>
      <c r="H205" s="207">
        <f t="shared" ca="1" si="91"/>
        <v>0</v>
      </c>
      <c r="I205" s="234">
        <f t="shared" ca="1" si="91"/>
        <v>0</v>
      </c>
      <c r="J205" s="601">
        <f t="shared" ca="1" si="91"/>
        <v>0</v>
      </c>
      <c r="K205" s="232">
        <f t="shared" ca="1" si="91"/>
        <v>0</v>
      </c>
      <c r="L205" s="232">
        <f t="shared" ca="1" si="91"/>
        <v>0</v>
      </c>
      <c r="M205" s="207">
        <f t="shared" ca="1" si="91"/>
        <v>0</v>
      </c>
      <c r="N205" s="235">
        <f t="shared" ca="1" si="91"/>
        <v>0</v>
      </c>
    </row>
    <row r="206" spans="1:14" x14ac:dyDescent="0.2">
      <c r="A206" s="205">
        <f t="shared" si="72"/>
        <v>2032</v>
      </c>
      <c r="B206" s="207">
        <f t="shared" ref="B206:N206" ca="1" si="92">IF($C85="","",IF($C85&lt;0,0,IF(AND($C85=1,start_time&lt;1),-(SUM(B159)*output_kgyear*$E85*percnt_var*start_time+SUM(B159)*output_kgyear*$E85*(1-start_time)),IF($C85&lt;=start_time,-SUM(B159)*output_kgyear*$E85*percnt_var,-SUM(B159)*output_kgyear*$E85))))</f>
        <v>-92638930.290523291</v>
      </c>
      <c r="C206" s="207">
        <f t="shared" ca="1" si="92"/>
        <v>0</v>
      </c>
      <c r="D206" s="207">
        <f t="shared" ca="1" si="92"/>
        <v>0</v>
      </c>
      <c r="E206" s="234">
        <f t="shared" ca="1" si="92"/>
        <v>0</v>
      </c>
      <c r="F206" s="206">
        <f t="shared" ca="1" si="92"/>
        <v>-4484188.2374398559</v>
      </c>
      <c r="G206" s="207">
        <f t="shared" ca="1" si="92"/>
        <v>-7862195.1145545933</v>
      </c>
      <c r="H206" s="207">
        <f t="shared" ca="1" si="92"/>
        <v>0</v>
      </c>
      <c r="I206" s="234">
        <f t="shared" ca="1" si="92"/>
        <v>0</v>
      </c>
      <c r="J206" s="601">
        <f t="shared" ca="1" si="92"/>
        <v>0</v>
      </c>
      <c r="K206" s="232">
        <f t="shared" ca="1" si="92"/>
        <v>0</v>
      </c>
      <c r="L206" s="232">
        <f t="shared" ca="1" si="92"/>
        <v>0</v>
      </c>
      <c r="M206" s="207">
        <f t="shared" ca="1" si="92"/>
        <v>0</v>
      </c>
      <c r="N206" s="235">
        <f t="shared" ca="1" si="92"/>
        <v>0</v>
      </c>
    </row>
    <row r="207" spans="1:14" x14ac:dyDescent="0.2">
      <c r="A207" s="205">
        <f t="shared" si="72"/>
        <v>2033</v>
      </c>
      <c r="B207" s="207">
        <f t="shared" ref="B207:N207" ca="1" si="93">IF($C86="","",IF($C86&lt;0,0,IF(AND($C86=1,start_time&lt;1),-(SUM(B160)*output_kgyear*$E86*percnt_var*start_time+SUM(B160)*output_kgyear*$E86*(1-start_time)),IF($C86&lt;=start_time,-SUM(B160)*output_kgyear*$E86*percnt_var,-SUM(B160)*output_kgyear*$E86))))</f>
        <v>-94399069.966043219</v>
      </c>
      <c r="C207" s="207">
        <f t="shared" ca="1" si="93"/>
        <v>0</v>
      </c>
      <c r="D207" s="207">
        <f t="shared" ca="1" si="93"/>
        <v>0</v>
      </c>
      <c r="E207" s="234">
        <f t="shared" ca="1" si="93"/>
        <v>0</v>
      </c>
      <c r="F207" s="206">
        <f t="shared" ca="1" si="93"/>
        <v>-4564308.046888887</v>
      </c>
      <c r="G207" s="207">
        <f t="shared" ca="1" si="93"/>
        <v>-7980987.7413744638</v>
      </c>
      <c r="H207" s="207">
        <f t="shared" ca="1" si="93"/>
        <v>0</v>
      </c>
      <c r="I207" s="234">
        <f t="shared" ca="1" si="93"/>
        <v>0</v>
      </c>
      <c r="J207" s="601">
        <f t="shared" ca="1" si="93"/>
        <v>0</v>
      </c>
      <c r="K207" s="232">
        <f t="shared" ca="1" si="93"/>
        <v>0</v>
      </c>
      <c r="L207" s="232">
        <f t="shared" ca="1" si="93"/>
        <v>0</v>
      </c>
      <c r="M207" s="207">
        <f t="shared" ca="1" si="93"/>
        <v>0</v>
      </c>
      <c r="N207" s="235">
        <f t="shared" ca="1" si="93"/>
        <v>0</v>
      </c>
    </row>
    <row r="208" spans="1:14" x14ac:dyDescent="0.2">
      <c r="A208" s="205">
        <f t="shared" si="72"/>
        <v>2034</v>
      </c>
      <c r="B208" s="207">
        <f t="shared" ref="B208:N208" ca="1" si="94">IF($C87="","",IF($C87&lt;0,0,IF(AND($C87=1,start_time&lt;1),-(SUM(B161)*output_kgyear*$E87*percnt_var*start_time+SUM(B161)*output_kgyear*$E87*(1-start_time)),IF($C87&lt;=start_time,-SUM(B161)*output_kgyear*$E87*percnt_var,-SUM(B161)*output_kgyear*$E87))))</f>
        <v>-96192652.295398057</v>
      </c>
      <c r="C208" s="207">
        <f t="shared" ca="1" si="94"/>
        <v>0</v>
      </c>
      <c r="D208" s="207">
        <f t="shared" ca="1" si="94"/>
        <v>0</v>
      </c>
      <c r="E208" s="234">
        <f t="shared" ca="1" si="94"/>
        <v>0</v>
      </c>
      <c r="F208" s="206">
        <f t="shared" ca="1" si="94"/>
        <v>-4679680.3560919911</v>
      </c>
      <c r="G208" s="207">
        <f t="shared" ca="1" si="94"/>
        <v>-8109793.6566457171</v>
      </c>
      <c r="H208" s="207">
        <f t="shared" ca="1" si="94"/>
        <v>0</v>
      </c>
      <c r="I208" s="234">
        <f t="shared" ca="1" si="94"/>
        <v>0</v>
      </c>
      <c r="J208" s="601">
        <f t="shared" ca="1" si="94"/>
        <v>0</v>
      </c>
      <c r="K208" s="232">
        <f t="shared" ca="1" si="94"/>
        <v>0</v>
      </c>
      <c r="L208" s="232">
        <f t="shared" ca="1" si="94"/>
        <v>0</v>
      </c>
      <c r="M208" s="207">
        <f t="shared" ca="1" si="94"/>
        <v>0</v>
      </c>
      <c r="N208" s="235">
        <f t="shared" ca="1" si="94"/>
        <v>0</v>
      </c>
    </row>
    <row r="209" spans="1:14" x14ac:dyDescent="0.2">
      <c r="A209" s="205">
        <f t="shared" si="72"/>
        <v>2035</v>
      </c>
      <c r="B209" s="207">
        <f t="shared" ref="B209:N209" ca="1" si="95">IF($C88="","",IF($C88&lt;0,0,IF(AND($C88=1,start_time&lt;1),-(SUM(B162)*output_kgyear*$E88*percnt_var*start_time+SUM(B162)*output_kgyear*$E88*(1-start_time)),IF($C88&lt;=start_time,-SUM(B162)*output_kgyear*$E88*percnt_var,-SUM(B162)*output_kgyear*$E88))))</f>
        <v>-98020312.689010605</v>
      </c>
      <c r="C209" s="207">
        <f t="shared" ca="1" si="95"/>
        <v>0</v>
      </c>
      <c r="D209" s="207">
        <f t="shared" ca="1" si="95"/>
        <v>0</v>
      </c>
      <c r="E209" s="234">
        <f t="shared" ca="1" si="95"/>
        <v>0</v>
      </c>
      <c r="F209" s="206">
        <f t="shared" ca="1" si="95"/>
        <v>-4837589.5324989548</v>
      </c>
      <c r="G209" s="207">
        <f t="shared" ca="1" si="95"/>
        <v>-8280828.7296914328</v>
      </c>
      <c r="H209" s="207">
        <f t="shared" ca="1" si="95"/>
        <v>0</v>
      </c>
      <c r="I209" s="234">
        <f t="shared" ca="1" si="95"/>
        <v>0</v>
      </c>
      <c r="J209" s="601">
        <f t="shared" ca="1" si="95"/>
        <v>0</v>
      </c>
      <c r="K209" s="232">
        <f t="shared" ca="1" si="95"/>
        <v>0</v>
      </c>
      <c r="L209" s="232">
        <f t="shared" ca="1" si="95"/>
        <v>0</v>
      </c>
      <c r="M209" s="207">
        <f t="shared" ca="1" si="95"/>
        <v>0</v>
      </c>
      <c r="N209" s="235">
        <f t="shared" ca="1" si="95"/>
        <v>0</v>
      </c>
    </row>
    <row r="210" spans="1:14" x14ac:dyDescent="0.2">
      <c r="A210" s="205">
        <f t="shared" si="72"/>
        <v>2036</v>
      </c>
      <c r="B210" s="207">
        <f t="shared" ref="B210:N210" ca="1" si="96">IF($C89="","",IF($C89&lt;0,0,IF(AND($C89=1,start_time&lt;1),-(SUM(B163)*output_kgyear*$E89*percnt_var*start_time+SUM(B163)*output_kgyear*$E89*(1-start_time)),IF($C89&lt;=start_time,-SUM(B163)*output_kgyear*$E89*percnt_var,-SUM(B163)*output_kgyear*$E89))))</f>
        <v>-99882698.6301018</v>
      </c>
      <c r="C210" s="207">
        <f t="shared" ca="1" si="96"/>
        <v>0</v>
      </c>
      <c r="D210" s="207">
        <f t="shared" ca="1" si="96"/>
        <v>0</v>
      </c>
      <c r="E210" s="234">
        <f t="shared" ca="1" si="96"/>
        <v>0</v>
      </c>
      <c r="F210" s="206">
        <f t="shared" ca="1" si="96"/>
        <v>-4959390.4597769557</v>
      </c>
      <c r="G210" s="207">
        <f t="shared" ca="1" si="96"/>
        <v>-8441392.7764092982</v>
      </c>
      <c r="H210" s="207">
        <f t="shared" ca="1" si="96"/>
        <v>0</v>
      </c>
      <c r="I210" s="234">
        <f t="shared" ca="1" si="96"/>
        <v>0</v>
      </c>
      <c r="J210" s="601">
        <f t="shared" ca="1" si="96"/>
        <v>0</v>
      </c>
      <c r="K210" s="232">
        <f t="shared" ca="1" si="96"/>
        <v>0</v>
      </c>
      <c r="L210" s="232">
        <f t="shared" ca="1" si="96"/>
        <v>0</v>
      </c>
      <c r="M210" s="207">
        <f t="shared" ca="1" si="96"/>
        <v>0</v>
      </c>
      <c r="N210" s="235">
        <f t="shared" ca="1" si="96"/>
        <v>0</v>
      </c>
    </row>
    <row r="211" spans="1:14" x14ac:dyDescent="0.2">
      <c r="A211" s="205">
        <f t="shared" si="72"/>
        <v>2037</v>
      </c>
      <c r="B211" s="207">
        <f t="shared" ref="B211:N211" ca="1" si="97">IF($C90="","",IF($C90&lt;0,0,IF(AND($C90=1,start_time&lt;1),-(SUM(B164)*output_kgyear*$E90*percnt_var*start_time+SUM(B164)*output_kgyear*$E90*(1-start_time)),IF($C90&lt;=start_time,-SUM(B164)*output_kgyear*$E90*percnt_var,-SUM(B164)*output_kgyear*$E90))))</f>
        <v>-101780469.90407375</v>
      </c>
      <c r="C211" s="207">
        <f t="shared" ca="1" si="97"/>
        <v>0</v>
      </c>
      <c r="D211" s="207">
        <f t="shared" ca="1" si="97"/>
        <v>0</v>
      </c>
      <c r="E211" s="234">
        <f t="shared" ca="1" si="97"/>
        <v>0</v>
      </c>
      <c r="F211" s="206">
        <f t="shared" ca="1" si="97"/>
        <v>-5083522.2263344396</v>
      </c>
      <c r="G211" s="207">
        <f t="shared" ca="1" si="97"/>
        <v>-8584682.1319994181</v>
      </c>
      <c r="H211" s="207">
        <f t="shared" ca="1" si="97"/>
        <v>0</v>
      </c>
      <c r="I211" s="234">
        <f t="shared" ca="1" si="97"/>
        <v>0</v>
      </c>
      <c r="J211" s="601">
        <f t="shared" ca="1" si="97"/>
        <v>0</v>
      </c>
      <c r="K211" s="232">
        <f t="shared" ca="1" si="97"/>
        <v>0</v>
      </c>
      <c r="L211" s="232">
        <f t="shared" ca="1" si="97"/>
        <v>0</v>
      </c>
      <c r="M211" s="207">
        <f t="shared" ca="1" si="97"/>
        <v>0</v>
      </c>
      <c r="N211" s="235">
        <f t="shared" ca="1" si="97"/>
        <v>0</v>
      </c>
    </row>
    <row r="212" spans="1:14" x14ac:dyDescent="0.2">
      <c r="A212" s="205">
        <f t="shared" si="72"/>
        <v>2038</v>
      </c>
      <c r="B212" s="207">
        <f t="shared" ref="B212:N212" ca="1" si="98">IF($C91="","",IF($C91&lt;0,0,IF(AND($C91=1,start_time&lt;1),-(SUM(B165)*output_kgyear*$E91*percnt_var*start_time+SUM(B165)*output_kgyear*$E91*(1-start_time)),IF($C91&lt;=start_time,-SUM(B165)*output_kgyear*$E91*percnt_var,-SUM(B165)*output_kgyear*$E91))))</f>
        <v>-103714298.83225113</v>
      </c>
      <c r="C212" s="207">
        <f t="shared" ca="1" si="98"/>
        <v>0</v>
      </c>
      <c r="D212" s="207">
        <f t="shared" ca="1" si="98"/>
        <v>0</v>
      </c>
      <c r="E212" s="234">
        <f t="shared" ca="1" si="98"/>
        <v>0</v>
      </c>
      <c r="F212" s="206">
        <f t="shared" ca="1" si="98"/>
        <v>-5195214.9487681491</v>
      </c>
      <c r="G212" s="207">
        <f t="shared" ca="1" si="98"/>
        <v>-8739277.9993213471</v>
      </c>
      <c r="H212" s="207">
        <f t="shared" ca="1" si="98"/>
        <v>0</v>
      </c>
      <c r="I212" s="234">
        <f t="shared" ca="1" si="98"/>
        <v>0</v>
      </c>
      <c r="J212" s="601">
        <f t="shared" ca="1" si="98"/>
        <v>0</v>
      </c>
      <c r="K212" s="232">
        <f t="shared" ca="1" si="98"/>
        <v>0</v>
      </c>
      <c r="L212" s="232">
        <f t="shared" ca="1" si="98"/>
        <v>0</v>
      </c>
      <c r="M212" s="207">
        <f t="shared" ca="1" si="98"/>
        <v>0</v>
      </c>
      <c r="N212" s="235">
        <f t="shared" ca="1" si="98"/>
        <v>0</v>
      </c>
    </row>
    <row r="213" spans="1:14" x14ac:dyDescent="0.2">
      <c r="A213" s="205">
        <f t="shared" si="72"/>
        <v>2039</v>
      </c>
      <c r="B213" s="207">
        <f t="shared" ref="B213:N213" ca="1" si="99">IF($C92="","",IF($C92&lt;0,0,IF(AND($C92=1,start_time&lt;1),-(SUM(B166)*output_kgyear*$E92*percnt_var*start_time+SUM(B166)*output_kgyear*$E92*(1-start_time)),IF($C92&lt;=start_time,-SUM(B166)*output_kgyear*$E92*percnt_var,-SUM(B166)*output_kgyear*$E92))))</f>
        <v>-105684870.5100639</v>
      </c>
      <c r="C213" s="207">
        <f t="shared" ca="1" si="99"/>
        <v>0</v>
      </c>
      <c r="D213" s="207">
        <f t="shared" ca="1" si="99"/>
        <v>0</v>
      </c>
      <c r="E213" s="234">
        <f t="shared" ca="1" si="99"/>
        <v>0</v>
      </c>
      <c r="F213" s="206">
        <f t="shared" ca="1" si="99"/>
        <v>-5317491.9254596261</v>
      </c>
      <c r="G213" s="207">
        <f t="shared" ca="1" si="99"/>
        <v>-8891270.0225528758</v>
      </c>
      <c r="H213" s="207">
        <f t="shared" ca="1" si="99"/>
        <v>0</v>
      </c>
      <c r="I213" s="234">
        <f t="shared" ca="1" si="99"/>
        <v>0</v>
      </c>
      <c r="J213" s="601">
        <f t="shared" ca="1" si="99"/>
        <v>0</v>
      </c>
      <c r="K213" s="232">
        <f t="shared" ca="1" si="99"/>
        <v>0</v>
      </c>
      <c r="L213" s="232">
        <f t="shared" ca="1" si="99"/>
        <v>0</v>
      </c>
      <c r="M213" s="207">
        <f t="shared" ca="1" si="99"/>
        <v>0</v>
      </c>
      <c r="N213" s="235">
        <f t="shared" ca="1" si="99"/>
        <v>0</v>
      </c>
    </row>
    <row r="214" spans="1:14" x14ac:dyDescent="0.2">
      <c r="A214" s="205">
        <f t="shared" si="72"/>
        <v>2040</v>
      </c>
      <c r="B214" s="207">
        <f t="shared" ref="B214:N214" ca="1" si="100">IF($C93="","",IF($C93&lt;0,0,IF(AND($C93=1,start_time&lt;1),-(SUM(B167)*output_kgyear*$E93*percnt_var*start_time+SUM(B167)*output_kgyear*$E93*(1-start_time)),IF($C93&lt;=start_time,-SUM(B167)*output_kgyear*$E93*percnt_var,-SUM(B167)*output_kgyear*$E93))))</f>
        <v>-107692883.0497551</v>
      </c>
      <c r="C214" s="207">
        <f t="shared" ca="1" si="100"/>
        <v>0</v>
      </c>
      <c r="D214" s="207">
        <f t="shared" ca="1" si="100"/>
        <v>0</v>
      </c>
      <c r="E214" s="234">
        <f t="shared" ca="1" si="100"/>
        <v>0</v>
      </c>
      <c r="F214" s="206">
        <f t="shared" ca="1" si="100"/>
        <v>-5404974.4188716374</v>
      </c>
      <c r="G214" s="207">
        <f t="shared" ca="1" si="100"/>
        <v>-9040531.9693550691</v>
      </c>
      <c r="H214" s="207">
        <f t="shared" ca="1" si="100"/>
        <v>0</v>
      </c>
      <c r="I214" s="234">
        <f t="shared" ca="1" si="100"/>
        <v>0</v>
      </c>
      <c r="J214" s="601">
        <f t="shared" ca="1" si="100"/>
        <v>0</v>
      </c>
      <c r="K214" s="232">
        <f t="shared" ca="1" si="100"/>
        <v>0</v>
      </c>
      <c r="L214" s="232">
        <f t="shared" ca="1" si="100"/>
        <v>0</v>
      </c>
      <c r="M214" s="207">
        <f t="shared" ca="1" si="100"/>
        <v>0</v>
      </c>
      <c r="N214" s="235">
        <f t="shared" ca="1" si="100"/>
        <v>0</v>
      </c>
    </row>
    <row r="215" spans="1:14" x14ac:dyDescent="0.2">
      <c r="A215" s="205">
        <f t="shared" si="72"/>
        <v>2041</v>
      </c>
      <c r="B215" s="207">
        <f t="shared" ref="B215:N215" ca="1" si="101">IF($C94="","",IF($C94&lt;0,0,IF(AND($C94=1,start_time&lt;1),-(SUM(B168)*output_kgyear*$E94*percnt_var*start_time+SUM(B168)*output_kgyear*$E94*(1-start_time)),IF($C94&lt;=start_time,-SUM(B168)*output_kgyear*$E94*percnt_var,-SUM(B168)*output_kgyear*$E94))))</f>
        <v>-109739047.82770045</v>
      </c>
      <c r="C215" s="207">
        <f t="shared" ca="1" si="101"/>
        <v>0</v>
      </c>
      <c r="D215" s="207">
        <f t="shared" ca="1" si="101"/>
        <v>0</v>
      </c>
      <c r="E215" s="234">
        <f t="shared" ca="1" si="101"/>
        <v>0</v>
      </c>
      <c r="F215" s="206">
        <f t="shared" ca="1" si="101"/>
        <v>-5522553.6341803158</v>
      </c>
      <c r="G215" s="207">
        <f t="shared" ca="1" si="101"/>
        <v>-9182862.2332501505</v>
      </c>
      <c r="H215" s="207">
        <f t="shared" ca="1" si="101"/>
        <v>0</v>
      </c>
      <c r="I215" s="234">
        <f t="shared" ca="1" si="101"/>
        <v>0</v>
      </c>
      <c r="J215" s="601">
        <f t="shared" ca="1" si="101"/>
        <v>0</v>
      </c>
      <c r="K215" s="232">
        <f t="shared" ca="1" si="101"/>
        <v>0</v>
      </c>
      <c r="L215" s="232">
        <f t="shared" ca="1" si="101"/>
        <v>0</v>
      </c>
      <c r="M215" s="207">
        <f t="shared" ca="1" si="101"/>
        <v>0</v>
      </c>
      <c r="N215" s="235">
        <f t="shared" ca="1" si="101"/>
        <v>0</v>
      </c>
    </row>
    <row r="216" spans="1:14" x14ac:dyDescent="0.2">
      <c r="A216" s="205">
        <f t="shared" si="72"/>
        <v>2042</v>
      </c>
      <c r="B216" s="207">
        <f t="shared" ref="B216:N216" ca="1" si="102">IF($C95="","",IF($C95&lt;0,0,IF(AND($C95=1,start_time&lt;1),-(SUM(B169)*output_kgyear*$E95*percnt_var*start_time+SUM(B169)*output_kgyear*$E95*(1-start_time)),IF($C95&lt;=start_time,-SUM(B169)*output_kgyear*$E95*percnt_var,-SUM(B169)*output_kgyear*$E95))))</f>
        <v>-111824089.73642676</v>
      </c>
      <c r="C216" s="207">
        <f t="shared" ca="1" si="102"/>
        <v>0</v>
      </c>
      <c r="D216" s="207">
        <f t="shared" ca="1" si="102"/>
        <v>0</v>
      </c>
      <c r="E216" s="234">
        <f t="shared" ca="1" si="102"/>
        <v>0</v>
      </c>
      <c r="F216" s="206">
        <f t="shared" ca="1" si="102"/>
        <v>-5663497.445364695</v>
      </c>
      <c r="G216" s="207">
        <f t="shared" ca="1" si="102"/>
        <v>-9356414.4834567476</v>
      </c>
      <c r="H216" s="207">
        <f t="shared" ca="1" si="102"/>
        <v>0</v>
      </c>
      <c r="I216" s="234">
        <f t="shared" ca="1" si="102"/>
        <v>0</v>
      </c>
      <c r="J216" s="601">
        <f t="shared" ca="1" si="102"/>
        <v>0</v>
      </c>
      <c r="K216" s="232">
        <f t="shared" ca="1" si="102"/>
        <v>0</v>
      </c>
      <c r="L216" s="232">
        <f t="shared" ca="1" si="102"/>
        <v>0</v>
      </c>
      <c r="M216" s="207">
        <f t="shared" ca="1" si="102"/>
        <v>0</v>
      </c>
      <c r="N216" s="235">
        <f t="shared" ca="1" si="102"/>
        <v>0</v>
      </c>
    </row>
    <row r="217" spans="1:14" x14ac:dyDescent="0.2">
      <c r="A217" s="205">
        <f t="shared" si="72"/>
        <v>2043</v>
      </c>
      <c r="B217" s="207">
        <f t="shared" ref="B217:N217" ca="1" si="103">IF($C96="","",IF($C96&lt;0,0,IF(AND($C96=1,start_time&lt;1),-(SUM(B170)*output_kgyear*$E96*percnt_var*start_time+SUM(B170)*output_kgyear*$E96*(1-start_time)),IF($C96&lt;=start_time,-SUM(B170)*output_kgyear*$E96*percnt_var,-SUM(B170)*output_kgyear*$E96))))</f>
        <v>-113948747.44141884</v>
      </c>
      <c r="C217" s="207">
        <f t="shared" ca="1" si="103"/>
        <v>0</v>
      </c>
      <c r="D217" s="207">
        <f t="shared" ca="1" si="103"/>
        <v>0</v>
      </c>
      <c r="E217" s="234">
        <f t="shared" ca="1" si="103"/>
        <v>0</v>
      </c>
      <c r="F217" s="206">
        <f t="shared" ca="1" si="103"/>
        <v>-5818411.1712207198</v>
      </c>
      <c r="G217" s="207">
        <f t="shared" ca="1" si="103"/>
        <v>-9546563.9803876765</v>
      </c>
      <c r="H217" s="207">
        <f t="shared" ca="1" si="103"/>
        <v>0</v>
      </c>
      <c r="I217" s="234">
        <f t="shared" ca="1" si="103"/>
        <v>0</v>
      </c>
      <c r="J217" s="601">
        <f t="shared" ca="1" si="103"/>
        <v>0</v>
      </c>
      <c r="K217" s="232">
        <f t="shared" ca="1" si="103"/>
        <v>0</v>
      </c>
      <c r="L217" s="232">
        <f t="shared" ca="1" si="103"/>
        <v>0</v>
      </c>
      <c r="M217" s="207">
        <f t="shared" ca="1" si="103"/>
        <v>0</v>
      </c>
      <c r="N217" s="235">
        <f t="shared" ca="1" si="103"/>
        <v>0</v>
      </c>
    </row>
    <row r="218" spans="1:14" x14ac:dyDescent="0.2">
      <c r="A218" s="205">
        <f t="shared" si="72"/>
        <v>2044</v>
      </c>
      <c r="B218" s="207">
        <f t="shared" ref="B218:N218" ca="1" si="104">IF($C97="","",IF($C97&lt;0,0,IF(AND($C97=1,start_time&lt;1),-(SUM(B171)*output_kgyear*$E97*percnt_var*start_time+SUM(B171)*output_kgyear*$E97*(1-start_time)),IF($C97&lt;=start_time,-SUM(B171)*output_kgyear*$E97*percnt_var,-SUM(B171)*output_kgyear*$E97))))</f>
        <v>-116113773.64280578</v>
      </c>
      <c r="C218" s="207">
        <f t="shared" ca="1" si="104"/>
        <v>0</v>
      </c>
      <c r="D218" s="207">
        <f t="shared" ca="1" si="104"/>
        <v>0</v>
      </c>
      <c r="E218" s="234">
        <f t="shared" ca="1" si="104"/>
        <v>0</v>
      </c>
      <c r="F218" s="206">
        <f t="shared" ca="1" si="104"/>
        <v>-5975949.1394333439</v>
      </c>
      <c r="G218" s="207">
        <f t="shared" ca="1" si="104"/>
        <v>-9741958.6138996948</v>
      </c>
      <c r="H218" s="207">
        <f t="shared" ca="1" si="104"/>
        <v>0</v>
      </c>
      <c r="I218" s="234">
        <f t="shared" ca="1" si="104"/>
        <v>0</v>
      </c>
      <c r="J218" s="601">
        <f t="shared" ca="1" si="104"/>
        <v>0</v>
      </c>
      <c r="K218" s="232">
        <f t="shared" ca="1" si="104"/>
        <v>0</v>
      </c>
      <c r="L218" s="232">
        <f t="shared" ca="1" si="104"/>
        <v>0</v>
      </c>
      <c r="M218" s="207">
        <f t="shared" ca="1" si="104"/>
        <v>0</v>
      </c>
      <c r="N218" s="235">
        <f t="shared" ca="1" si="104"/>
        <v>0</v>
      </c>
    </row>
    <row r="219" spans="1:14" x14ac:dyDescent="0.2">
      <c r="A219" s="205">
        <f t="shared" si="72"/>
        <v>2045</v>
      </c>
      <c r="B219" s="207">
        <f t="shared" ref="B219:N219" ca="1" si="105">IF($C98="","",IF($C98&lt;0,0,IF(AND($C98=1,start_time&lt;1),-(SUM(B172)*output_kgyear*$E98*percnt_var*start_time+SUM(B172)*output_kgyear*$E98*(1-start_time)),IF($C98&lt;=start_time,-SUM(B172)*output_kgyear*$E98*percnt_var,-SUM(B172)*output_kgyear*$E98))))</f>
        <v>-118319935.34201913</v>
      </c>
      <c r="C219" s="207">
        <f t="shared" ca="1" si="105"/>
        <v>0</v>
      </c>
      <c r="D219" s="207">
        <f t="shared" ca="1" si="105"/>
        <v>0</v>
      </c>
      <c r="E219" s="234">
        <f t="shared" ca="1" si="105"/>
        <v>0</v>
      </c>
      <c r="F219" s="206">
        <f t="shared" ca="1" si="105"/>
        <v>-6142946.1005961187</v>
      </c>
      <c r="G219" s="207">
        <f t="shared" ca="1" si="105"/>
        <v>-9940480.7360594105</v>
      </c>
      <c r="H219" s="207">
        <f t="shared" ca="1" si="105"/>
        <v>0</v>
      </c>
      <c r="I219" s="234">
        <f t="shared" ca="1" si="105"/>
        <v>0</v>
      </c>
      <c r="J219" s="601">
        <f t="shared" ca="1" si="105"/>
        <v>0</v>
      </c>
      <c r="K219" s="232">
        <f t="shared" ca="1" si="105"/>
        <v>0</v>
      </c>
      <c r="L219" s="232">
        <f t="shared" ca="1" si="105"/>
        <v>0</v>
      </c>
      <c r="M219" s="207">
        <f t="shared" ca="1" si="105"/>
        <v>0</v>
      </c>
      <c r="N219" s="235">
        <f t="shared" ca="1" si="105"/>
        <v>0</v>
      </c>
    </row>
    <row r="220" spans="1:14" x14ac:dyDescent="0.2">
      <c r="A220" s="205">
        <f t="shared" si="72"/>
        <v>2046</v>
      </c>
      <c r="B220" s="207">
        <f t="shared" ref="B220:N220" ca="1" si="106">IF($C99="","",IF($C99&lt;0,0,IF(AND($C99=1,start_time&lt;1),-(SUM(B173)*output_kgyear*$E99*percnt_var*start_time+SUM(B173)*output_kgyear*$E99*(1-start_time)),IF($C99&lt;=start_time,-SUM(B173)*output_kgyear*$E99*percnt_var,-SUM(B173)*output_kgyear*$E99))))</f>
        <v>-120568014.11351748</v>
      </c>
      <c r="C220" s="207">
        <f t="shared" ca="1" si="106"/>
        <v>0</v>
      </c>
      <c r="D220" s="207">
        <f t="shared" ca="1" si="106"/>
        <v>0</v>
      </c>
      <c r="E220" s="234">
        <f t="shared" ca="1" si="106"/>
        <v>0</v>
      </c>
      <c r="F220" s="206">
        <f t="shared" ca="1" si="106"/>
        <v>-6304944.9815232856</v>
      </c>
      <c r="G220" s="207">
        <f t="shared" ca="1" si="106"/>
        <v>-10138578.129245672</v>
      </c>
      <c r="H220" s="207">
        <f t="shared" ca="1" si="106"/>
        <v>0</v>
      </c>
      <c r="I220" s="234">
        <f t="shared" ca="1" si="106"/>
        <v>0</v>
      </c>
      <c r="J220" s="601">
        <f t="shared" ca="1" si="106"/>
        <v>0</v>
      </c>
      <c r="K220" s="232">
        <f t="shared" ca="1" si="106"/>
        <v>0</v>
      </c>
      <c r="L220" s="232">
        <f t="shared" ca="1" si="106"/>
        <v>0</v>
      </c>
      <c r="M220" s="207">
        <f t="shared" ca="1" si="106"/>
        <v>0</v>
      </c>
      <c r="N220" s="235">
        <f t="shared" ca="1" si="106"/>
        <v>0</v>
      </c>
    </row>
    <row r="221" spans="1:14" x14ac:dyDescent="0.2">
      <c r="A221" s="205">
        <f t="shared" si="72"/>
        <v>2047</v>
      </c>
      <c r="B221" s="207">
        <f t="shared" ref="B221:N221" ca="1" si="107">IF($C100="","",IF($C100&lt;0,0,IF(AND($C100=1,start_time&lt;1),-(SUM(B174)*output_kgyear*$E100*percnt_var*start_time+SUM(B174)*output_kgyear*$E100*(1-start_time)),IF($C100&lt;=start_time,-SUM(B174)*output_kgyear*$E100*percnt_var,-SUM(B174)*output_kgyear*$E100))))</f>
        <v>-122858806.3816743</v>
      </c>
      <c r="C221" s="207">
        <f t="shared" ca="1" si="107"/>
        <v>0</v>
      </c>
      <c r="D221" s="207">
        <f t="shared" ca="1" si="107"/>
        <v>0</v>
      </c>
      <c r="E221" s="234">
        <f t="shared" ca="1" si="107"/>
        <v>0</v>
      </c>
      <c r="F221" s="206">
        <f t="shared" ca="1" si="107"/>
        <v>-6461601.3649881873</v>
      </c>
      <c r="G221" s="207">
        <f t="shared" ca="1" si="107"/>
        <v>-10345419.348739719</v>
      </c>
      <c r="H221" s="207">
        <f t="shared" ca="1" si="107"/>
        <v>0</v>
      </c>
      <c r="I221" s="234">
        <f t="shared" ca="1" si="107"/>
        <v>0</v>
      </c>
      <c r="J221" s="601">
        <f t="shared" ca="1" si="107"/>
        <v>0</v>
      </c>
      <c r="K221" s="232">
        <f t="shared" ca="1" si="107"/>
        <v>0</v>
      </c>
      <c r="L221" s="232">
        <f t="shared" ca="1" si="107"/>
        <v>0</v>
      </c>
      <c r="M221" s="207">
        <f t="shared" ca="1" si="107"/>
        <v>0</v>
      </c>
      <c r="N221" s="235">
        <f t="shared" ca="1" si="107"/>
        <v>0</v>
      </c>
    </row>
    <row r="222" spans="1:14" x14ac:dyDescent="0.2">
      <c r="A222" s="205">
        <f t="shared" si="72"/>
        <v>2048</v>
      </c>
      <c r="B222" s="207">
        <f t="shared" ref="B222:N222" ca="1" si="108">IF($C101="","",IF($C101&lt;0,0,IF(AND($C101=1,start_time&lt;1),-(SUM(B175)*output_kgyear*$E101*percnt_var*start_time+SUM(B175)*output_kgyear*$E101*(1-start_time)),IF($C101&lt;=start_time,-SUM(B175)*output_kgyear*$E101*percnt_var,-SUM(B175)*output_kgyear*$E101))))</f>
        <v>-125193123.7029261</v>
      </c>
      <c r="C222" s="207">
        <f t="shared" ca="1" si="108"/>
        <v>0</v>
      </c>
      <c r="D222" s="207">
        <f t="shared" ca="1" si="108"/>
        <v>0</v>
      </c>
      <c r="E222" s="234">
        <f t="shared" ca="1" si="108"/>
        <v>0</v>
      </c>
      <c r="F222" s="206">
        <f t="shared" ca="1" si="108"/>
        <v>-6646778.679395698</v>
      </c>
      <c r="G222" s="207">
        <f t="shared" ca="1" si="108"/>
        <v>-10554680.708677659</v>
      </c>
      <c r="H222" s="207">
        <f t="shared" ca="1" si="108"/>
        <v>0</v>
      </c>
      <c r="I222" s="234">
        <f t="shared" ca="1" si="108"/>
        <v>0</v>
      </c>
      <c r="J222" s="601">
        <f t="shared" ca="1" si="108"/>
        <v>0</v>
      </c>
      <c r="K222" s="232">
        <f t="shared" ca="1" si="108"/>
        <v>0</v>
      </c>
      <c r="L222" s="232">
        <f t="shared" ca="1" si="108"/>
        <v>0</v>
      </c>
      <c r="M222" s="207">
        <f t="shared" ca="1" si="108"/>
        <v>0</v>
      </c>
      <c r="N222" s="235">
        <f t="shared" ca="1" si="108"/>
        <v>0</v>
      </c>
    </row>
    <row r="223" spans="1:14" x14ac:dyDescent="0.2">
      <c r="A223" s="205">
        <f t="shared" si="72"/>
        <v>2049</v>
      </c>
      <c r="B223" s="207">
        <f t="shared" ref="B223:N223" ca="1" si="109">IF($C102="","",IF($C102&lt;0,0,IF(AND($C102=1,start_time&lt;1),-(SUM(B176)*output_kgyear*$E102*percnt_var*start_time+SUM(B176)*output_kgyear*$E102*(1-start_time)),IF($C102&lt;=start_time,-SUM(B176)*output_kgyear*$E102*percnt_var,-SUM(B176)*output_kgyear*$E102))))</f>
        <v>-127571793.05328169</v>
      </c>
      <c r="C223" s="207">
        <f t="shared" ca="1" si="109"/>
        <v>0</v>
      </c>
      <c r="D223" s="207">
        <f t="shared" ca="1" si="109"/>
        <v>0</v>
      </c>
      <c r="E223" s="234">
        <f t="shared" ca="1" si="109"/>
        <v>0</v>
      </c>
      <c r="F223" s="206">
        <f t="shared" ca="1" si="109"/>
        <v>-6805779.208638967</v>
      </c>
      <c r="G223" s="207">
        <f t="shared" ca="1" si="109"/>
        <v>-10762243.39527222</v>
      </c>
      <c r="H223" s="207">
        <f t="shared" ca="1" si="109"/>
        <v>0</v>
      </c>
      <c r="I223" s="234">
        <f t="shared" ca="1" si="109"/>
        <v>0</v>
      </c>
      <c r="J223" s="601">
        <f t="shared" ca="1" si="109"/>
        <v>0</v>
      </c>
      <c r="K223" s="232">
        <f t="shared" ca="1" si="109"/>
        <v>0</v>
      </c>
      <c r="L223" s="232">
        <f t="shared" ca="1" si="109"/>
        <v>0</v>
      </c>
      <c r="M223" s="207">
        <f t="shared" ca="1" si="109"/>
        <v>0</v>
      </c>
      <c r="N223" s="235">
        <f t="shared" ca="1" si="109"/>
        <v>0</v>
      </c>
    </row>
    <row r="224" spans="1:14" x14ac:dyDescent="0.2">
      <c r="A224" s="205">
        <f t="shared" si="72"/>
        <v>2050</v>
      </c>
      <c r="B224" s="207">
        <f t="shared" ref="B224:N224" ca="1" si="110">IF($C103="","",IF($C103&lt;0,0,IF(AND($C103=1,start_time&lt;1),-(SUM(B177)*output_kgyear*$E103*percnt_var*start_time+SUM(B177)*output_kgyear*$E103*(1-start_time)),IF($C103&lt;=start_time,-SUM(B177)*output_kgyear*$E103*percnt_var,-SUM(B177)*output_kgyear*$E103))))</f>
        <v>-129995657.12129405</v>
      </c>
      <c r="C224" s="207">
        <f t="shared" ca="1" si="110"/>
        <v>0</v>
      </c>
      <c r="D224" s="207">
        <f t="shared" ca="1" si="110"/>
        <v>0</v>
      </c>
      <c r="E224" s="234">
        <f t="shared" ca="1" si="110"/>
        <v>0</v>
      </c>
      <c r="F224" s="206">
        <f t="shared" ca="1" si="110"/>
        <v>-6999451.7251319652</v>
      </c>
      <c r="G224" s="207">
        <f t="shared" ca="1" si="110"/>
        <v>-10989474.307889771</v>
      </c>
      <c r="H224" s="207">
        <f t="shared" ca="1" si="110"/>
        <v>0</v>
      </c>
      <c r="I224" s="234">
        <f t="shared" ca="1" si="110"/>
        <v>0</v>
      </c>
      <c r="J224" s="601">
        <f t="shared" ca="1" si="110"/>
        <v>0</v>
      </c>
      <c r="K224" s="232">
        <f t="shared" ca="1" si="110"/>
        <v>0</v>
      </c>
      <c r="L224" s="232">
        <f t="shared" ca="1" si="110"/>
        <v>0</v>
      </c>
      <c r="M224" s="207">
        <f t="shared" ca="1" si="110"/>
        <v>0</v>
      </c>
      <c r="N224" s="235">
        <f t="shared" ca="1" si="110"/>
        <v>0</v>
      </c>
    </row>
    <row r="225" spans="1:14" x14ac:dyDescent="0.2">
      <c r="A225" s="205">
        <f t="shared" si="72"/>
        <v>2051</v>
      </c>
      <c r="B225" s="207">
        <f t="shared" ref="B225:N225" ca="1" si="111">IF($C104="","",IF($C104&lt;0,0,IF(AND($C104=1,start_time&lt;1),-(SUM(B178)*output_kgyear*$E104*percnt_var*start_time+SUM(B178)*output_kgyear*$E104*(1-start_time)),IF($C104&lt;=start_time,-SUM(B178)*output_kgyear*$E104*percnt_var,-SUM(B178)*output_kgyear*$E104))))</f>
        <v>-133015883.36857657</v>
      </c>
      <c r="C225" s="207">
        <f t="shared" ca="1" si="111"/>
        <v>0</v>
      </c>
      <c r="D225" s="207">
        <f t="shared" ca="1" si="111"/>
        <v>0</v>
      </c>
      <c r="E225" s="234">
        <f t="shared" ca="1" si="111"/>
        <v>0</v>
      </c>
      <c r="F225" s="206">
        <f t="shared" ca="1" si="111"/>
        <v>-7172092.9837230612</v>
      </c>
      <c r="G225" s="207">
        <f t="shared" ca="1" si="111"/>
        <v>-11198955.377710525</v>
      </c>
      <c r="H225" s="207">
        <f t="shared" ca="1" si="111"/>
        <v>0</v>
      </c>
      <c r="I225" s="234">
        <f t="shared" ca="1" si="111"/>
        <v>0</v>
      </c>
      <c r="J225" s="601">
        <f t="shared" ca="1" si="111"/>
        <v>0</v>
      </c>
      <c r="K225" s="232">
        <f t="shared" ca="1" si="111"/>
        <v>0</v>
      </c>
      <c r="L225" s="232">
        <f t="shared" ca="1" si="111"/>
        <v>0</v>
      </c>
      <c r="M225" s="207">
        <f t="shared" ca="1" si="111"/>
        <v>0</v>
      </c>
      <c r="N225" s="235">
        <f t="shared" ca="1" si="111"/>
        <v>0</v>
      </c>
    </row>
    <row r="226" spans="1:14" x14ac:dyDescent="0.2">
      <c r="A226" s="205">
        <f t="shared" si="72"/>
        <v>2052</v>
      </c>
      <c r="B226" s="207">
        <f t="shared" ref="B226:N226" ca="1" si="112">IF($C105="","",IF($C105&lt;0,0,IF(AND($C105=1,start_time&lt;1),-(SUM(B179)*output_kgyear*$E105*percnt_var*start_time+SUM(B179)*output_kgyear*$E105*(1-start_time)),IF($C105&lt;=start_time,-SUM(B179)*output_kgyear*$E105*percnt_var,-SUM(B179)*output_kgyear*$E105))))</f>
        <v>-136106279.39527151</v>
      </c>
      <c r="C226" s="207">
        <f t="shared" ca="1" si="112"/>
        <v>0</v>
      </c>
      <c r="D226" s="207">
        <f t="shared" ca="1" si="112"/>
        <v>0</v>
      </c>
      <c r="E226" s="234">
        <f t="shared" ca="1" si="112"/>
        <v>0</v>
      </c>
      <c r="F226" s="206">
        <f t="shared" ca="1" si="112"/>
        <v>-7348992.4335751785</v>
      </c>
      <c r="G226" s="207">
        <f t="shared" ca="1" si="112"/>
        <v>-11412429.570166968</v>
      </c>
      <c r="H226" s="207">
        <f t="shared" ca="1" si="112"/>
        <v>0</v>
      </c>
      <c r="I226" s="234">
        <f t="shared" ca="1" si="112"/>
        <v>0</v>
      </c>
      <c r="J226" s="601">
        <f t="shared" ca="1" si="112"/>
        <v>0</v>
      </c>
      <c r="K226" s="232">
        <f t="shared" ca="1" si="112"/>
        <v>0</v>
      </c>
      <c r="L226" s="232">
        <f t="shared" ca="1" si="112"/>
        <v>0</v>
      </c>
      <c r="M226" s="207">
        <f t="shared" ca="1" si="112"/>
        <v>0</v>
      </c>
      <c r="N226" s="235">
        <f t="shared" ca="1" si="112"/>
        <v>0</v>
      </c>
    </row>
    <row r="227" spans="1:14" x14ac:dyDescent="0.2">
      <c r="A227" s="205">
        <f t="shared" si="72"/>
        <v>2053</v>
      </c>
      <c r="B227" s="207">
        <f t="shared" ref="B227:N227" ca="1" si="113">IF($C106="","",IF($C106&lt;0,0,IF(AND($C106=1,start_time&lt;1),-(SUM(B180)*output_kgyear*$E106*percnt_var*start_time+SUM(B180)*output_kgyear*$E106*(1-start_time)),IF($C106&lt;=start_time,-SUM(B180)*output_kgyear*$E106*percnt_var,-SUM(B180)*output_kgyear*$E106))))</f>
        <v>-139268475.47591454</v>
      </c>
      <c r="C227" s="207">
        <f t="shared" ca="1" si="113"/>
        <v>0</v>
      </c>
      <c r="D227" s="207">
        <f t="shared" ca="1" si="113"/>
        <v>0</v>
      </c>
      <c r="E227" s="234">
        <f t="shared" ca="1" si="113"/>
        <v>0</v>
      </c>
      <c r="F227" s="206">
        <f t="shared" ca="1" si="113"/>
        <v>-7530255.1028430257</v>
      </c>
      <c r="G227" s="207">
        <f t="shared" ca="1" si="113"/>
        <v>-11629973.002057629</v>
      </c>
      <c r="H227" s="207">
        <f t="shared" ca="1" si="113"/>
        <v>0</v>
      </c>
      <c r="I227" s="234">
        <f t="shared" ca="1" si="113"/>
        <v>0</v>
      </c>
      <c r="J227" s="601">
        <f t="shared" ca="1" si="113"/>
        <v>0</v>
      </c>
      <c r="K227" s="232">
        <f t="shared" ca="1" si="113"/>
        <v>0</v>
      </c>
      <c r="L227" s="232">
        <f t="shared" ca="1" si="113"/>
        <v>0</v>
      </c>
      <c r="M227" s="207">
        <f t="shared" ca="1" si="113"/>
        <v>0</v>
      </c>
      <c r="N227" s="235">
        <f t="shared" ca="1" si="113"/>
        <v>0</v>
      </c>
    </row>
    <row r="228" spans="1:14" x14ac:dyDescent="0.2">
      <c r="A228" s="205">
        <f t="shared" si="72"/>
        <v>2054</v>
      </c>
      <c r="B228" s="207">
        <f t="shared" ref="B228:N228" ca="1" si="114">IF($C107="","",IF($C107&lt;0,0,IF(AND($C107=1,start_time&lt;1),-(SUM(B181)*output_kgyear*$E107*percnt_var*start_time+SUM(B181)*output_kgyear*$E107*(1-start_time)),IF($C107&lt;=start_time,-SUM(B181)*output_kgyear*$E107*percnt_var,-SUM(B181)*output_kgyear*$E107))))</f>
        <v>-142504139.76167539</v>
      </c>
      <c r="C228" s="207">
        <f t="shared" ca="1" si="114"/>
        <v>0</v>
      </c>
      <c r="D228" s="207">
        <f t="shared" ca="1" si="114"/>
        <v>0</v>
      </c>
      <c r="E228" s="234">
        <f t="shared" ca="1" si="114"/>
        <v>0</v>
      </c>
      <c r="F228" s="206">
        <f t="shared" ca="1" si="114"/>
        <v>-7715988.6101974668</v>
      </c>
      <c r="G228" s="207">
        <f t="shared" ca="1" si="114"/>
        <v>-11851663.241117418</v>
      </c>
      <c r="H228" s="207">
        <f t="shared" ca="1" si="114"/>
        <v>0</v>
      </c>
      <c r="I228" s="234">
        <f t="shared" ca="1" si="114"/>
        <v>0</v>
      </c>
      <c r="J228" s="601">
        <f t="shared" ca="1" si="114"/>
        <v>0</v>
      </c>
      <c r="K228" s="232">
        <f t="shared" ca="1" si="114"/>
        <v>0</v>
      </c>
      <c r="L228" s="232">
        <f t="shared" ca="1" si="114"/>
        <v>0</v>
      </c>
      <c r="M228" s="207">
        <f t="shared" ca="1" si="114"/>
        <v>0</v>
      </c>
      <c r="N228" s="235">
        <f t="shared" ca="1" si="114"/>
        <v>0</v>
      </c>
    </row>
    <row r="229" spans="1:14" x14ac:dyDescent="0.2">
      <c r="A229" s="205" t="str">
        <f t="shared" si="72"/>
        <v/>
      </c>
      <c r="B229" s="207" t="str">
        <f t="shared" ref="B229:N229" si="115">IF($C108="","",IF($C108&lt;0,0,IF(AND($C108=1,start_time&lt;1),-(SUM(B182)*output_kgyear*$E108*percnt_var*start_time+SUM(B182)*output_kgyear*$E108*(1-start_time)),IF($C108&lt;=start_time,-SUM(B182)*output_kgyear*$E108*percnt_var,-SUM(B182)*output_kgyear*$E108))))</f>
        <v/>
      </c>
      <c r="C229" s="207" t="str">
        <f t="shared" si="115"/>
        <v/>
      </c>
      <c r="D229" s="207" t="str">
        <f t="shared" si="115"/>
        <v/>
      </c>
      <c r="E229" s="234" t="str">
        <f t="shared" si="115"/>
        <v/>
      </c>
      <c r="F229" s="206" t="str">
        <f t="shared" si="115"/>
        <v/>
      </c>
      <c r="G229" s="207" t="str">
        <f t="shared" si="115"/>
        <v/>
      </c>
      <c r="H229" s="207" t="str">
        <f t="shared" si="115"/>
        <v/>
      </c>
      <c r="I229" s="234" t="str">
        <f t="shared" si="115"/>
        <v/>
      </c>
      <c r="J229" s="601" t="str">
        <f t="shared" si="115"/>
        <v/>
      </c>
      <c r="K229" s="232" t="str">
        <f t="shared" si="115"/>
        <v/>
      </c>
      <c r="L229" s="232" t="str">
        <f t="shared" si="115"/>
        <v/>
      </c>
      <c r="M229" s="207" t="str">
        <f t="shared" si="115"/>
        <v/>
      </c>
      <c r="N229" s="235" t="str">
        <f t="shared" si="115"/>
        <v/>
      </c>
    </row>
    <row r="231" spans="1:14" x14ac:dyDescent="0.2">
      <c r="A231" s="207" t="s">
        <v>1191</v>
      </c>
      <c r="B231" s="207">
        <f ca="1">+B186+NPV($X$59,B187:B228)</f>
        <v>-637485667.76570714</v>
      </c>
      <c r="C231" s="207">
        <f t="shared" ref="C231:N231" ca="1" si="116">+C186+NPV($X$59,C187:C228)</f>
        <v>0</v>
      </c>
      <c r="D231" s="207">
        <f t="shared" ca="1" si="116"/>
        <v>0</v>
      </c>
      <c r="E231" s="207">
        <f t="shared" ca="1" si="116"/>
        <v>0</v>
      </c>
      <c r="F231" s="207">
        <f t="shared" ca="1" si="116"/>
        <v>-27684411.803346645</v>
      </c>
      <c r="G231" s="207">
        <f t="shared" ca="1" si="116"/>
        <v>-51683528.679195188</v>
      </c>
      <c r="H231" s="207">
        <f t="shared" ca="1" si="116"/>
        <v>0</v>
      </c>
      <c r="I231" s="207">
        <f t="shared" ca="1" si="116"/>
        <v>0</v>
      </c>
      <c r="J231" s="207">
        <f t="shared" ca="1" si="116"/>
        <v>0</v>
      </c>
      <c r="K231" s="207">
        <f t="shared" ca="1" si="116"/>
        <v>0</v>
      </c>
      <c r="L231" s="207">
        <f t="shared" ca="1" si="116"/>
        <v>0</v>
      </c>
      <c r="M231" s="207">
        <f t="shared" ca="1" si="116"/>
        <v>0</v>
      </c>
      <c r="N231" s="207">
        <f t="shared" ca="1" si="116"/>
        <v>0</v>
      </c>
    </row>
    <row r="232" spans="1:14" x14ac:dyDescent="0.2">
      <c r="A232" s="207" t="s">
        <v>1190</v>
      </c>
      <c r="B232" s="207">
        <f ca="1">-B231/$AE$116*(1+inflation_rate)^construct/INFLATION_FACTOR</f>
        <v>1.3716385995415594</v>
      </c>
      <c r="C232" s="207">
        <f t="shared" ref="C232:N232" ca="1" si="117">-C231/$AE$116*(1+inflation_rate)^construct/INFLATION_FACTOR</f>
        <v>0</v>
      </c>
      <c r="D232" s="207">
        <f t="shared" ca="1" si="117"/>
        <v>0</v>
      </c>
      <c r="E232" s="207">
        <f t="shared" ca="1" si="117"/>
        <v>0</v>
      </c>
      <c r="F232" s="207">
        <f ca="1">-F231/$AE$116*(1+inflation_rate)^construct/INFLATION_FACTOR</f>
        <v>5.9566841664321614E-2</v>
      </c>
      <c r="G232" s="207">
        <f t="shared" ca="1" si="117"/>
        <v>0.11120426149400379</v>
      </c>
      <c r="H232" s="207">
        <f t="shared" ca="1" si="117"/>
        <v>0</v>
      </c>
      <c r="I232" s="207">
        <f t="shared" ca="1" si="117"/>
        <v>0</v>
      </c>
      <c r="J232" s="207">
        <f t="shared" ca="1" si="117"/>
        <v>0</v>
      </c>
      <c r="K232" s="207">
        <f t="shared" ca="1" si="117"/>
        <v>0</v>
      </c>
      <c r="L232" s="207">
        <f t="shared" ca="1" si="117"/>
        <v>0</v>
      </c>
      <c r="M232" s="207">
        <f t="shared" ca="1" si="117"/>
        <v>0</v>
      </c>
      <c r="N232" s="207">
        <f t="shared" ca="1" si="117"/>
        <v>0</v>
      </c>
    </row>
    <row r="233" spans="1:14" x14ac:dyDescent="0.2">
      <c r="A233" s="207" t="s">
        <v>1192</v>
      </c>
      <c r="B233" s="207">
        <f ca="1">IF(B132&gt;0,B232/B133*(1+inflation_rate)^construct,"")</f>
        <v>0.10758464732304565</v>
      </c>
      <c r="C233" s="207" t="str">
        <f t="shared" ref="C233:N233" si="118">IF(C132&gt;0,C232/C133*(1+inflation_rate)^construct,"")</f>
        <v/>
      </c>
      <c r="D233" s="207" t="str">
        <f t="shared" si="118"/>
        <v/>
      </c>
      <c r="E233" s="207" t="str">
        <f t="shared" si="118"/>
        <v/>
      </c>
      <c r="F233" s="207">
        <f t="shared" ca="1" si="118"/>
        <v>10.68255442333515</v>
      </c>
      <c r="G233" s="207">
        <f t="shared" ca="1" si="118"/>
        <v>0.12006540955549957</v>
      </c>
      <c r="H233" s="207" t="str">
        <f t="shared" si="118"/>
        <v/>
      </c>
      <c r="I233" s="207" t="str">
        <f t="shared" si="118"/>
        <v/>
      </c>
      <c r="J233" s="207" t="str">
        <f t="shared" ca="1" si="118"/>
        <v/>
      </c>
      <c r="K233" s="207" t="str">
        <f t="shared" si="118"/>
        <v/>
      </c>
      <c r="L233" s="207" t="str">
        <f t="shared" si="118"/>
        <v/>
      </c>
      <c r="M233" s="207" t="str">
        <f t="shared" si="118"/>
        <v/>
      </c>
      <c r="N233" s="207" t="str">
        <f t="shared" si="118"/>
        <v/>
      </c>
    </row>
    <row r="279" spans="1:5" x14ac:dyDescent="0.2">
      <c r="A279" s="53" t="s">
        <v>193</v>
      </c>
    </row>
    <row r="280" spans="1:5" x14ac:dyDescent="0.2">
      <c r="A280" s="53" t="s">
        <v>1053</v>
      </c>
      <c r="B280" s="53" t="s">
        <v>637</v>
      </c>
      <c r="C280" s="53" t="s">
        <v>194</v>
      </c>
      <c r="D280" s="53" t="s">
        <v>195</v>
      </c>
      <c r="E280" s="53" t="s">
        <v>196</v>
      </c>
    </row>
    <row r="281" spans="1:5" x14ac:dyDescent="0.2">
      <c r="A281" s="53" t="str">
        <f>'HyARC Physical Property Data'!A76</f>
        <v>Commercial Electricity</v>
      </c>
      <c r="B281" s="53">
        <f ca="1">VLOOKUP(A281,MASTER_PROPERTY_TABLE,9,FALSE)</f>
        <v>3.5999999999999995E-3</v>
      </c>
      <c r="C281" s="53">
        <f ca="1">MATCH(startup_year,Feedstock_Year,0)</f>
        <v>19</v>
      </c>
      <c r="D281" s="53">
        <f ca="1">VLOOKUP(A281,FEEDPRICETABLE,C281,FALSE)</f>
        <v>29.932211922183079</v>
      </c>
      <c r="E281" s="53">
        <f ca="1">B281*D281</f>
        <v>0.10775596291985907</v>
      </c>
    </row>
    <row r="282" spans="1:5" x14ac:dyDescent="0.2">
      <c r="A282" s="53" t="str">
        <f>'HyARC Physical Property Data'!A77</f>
        <v>Industrial Electricity</v>
      </c>
      <c r="B282" s="53">
        <f ca="1">VLOOKUP(A282,MASTER_PROPERTY_TABLE,9,FALSE)</f>
        <v>3.5999999999999995E-3</v>
      </c>
      <c r="C282" s="53">
        <f ca="1">MATCH(startup_year,Feedstock_Year,0)+2</f>
        <v>21</v>
      </c>
      <c r="D282" s="53">
        <f ca="1">VLOOKUP(A282,FEEDPRICETABLE,C282,FALSE)</f>
        <v>19.537493744407882</v>
      </c>
      <c r="E282" s="53">
        <f ca="1">B282*D282</f>
        <v>7.033497747986836E-2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09"/>
  <sheetViews>
    <sheetView zoomScaleNormal="100" workbookViewId="0">
      <pane xSplit="1" ySplit="6" topLeftCell="B7" activePane="bottomRight" state="frozen"/>
      <selection pane="topRight"/>
      <selection pane="bottomLeft"/>
      <selection pane="bottomRight"/>
    </sheetView>
  </sheetViews>
  <sheetFormatPr defaultRowHeight="12.75" x14ac:dyDescent="0.2"/>
  <cols>
    <col min="1" max="1" width="30.28515625" customWidth="1"/>
    <col min="2" max="2" width="18.85546875" customWidth="1"/>
    <col min="3" max="3" width="11.28515625" customWidth="1"/>
    <col min="5" max="5" width="12.7109375" customWidth="1"/>
    <col min="6" max="6" width="12.42578125" customWidth="1"/>
    <col min="7" max="7" width="11.7109375" customWidth="1"/>
  </cols>
  <sheetData>
    <row r="3" spans="1:104" ht="13.5" thickBot="1" x14ac:dyDescent="0.25">
      <c r="BW3" s="1385" t="s">
        <v>1294</v>
      </c>
      <c r="BX3" s="1385"/>
      <c r="BY3" s="1385"/>
      <c r="BZ3" s="1385"/>
      <c r="CA3" s="1385"/>
      <c r="CB3" s="1385"/>
      <c r="CC3" s="1385"/>
      <c r="CD3" s="1385"/>
    </row>
    <row r="4" spans="1:104" ht="13.5" thickTop="1" x14ac:dyDescent="0.2">
      <c r="A4" s="848" t="s">
        <v>1118</v>
      </c>
      <c r="B4" s="849" t="str">
        <f>"Prices are in $(" &amp; ref_year&amp;")/GJ LHV"</f>
        <v>Prices are in $(2016)/GJ LHV</v>
      </c>
      <c r="C4" s="850"/>
      <c r="D4" s="850"/>
      <c r="E4" s="850"/>
      <c r="F4" s="850"/>
      <c r="G4" s="850"/>
      <c r="H4" s="850"/>
      <c r="I4" s="850"/>
      <c r="J4" s="850"/>
      <c r="K4" s="850"/>
      <c r="L4" s="850"/>
      <c r="M4" s="850"/>
      <c r="N4" s="850"/>
      <c r="O4" s="850"/>
      <c r="P4" s="850"/>
      <c r="Q4" s="850"/>
      <c r="R4" s="850"/>
      <c r="S4" s="850"/>
      <c r="T4" s="850"/>
      <c r="U4" s="850"/>
      <c r="V4" s="850"/>
      <c r="W4" s="850"/>
      <c r="X4" s="850"/>
      <c r="Y4" s="850"/>
      <c r="Z4" s="850"/>
      <c r="AA4" s="850"/>
      <c r="AB4" s="850"/>
      <c r="AC4" s="850"/>
      <c r="AD4" s="850"/>
      <c r="AE4" s="850"/>
      <c r="AF4" s="850"/>
      <c r="AG4" s="850"/>
      <c r="AH4" s="863" t="s">
        <v>772</v>
      </c>
      <c r="AI4" s="864"/>
      <c r="AJ4" s="864"/>
      <c r="AK4" s="864"/>
      <c r="AL4" s="864"/>
      <c r="AM4" s="864"/>
      <c r="AN4" s="864"/>
      <c r="AO4" s="864"/>
      <c r="AP4" s="864"/>
      <c r="AQ4" s="864"/>
      <c r="AR4" s="864"/>
      <c r="AS4" s="864"/>
      <c r="AT4" s="864"/>
      <c r="AU4" s="864"/>
      <c r="AV4" s="864"/>
      <c r="AW4" s="864"/>
      <c r="AX4" s="864"/>
      <c r="AY4" s="864"/>
      <c r="AZ4" s="864"/>
      <c r="BA4" s="864"/>
      <c r="BB4" s="864"/>
      <c r="BC4" s="864"/>
      <c r="BD4" s="864"/>
      <c r="BE4" s="864"/>
      <c r="BF4" s="864"/>
      <c r="BG4" s="864"/>
      <c r="BH4" s="864"/>
      <c r="BI4" s="864"/>
      <c r="BJ4" s="864"/>
      <c r="BK4" s="864"/>
      <c r="BL4" s="864"/>
      <c r="BM4" s="864"/>
      <c r="BN4" s="864"/>
      <c r="BO4" s="864"/>
      <c r="BP4" s="864"/>
      <c r="BQ4" s="864"/>
      <c r="BR4" s="864"/>
      <c r="BS4" s="864"/>
      <c r="BT4" s="864"/>
      <c r="BU4" s="864"/>
      <c r="BV4" s="865"/>
    </row>
    <row r="5" spans="1:104" ht="51.75" thickBot="1" x14ac:dyDescent="0.25">
      <c r="A5" s="868" t="s">
        <v>1085</v>
      </c>
      <c r="B5" s="869" t="s">
        <v>678</v>
      </c>
      <c r="C5" s="869" t="s">
        <v>679</v>
      </c>
      <c r="D5" s="869" t="s">
        <v>690</v>
      </c>
      <c r="E5" s="869" t="s">
        <v>691</v>
      </c>
      <c r="F5" s="870" t="s">
        <v>680</v>
      </c>
      <c r="G5" s="870" t="s">
        <v>692</v>
      </c>
      <c r="H5" s="870">
        <v>2004</v>
      </c>
      <c r="I5" s="870">
        <v>2005</v>
      </c>
      <c r="J5" s="870">
        <v>2006</v>
      </c>
      <c r="K5" s="870">
        <v>2007</v>
      </c>
      <c r="L5" s="870">
        <v>2008</v>
      </c>
      <c r="M5" s="870">
        <v>2009</v>
      </c>
      <c r="N5" s="870">
        <v>2010</v>
      </c>
      <c r="O5" s="870">
        <v>2011</v>
      </c>
      <c r="P5" s="870">
        <v>2012</v>
      </c>
      <c r="Q5" s="870">
        <v>2013</v>
      </c>
      <c r="R5" s="870">
        <v>2014</v>
      </c>
      <c r="S5" s="870">
        <v>2015</v>
      </c>
      <c r="T5" s="870">
        <v>2016</v>
      </c>
      <c r="U5" s="870">
        <v>2017</v>
      </c>
      <c r="V5" s="870">
        <v>2018</v>
      </c>
      <c r="W5" s="870">
        <v>2019</v>
      </c>
      <c r="X5" s="870">
        <v>2020</v>
      </c>
      <c r="Y5" s="870">
        <v>2021</v>
      </c>
      <c r="Z5" s="870">
        <v>2022</v>
      </c>
      <c r="AA5" s="870">
        <v>2023</v>
      </c>
      <c r="AB5" s="870">
        <v>2024</v>
      </c>
      <c r="AC5" s="870">
        <v>2025</v>
      </c>
      <c r="AD5" s="870">
        <v>2026</v>
      </c>
      <c r="AE5" s="870">
        <v>2027</v>
      </c>
      <c r="AF5" s="870">
        <v>2028</v>
      </c>
      <c r="AG5" s="870">
        <v>2029</v>
      </c>
      <c r="AH5" s="870">
        <v>2030</v>
      </c>
      <c r="AI5" s="870">
        <v>2031</v>
      </c>
      <c r="AJ5" s="870">
        <v>2032</v>
      </c>
      <c r="AK5" s="870">
        <v>2033</v>
      </c>
      <c r="AL5" s="870">
        <v>2034</v>
      </c>
      <c r="AM5" s="870">
        <v>2035</v>
      </c>
      <c r="AN5" s="870">
        <v>2036</v>
      </c>
      <c r="AO5" s="870">
        <v>2037</v>
      </c>
      <c r="AP5" s="870">
        <v>2038</v>
      </c>
      <c r="AQ5" s="870">
        <v>2039</v>
      </c>
      <c r="AR5" s="870">
        <v>2040</v>
      </c>
      <c r="AS5" s="870">
        <v>2041</v>
      </c>
      <c r="AT5" s="870">
        <v>2042</v>
      </c>
      <c r="AU5" s="870">
        <v>2043</v>
      </c>
      <c r="AV5" s="870">
        <v>2044</v>
      </c>
      <c r="AW5" s="870">
        <v>2045</v>
      </c>
      <c r="AX5" s="870">
        <v>2046</v>
      </c>
      <c r="AY5" s="870">
        <v>2047</v>
      </c>
      <c r="AZ5" s="870">
        <v>2048</v>
      </c>
      <c r="BA5" s="870">
        <v>2049</v>
      </c>
      <c r="BB5" s="870">
        <v>2050</v>
      </c>
      <c r="BC5" s="870">
        <v>2051</v>
      </c>
      <c r="BD5" s="870">
        <v>2052</v>
      </c>
      <c r="BE5" s="870">
        <v>2053</v>
      </c>
      <c r="BF5" s="870">
        <v>2054</v>
      </c>
      <c r="BG5" s="870">
        <v>2055</v>
      </c>
      <c r="BH5" s="870">
        <v>2056</v>
      </c>
      <c r="BI5" s="870">
        <v>2057</v>
      </c>
      <c r="BJ5" s="870">
        <v>2058</v>
      </c>
      <c r="BK5" s="870">
        <v>2059</v>
      </c>
      <c r="BL5" s="870">
        <v>2060</v>
      </c>
      <c r="BM5" s="870">
        <v>2061</v>
      </c>
      <c r="BN5" s="870">
        <v>2062</v>
      </c>
      <c r="BO5" s="870">
        <v>2063</v>
      </c>
      <c r="BP5" s="870">
        <v>2064</v>
      </c>
      <c r="BQ5" s="870">
        <v>2065</v>
      </c>
      <c r="BR5" s="870">
        <v>2066</v>
      </c>
      <c r="BS5" s="870">
        <v>2067</v>
      </c>
      <c r="BT5" s="870">
        <v>2068</v>
      </c>
      <c r="BU5" s="870">
        <v>2069</v>
      </c>
      <c r="BV5" s="871">
        <v>2070</v>
      </c>
      <c r="BW5" s="1385">
        <f t="shared" ref="BW5" si="0">+BV5+1</f>
        <v>2071</v>
      </c>
      <c r="BX5" s="1385">
        <f t="shared" ref="BX5" si="1">+BW5+1</f>
        <v>2072</v>
      </c>
      <c r="BY5" s="1385">
        <f t="shared" ref="BY5" si="2">+BX5+1</f>
        <v>2073</v>
      </c>
      <c r="BZ5" s="1385">
        <f t="shared" ref="BZ5" si="3">+BY5+1</f>
        <v>2074</v>
      </c>
      <c r="CA5" s="1385">
        <f t="shared" ref="CA5" si="4">+BZ5+1</f>
        <v>2075</v>
      </c>
      <c r="CB5" s="1385">
        <f t="shared" ref="CB5" si="5">+CA5+1</f>
        <v>2076</v>
      </c>
      <c r="CC5" s="1385">
        <f t="shared" ref="CC5" si="6">+CB5+1</f>
        <v>2077</v>
      </c>
      <c r="CD5" s="1385">
        <f t="shared" ref="CD5" si="7">+CC5+1</f>
        <v>2078</v>
      </c>
      <c r="CE5" s="1385">
        <f t="shared" ref="CE5" si="8">+CD5+1</f>
        <v>2079</v>
      </c>
      <c r="CF5" s="1385">
        <f t="shared" ref="CF5" si="9">+CE5+1</f>
        <v>2080</v>
      </c>
      <c r="CG5" s="1385">
        <f t="shared" ref="CG5" si="10">+CF5+1</f>
        <v>2081</v>
      </c>
      <c r="CH5" s="1385">
        <f t="shared" ref="CH5" si="11">+CG5+1</f>
        <v>2082</v>
      </c>
      <c r="CI5" s="1385">
        <f t="shared" ref="CI5" si="12">+CH5+1</f>
        <v>2083</v>
      </c>
      <c r="CJ5" s="1385">
        <f t="shared" ref="CJ5" si="13">+CI5+1</f>
        <v>2084</v>
      </c>
      <c r="CK5" s="1385">
        <f t="shared" ref="CK5" si="14">+CJ5+1</f>
        <v>2085</v>
      </c>
      <c r="CL5" s="1385">
        <f t="shared" ref="CL5" si="15">+CK5+1</f>
        <v>2086</v>
      </c>
      <c r="CM5" s="1385">
        <f t="shared" ref="CM5" si="16">+CL5+1</f>
        <v>2087</v>
      </c>
      <c r="CN5" s="1385">
        <f t="shared" ref="CN5" si="17">+CM5+1</f>
        <v>2088</v>
      </c>
      <c r="CO5" s="1385">
        <f t="shared" ref="CO5" si="18">+CN5+1</f>
        <v>2089</v>
      </c>
      <c r="CP5" s="1385">
        <f t="shared" ref="CP5" si="19">+CO5+1</f>
        <v>2090</v>
      </c>
      <c r="CQ5" s="1385">
        <f t="shared" ref="CQ5" si="20">+CP5+1</f>
        <v>2091</v>
      </c>
      <c r="CR5" s="1385">
        <f t="shared" ref="CR5" si="21">+CQ5+1</f>
        <v>2092</v>
      </c>
      <c r="CS5" s="1385">
        <f t="shared" ref="CS5" si="22">+CR5+1</f>
        <v>2093</v>
      </c>
      <c r="CT5" s="1385">
        <f t="shared" ref="CT5" si="23">+CS5+1</f>
        <v>2094</v>
      </c>
      <c r="CU5" s="1385">
        <f t="shared" ref="CU5" si="24">+CT5+1</f>
        <v>2095</v>
      </c>
      <c r="CV5" s="1385">
        <f t="shared" ref="CV5" si="25">+CU5+1</f>
        <v>2096</v>
      </c>
      <c r="CW5" s="1385">
        <f t="shared" ref="CW5" si="26">+CV5+1</f>
        <v>2097</v>
      </c>
      <c r="CX5" s="1385">
        <f t="shared" ref="CX5" si="27">+CW5+1</f>
        <v>2098</v>
      </c>
      <c r="CY5" s="1385">
        <f t="shared" ref="CY5" si="28">+CX5+1</f>
        <v>2099</v>
      </c>
      <c r="CZ5" s="1385">
        <f t="shared" ref="CZ5" si="29">+CY5+1</f>
        <v>2100</v>
      </c>
    </row>
    <row r="6" spans="1:104" ht="13.5" thickBot="1" x14ac:dyDescent="0.25">
      <c r="A6" s="939" t="s">
        <v>1091</v>
      </c>
      <c r="B6" s="940"/>
      <c r="C6" s="940"/>
      <c r="D6" s="940"/>
      <c r="E6" s="940"/>
      <c r="F6" s="852"/>
      <c r="G6" s="940"/>
      <c r="H6" s="940"/>
      <c r="I6" s="940"/>
      <c r="J6" s="940"/>
      <c r="K6" s="940"/>
      <c r="L6" s="940"/>
      <c r="M6" s="940"/>
      <c r="N6" s="940"/>
      <c r="O6" s="940"/>
      <c r="P6" s="940"/>
      <c r="Q6" s="940"/>
      <c r="R6" s="940"/>
      <c r="S6" s="940"/>
      <c r="T6" s="940"/>
      <c r="U6" s="940"/>
      <c r="V6" s="940"/>
      <c r="W6" s="940"/>
      <c r="X6" s="940"/>
      <c r="Y6" s="940"/>
      <c r="Z6" s="940"/>
      <c r="AA6" s="940"/>
      <c r="AB6" s="940"/>
      <c r="AC6" s="940"/>
      <c r="AD6" s="940"/>
      <c r="AE6" s="940"/>
      <c r="AF6" s="940"/>
      <c r="AG6" s="940"/>
      <c r="AH6" s="940"/>
      <c r="AI6" s="940"/>
      <c r="AJ6" s="940"/>
      <c r="AK6" s="940"/>
      <c r="AL6" s="940"/>
      <c r="AM6" s="940"/>
      <c r="AN6" s="940"/>
      <c r="AO6" s="940"/>
      <c r="AP6" s="940"/>
      <c r="AQ6" s="940"/>
      <c r="AR6" s="940"/>
      <c r="AS6" s="940"/>
      <c r="AT6" s="940"/>
      <c r="AU6" s="940"/>
      <c r="AV6" s="940"/>
      <c r="AW6" s="940"/>
      <c r="AX6" s="940"/>
      <c r="AY6" s="940"/>
      <c r="AZ6" s="940"/>
      <c r="BA6" s="940"/>
      <c r="BC6" s="940"/>
      <c r="BD6" s="940"/>
      <c r="BE6" s="940"/>
      <c r="BF6" s="940"/>
      <c r="BG6" s="940"/>
      <c r="BH6" s="940"/>
      <c r="BI6" s="940"/>
      <c r="BJ6" s="940"/>
      <c r="BK6" s="940"/>
      <c r="BL6" s="940"/>
      <c r="BM6" s="940"/>
      <c r="BN6" s="940"/>
      <c r="BO6" s="940"/>
      <c r="BP6" s="940"/>
      <c r="BR6" s="940"/>
      <c r="BS6" s="940"/>
      <c r="BT6" s="940"/>
      <c r="BU6" s="940"/>
    </row>
    <row r="7" spans="1:104" x14ac:dyDescent="0.2">
      <c r="A7" s="959" t="str">
        <f>'HyARC Physical Property Data'!A73</f>
        <v>Residential Natural Gas</v>
      </c>
      <c r="B7" s="940">
        <v>2007</v>
      </c>
      <c r="C7" s="941">
        <f>VLOOKUP(ref_year,DeflatorTable,2,FALSE)/VLOOKUP(B7,DeflatorTable,2,FALSE)</f>
        <v>1.1446359956438654</v>
      </c>
      <c r="D7" s="959" t="str">
        <f>'HyARC Physical Property Data'!H73</f>
        <v>mmBtu</v>
      </c>
      <c r="E7" s="941" t="s">
        <v>1059</v>
      </c>
      <c r="F7" s="940">
        <f>'HyARC Physical Property Data'!$E$6</f>
        <v>47.141269049911173</v>
      </c>
      <c r="G7" s="940">
        <f>'HyARC Physical Property Data'!$I$6</f>
        <v>52.224661236371581</v>
      </c>
      <c r="H7" s="940">
        <f>((13.7000589370728/(mmBTU_to_GJ))*($C$7))*($G$7/$F$7)</f>
        <v>16.46689578317423</v>
      </c>
      <c r="I7" s="940">
        <f>((13.7000589370728/(mmBTU_to_GJ))*($C$7))*($G$7/$F$7)</f>
        <v>16.46689578317423</v>
      </c>
      <c r="J7" s="940">
        <f>((13.7000589370728/(mmBTU_to_GJ))*($C$7))*($G$7/$F$7)</f>
        <v>16.46689578317423</v>
      </c>
      <c r="K7" s="940">
        <f>((12.6911582946777/(mmBTU_to_GJ))*($C$7))*($G$7/$F$7)</f>
        <v>15.254239559561855</v>
      </c>
      <c r="L7" s="940">
        <f>((12.9778490066528/(mmBTU_to_GJ))*($C$7))*($G$7/$F$7)</f>
        <v>15.59882976152975</v>
      </c>
      <c r="M7" s="940">
        <f>((10.7176141738892/(mmBTU_to_GJ))*($C$7))*($G$7/$F$7)</f>
        <v>12.882122365775233</v>
      </c>
      <c r="N7" s="940">
        <f>((11.192774772644/(mmBTU_to_GJ))*($C$7))*($G$7/$F$7)</f>
        <v>13.453245460639653</v>
      </c>
      <c r="O7" s="940">
        <f>((11.4872808456421/(mmBTU_to_GJ))*($C$7))*($G$7/$F$7)</f>
        <v>13.807229398507864</v>
      </c>
      <c r="P7" s="940">
        <f>((11.3991556167603/(mmBTU_to_GJ))*($C$7))*($G$7/$F$7)</f>
        <v>13.701306572443364</v>
      </c>
      <c r="Q7" s="940">
        <f>((11.3077983856201/(mmBTU_to_GJ))*($C$7))*($G$7/$F$7)</f>
        <v>13.591499015327374</v>
      </c>
      <c r="R7" s="940">
        <f>((11.2896461486816/(mmBTU_to_GJ))*($C$7))*($G$7/$F$7)</f>
        <v>13.569680788466401</v>
      </c>
      <c r="S7" s="940">
        <f>((11.3454151153564/(mmBTU_to_GJ))*($C$7))*($G$7/$F$7)</f>
        <v>13.636712745510335</v>
      </c>
      <c r="T7" s="940">
        <f>((11.5382986068726/(mmBTU_to_GJ))*($C$7))*($G$7/$F$7)</f>
        <v>13.868550606039326</v>
      </c>
      <c r="U7" s="940">
        <f>((11.7583208084106/(mmBTU_to_GJ))*($C$7))*($G$7/$F$7)</f>
        <v>14.133008056868725</v>
      </c>
      <c r="V7" s="940">
        <f>((11.9751005172729/(mmBTU_to_GJ))*($C$7))*($G$7/$F$7)</f>
        <v>14.393568167605377</v>
      </c>
      <c r="W7" s="940">
        <f>((12.23952293396/(mmBTU_to_GJ))*($C$7))*($G$7/$F$7)</f>
        <v>14.711392813347514</v>
      </c>
      <c r="X7" s="940">
        <f>((12.557071685791/(mmBTU_to_GJ))*($C$7))*($G$7/$F$7)</f>
        <v>15.093073083957748</v>
      </c>
      <c r="Y7" s="940">
        <f>((12.7957820892334/(mmBTU_to_GJ))*($C$7))*($G$7/$F$7)</f>
        <v>15.379992969040035</v>
      </c>
      <c r="Z7" s="940">
        <f>((12.8716516494751/(mmBTU_to_GJ))*($C$7))*($G$7/$F$7)</f>
        <v>15.471184995830123</v>
      </c>
      <c r="AA7" s="940">
        <f>((12.6602811813354/(mmBTU_to_GJ))*($C$7))*($G$7/$F$7)</f>
        <v>15.217126565389467</v>
      </c>
      <c r="AB7" s="940">
        <f>((12.6240320205688/(mmBTU_to_GJ))*($C$7))*($G$7/$F$7)</f>
        <v>15.173556595704456</v>
      </c>
      <c r="AC7" s="940">
        <f>((12.5992183685303/(mmBTU_to_GJ))*($C$7))*($G$7/$F$7)</f>
        <v>15.143731627505801</v>
      </c>
      <c r="AD7" s="940">
        <f>((12.7868556976318/(mmBTU_to_GJ))*($C$7))*($G$7/$F$7)</f>
        <v>15.369263821019688</v>
      </c>
      <c r="AE7" s="940">
        <f>((13.07555103302/(mmBTU_to_GJ))*($C$7))*($G$7/$F$7)</f>
        <v>15.716263496186178</v>
      </c>
      <c r="AF7" s="940">
        <f>((13.407883644104/(mmBTU_to_GJ))*($C$7))*($G$7/$F$7)</f>
        <v>16.115713345066876</v>
      </c>
      <c r="AG7" s="940">
        <f>((13.6725673675537/(mmBTU_to_GJ))*($C$7))*($G$7/$F$7)</f>
        <v>16.433852070569323</v>
      </c>
      <c r="AH7" s="940">
        <f>((13.9620389938354/(mmBTU_to_GJ))*($C$7))*($G$7/$F$7)</f>
        <v>16.781784814805029</v>
      </c>
      <c r="AI7" s="940">
        <f>($BB7-$AH7)/20+AH7</f>
        <v>16.924252919684925</v>
      </c>
      <c r="AJ7" s="940">
        <f t="shared" ref="AJ7:AY10" si="30">($BB7-$AH7)/20+AI7</f>
        <v>17.066721024564821</v>
      </c>
      <c r="AK7" s="940">
        <f t="shared" si="30"/>
        <v>17.209189129444717</v>
      </c>
      <c r="AL7" s="940">
        <f t="shared" si="30"/>
        <v>17.351657234324612</v>
      </c>
      <c r="AM7" s="940">
        <f t="shared" si="30"/>
        <v>17.494125339204508</v>
      </c>
      <c r="AN7" s="940">
        <f t="shared" si="30"/>
        <v>17.636593444084404</v>
      </c>
      <c r="AO7" s="940">
        <f t="shared" si="30"/>
        <v>17.7790615489643</v>
      </c>
      <c r="AP7" s="940">
        <f t="shared" si="30"/>
        <v>17.921529653844196</v>
      </c>
      <c r="AQ7" s="940">
        <f t="shared" si="30"/>
        <v>18.063997758724092</v>
      </c>
      <c r="AR7" s="940">
        <f t="shared" si="30"/>
        <v>18.206465863603988</v>
      </c>
      <c r="AS7" s="940">
        <f t="shared" si="30"/>
        <v>18.348933968483884</v>
      </c>
      <c r="AT7" s="940">
        <f t="shared" si="30"/>
        <v>18.49140207336378</v>
      </c>
      <c r="AU7" s="940">
        <f t="shared" si="30"/>
        <v>18.633870178243676</v>
      </c>
      <c r="AV7" s="940">
        <f t="shared" si="30"/>
        <v>18.776338283123572</v>
      </c>
      <c r="AW7" s="940">
        <f t="shared" si="30"/>
        <v>18.918806388003468</v>
      </c>
      <c r="AX7" s="940">
        <f t="shared" si="30"/>
        <v>19.061274492883364</v>
      </c>
      <c r="AY7" s="940">
        <f t="shared" si="30"/>
        <v>19.203742597763259</v>
      </c>
      <c r="AZ7" s="940">
        <f t="shared" ref="AY7:BA10" si="31">($BB7-$AH7)/20+AY7</f>
        <v>19.346210702643155</v>
      </c>
      <c r="BA7" s="940">
        <f t="shared" si="31"/>
        <v>19.488678807523051</v>
      </c>
      <c r="BB7" s="1058">
        <f>1.16978897829057*AH7</f>
        <v>19.631146912402976</v>
      </c>
      <c r="BC7" s="940">
        <f>($BQ7-$BB7)/15+BB7</f>
        <v>19.82552968566489</v>
      </c>
      <c r="BD7" s="940">
        <f t="shared" ref="BD7:BP7" si="32">($BQ7-$BB7)/15+BC7</f>
        <v>20.019912458926804</v>
      </c>
      <c r="BE7" s="940">
        <f t="shared" si="32"/>
        <v>20.214295232188718</v>
      </c>
      <c r="BF7" s="940">
        <f t="shared" si="32"/>
        <v>20.408678005450632</v>
      </c>
      <c r="BG7" s="940">
        <f t="shared" si="32"/>
        <v>20.603060778712546</v>
      </c>
      <c r="BH7" s="940">
        <f t="shared" si="32"/>
        <v>20.79744355197446</v>
      </c>
      <c r="BI7" s="940">
        <f t="shared" si="32"/>
        <v>20.991826325236374</v>
      </c>
      <c r="BJ7" s="940">
        <f t="shared" si="32"/>
        <v>21.186209098498288</v>
      </c>
      <c r="BK7" s="940">
        <f t="shared" si="32"/>
        <v>21.380591871760203</v>
      </c>
      <c r="BL7" s="940">
        <f t="shared" si="32"/>
        <v>21.574974645022117</v>
      </c>
      <c r="BM7" s="940">
        <f t="shared" si="32"/>
        <v>21.769357418284031</v>
      </c>
      <c r="BN7" s="940">
        <f t="shared" si="32"/>
        <v>21.963740191545945</v>
      </c>
      <c r="BO7" s="940">
        <f t="shared" si="32"/>
        <v>22.158122964807859</v>
      </c>
      <c r="BP7" s="940">
        <f t="shared" si="32"/>
        <v>22.352505738069773</v>
      </c>
      <c r="BQ7" s="1058">
        <f>1.14852629914794*BB7</f>
        <v>22.546888511331698</v>
      </c>
      <c r="BR7" s="940">
        <f>($BV7-$BQ7)/5+BQ7</f>
        <v>22.770142238524333</v>
      </c>
      <c r="BS7" s="940">
        <f>($BV7-$BQ7)/5+BR7</f>
        <v>22.993395965716967</v>
      </c>
      <c r="BT7" s="940">
        <f>($BV7-$BQ7)/5+BS7</f>
        <v>23.216649692909602</v>
      </c>
      <c r="BU7" s="940">
        <f>($BV7-$BQ7)/5+BT7</f>
        <v>23.439903420102237</v>
      </c>
      <c r="BV7" s="1059">
        <f>1.04950876638265*BQ7</f>
        <v>23.663157147294871</v>
      </c>
      <c r="BW7" s="1384">
        <f>+BV7*BW$133/BV$133</f>
        <v>23.741725786947789</v>
      </c>
      <c r="BX7" s="1384">
        <f t="shared" ref="BX7:CZ7" si="33">+BW7*BX$133/BW$133</f>
        <v>23.820555297586708</v>
      </c>
      <c r="BY7" s="1384">
        <f t="shared" si="33"/>
        <v>23.899646545380008</v>
      </c>
      <c r="BZ7" s="1384">
        <f t="shared" si="33"/>
        <v>23.979000399372005</v>
      </c>
      <c r="CA7" s="1384">
        <f t="shared" si="33"/>
        <v>24.058617731492493</v>
      </c>
      <c r="CB7" s="1384">
        <f t="shared" si="33"/>
        <v>24.109957095304743</v>
      </c>
      <c r="CC7" s="1384">
        <f t="shared" si="33"/>
        <v>24.1614060136353</v>
      </c>
      <c r="CD7" s="1384">
        <f t="shared" si="33"/>
        <v>24.212964720265646</v>
      </c>
      <c r="CE7" s="1384">
        <f t="shared" si="33"/>
        <v>24.264633449476126</v>
      </c>
      <c r="CF7" s="1384">
        <f t="shared" si="33"/>
        <v>24.316412436047038</v>
      </c>
      <c r="CG7" s="1384">
        <f t="shared" si="33"/>
        <v>24.333224744531737</v>
      </c>
      <c r="CH7" s="1384">
        <f t="shared" si="33"/>
        <v>24.350048677005677</v>
      </c>
      <c r="CI7" s="1384">
        <f t="shared" si="33"/>
        <v>24.366884241505659</v>
      </c>
      <c r="CJ7" s="1384">
        <f t="shared" si="33"/>
        <v>24.383731446074034</v>
      </c>
      <c r="CK7" s="1384">
        <f t="shared" si="33"/>
        <v>24.400590298758722</v>
      </c>
      <c r="CL7" s="1384">
        <f t="shared" si="33"/>
        <v>24.406304701449077</v>
      </c>
      <c r="CM7" s="1384">
        <f t="shared" si="33"/>
        <v>24.41202044240206</v>
      </c>
      <c r="CN7" s="1384">
        <f t="shared" si="33"/>
        <v>24.41773752193108</v>
      </c>
      <c r="CO7" s="1384">
        <f t="shared" si="33"/>
        <v>24.423455940349619</v>
      </c>
      <c r="CP7" s="1384">
        <f t="shared" si="33"/>
        <v>24.429175697971235</v>
      </c>
      <c r="CQ7" s="1384">
        <f t="shared" si="33"/>
        <v>24.437844539812179</v>
      </c>
      <c r="CR7" s="1384">
        <f t="shared" si="33"/>
        <v>24.446516457844467</v>
      </c>
      <c r="CS7" s="1384">
        <f t="shared" si="33"/>
        <v>24.455191453159703</v>
      </c>
      <c r="CT7" s="1384">
        <f t="shared" si="33"/>
        <v>24.463869526849884</v>
      </c>
      <c r="CU7" s="1384">
        <f t="shared" si="33"/>
        <v>24.472550680007387</v>
      </c>
      <c r="CV7" s="1384">
        <f t="shared" si="33"/>
        <v>24.485911011470357</v>
      </c>
      <c r="CW7" s="1384">
        <f t="shared" si="33"/>
        <v>24.499278636756479</v>
      </c>
      <c r="CX7" s="1384">
        <f t="shared" si="33"/>
        <v>24.512653559847685</v>
      </c>
      <c r="CY7" s="1384">
        <f t="shared" si="33"/>
        <v>24.526035784728073</v>
      </c>
      <c r="CZ7" s="1384">
        <f t="shared" si="33"/>
        <v>24.539425315383912</v>
      </c>
    </row>
    <row r="8" spans="1:104" x14ac:dyDescent="0.2">
      <c r="A8" s="856" t="str">
        <f>'HyARC Physical Property Data'!A71</f>
        <v>Commercial Natural Gas</v>
      </c>
      <c r="B8" s="260">
        <v>2007</v>
      </c>
      <c r="C8" s="855">
        <f>VLOOKUP(ref_year,DeflatorTable,2,FALSE)/VLOOKUP(B8,DeflatorTable,2,FALSE)</f>
        <v>1.1446359956438654</v>
      </c>
      <c r="D8" s="856" t="str">
        <f>'HyARC Physical Property Data'!H71</f>
        <v>mmBtu</v>
      </c>
      <c r="E8" s="855" t="s">
        <v>1059</v>
      </c>
      <c r="F8" s="260">
        <f>'HyARC Physical Property Data'!$E$6</f>
        <v>47.141269049911173</v>
      </c>
      <c r="G8" s="260">
        <f>'HyARC Physical Property Data'!$I$6</f>
        <v>52.224661236371581</v>
      </c>
      <c r="H8" s="260">
        <f>((11.8960943222046/(mmBTU_to_GJ))*($C$8))*($G$8/$F$8)</f>
        <v>14.298606037413785</v>
      </c>
      <c r="I8" s="260">
        <f>((11.8960943222046/(mmBTU_to_GJ))*($C$8))*($G$8/$F$8)</f>
        <v>14.298606037413785</v>
      </c>
      <c r="J8" s="260">
        <f>((11.8960943222046/(mmBTU_to_GJ))*($C$8))*($G$8/$F$8)</f>
        <v>14.298606037413785</v>
      </c>
      <c r="K8" s="260">
        <f>((10.9898433685303/(mmBTU_to_GJ))*($C$8))*($G$8/$F$8)</f>
        <v>13.209330430929022</v>
      </c>
      <c r="L8" s="260">
        <f>((11.3387994766235/(mmBTU_to_GJ))*($C$8))*($G$8/$F$8)</f>
        <v>13.628761025444446</v>
      </c>
      <c r="M8" s="260">
        <f>((8.90759468078613/(mmBTU_to_GJ))*($C$8))*($G$8/$F$8)</f>
        <v>10.706554910529642</v>
      </c>
      <c r="N8" s="260">
        <f>((9.46560573577881/(mmBTU_to_GJ))*($C$8))*($G$8/$F$8)</f>
        <v>11.377260776148852</v>
      </c>
      <c r="O8" s="260">
        <f>((9.74632167816162/(mmBTU_to_GJ))*($C$8))*($G$8/$F$8)</f>
        <v>11.714669555857421</v>
      </c>
      <c r="P8" s="260">
        <f>((9.72109222412109/(mmBTU_to_GJ))*($C$8))*($G$8/$F$8)</f>
        <v>11.684344811105591</v>
      </c>
      <c r="Q8" s="260">
        <f>((9.67193412780762/(mmBTU_to_GJ))*($C$8))*($G$8/$F$8)</f>
        <v>11.625258842745071</v>
      </c>
      <c r="R8" s="260">
        <f>((9.71388721466064/(mmBTU_to_GJ))*($C$8))*($G$8/$F$8)</f>
        <v>11.675684692163989</v>
      </c>
      <c r="S8" s="260">
        <f>((9.83065605163574/(mmBTU_to_GJ))*($C$8))*($G$8/$F$8)</f>
        <v>11.816035932842832</v>
      </c>
      <c r="T8" s="260">
        <f>((10.0382099151611/(mmBTU_to_GJ))*($C$8))*($G$8/$F$8)</f>
        <v>12.065506964738809</v>
      </c>
      <c r="U8" s="260">
        <f>((10.2545003890991/(mmBTU_to_GJ))*($C$8))*($G$8/$F$8)</f>
        <v>12.32547903563206</v>
      </c>
      <c r="V8" s="260">
        <f>((10.476261138916/(mmBTU_to_GJ))*($C$8))*($G$8/$F$8)</f>
        <v>12.592026148517233</v>
      </c>
      <c r="W8" s="260">
        <f>((10.746561050415/(mmBTU_to_GJ))*($C$8))*($G$8/$F$8)</f>
        <v>12.916915296315764</v>
      </c>
      <c r="X8" s="260">
        <f>((11.0803880691528/(mmBTU_to_GJ))*($C$8))*($G$8/$F$8)</f>
        <v>13.318161360468658</v>
      </c>
      <c r="Y8" s="260">
        <f>((11.3143692016602/(mmBTU_to_GJ))*($C$8))*($G$8/$F$8)</f>
        <v>13.599396860397949</v>
      </c>
      <c r="Z8" s="260">
        <f>((11.4017143249512/(mmBTU_to_GJ))*($C$8))*($G$8/$F$8)</f>
        <v>13.704382032287196</v>
      </c>
      <c r="AA8" s="260">
        <f>((11.2125005722046/(mmBTU_to_GJ))*($C$8))*($G$8/$F$8)</f>
        <v>13.476955043722189</v>
      </c>
      <c r="AB8" s="260">
        <f>((11.1975994110107/(mmBTU_to_GJ))*($C$8))*($G$8/$F$8)</f>
        <v>13.459044473442507</v>
      </c>
      <c r="AC8" s="260">
        <f>((11.159740447998/(mmBTU_to_GJ))*($C$8))*($G$8/$F$8)</f>
        <v>13.413539589029041</v>
      </c>
      <c r="AD8" s="260">
        <f>((11.3503875732422/(mmBTU_to_GJ))*($C$8))*($G$8/$F$8)</f>
        <v>13.642689431170433</v>
      </c>
      <c r="AE8" s="260">
        <f>((11.6409521102905/(mmBTU_to_GJ))*($C$8))*($G$8/$F$8)</f>
        <v>13.99193580827273</v>
      </c>
      <c r="AF8" s="260">
        <f>((11.9785671234131/(mmBTU_to_GJ))*($C$8))*($G$8/$F$8)</f>
        <v>14.397734882675305</v>
      </c>
      <c r="AG8" s="260">
        <f>((12.2332496643066/(mmBTU_to_GJ))*($C$8))*($G$8/$F$8)</f>
        <v>14.703852606544261</v>
      </c>
      <c r="AH8" s="260">
        <f>((12.5188312530518/(mmBTU_to_GJ))*($C$8))*($G$8/$F$8)</f>
        <v>15.0471096889452</v>
      </c>
      <c r="AI8" s="260">
        <f>($BB8-$AH8)/20+AH8</f>
        <v>15.174851357960808</v>
      </c>
      <c r="AJ8" s="260">
        <f t="shared" si="30"/>
        <v>15.302593026976416</v>
      </c>
      <c r="AK8" s="260">
        <f t="shared" si="30"/>
        <v>15.430334695992023</v>
      </c>
      <c r="AL8" s="260">
        <f t="shared" si="30"/>
        <v>15.558076365007631</v>
      </c>
      <c r="AM8" s="260">
        <f t="shared" si="30"/>
        <v>15.685818034023239</v>
      </c>
      <c r="AN8" s="260">
        <f t="shared" si="30"/>
        <v>15.813559703038846</v>
      </c>
      <c r="AO8" s="260">
        <f t="shared" si="30"/>
        <v>15.941301372054454</v>
      </c>
      <c r="AP8" s="260">
        <f t="shared" si="30"/>
        <v>16.06904304107006</v>
      </c>
      <c r="AQ8" s="260">
        <f t="shared" si="30"/>
        <v>16.196784710085666</v>
      </c>
      <c r="AR8" s="260">
        <f t="shared" si="30"/>
        <v>16.324526379101272</v>
      </c>
      <c r="AS8" s="260">
        <f t="shared" si="30"/>
        <v>16.452268048116878</v>
      </c>
      <c r="AT8" s="260">
        <f t="shared" si="30"/>
        <v>16.580009717132484</v>
      </c>
      <c r="AU8" s="260">
        <f t="shared" si="30"/>
        <v>16.70775138614809</v>
      </c>
      <c r="AV8" s="260">
        <f t="shared" si="30"/>
        <v>16.835493055163695</v>
      </c>
      <c r="AW8" s="260">
        <f t="shared" si="30"/>
        <v>16.963234724179301</v>
      </c>
      <c r="AX8" s="260">
        <f t="shared" si="30"/>
        <v>17.090976393194907</v>
      </c>
      <c r="AY8" s="260">
        <f t="shared" si="31"/>
        <v>17.218718062210513</v>
      </c>
      <c r="AZ8" s="260">
        <f t="shared" si="31"/>
        <v>17.346459731226119</v>
      </c>
      <c r="BA8" s="260">
        <f t="shared" si="31"/>
        <v>17.474201400241725</v>
      </c>
      <c r="BB8" s="1057">
        <f>1.16978897829057*AH8</f>
        <v>17.601943069257342</v>
      </c>
      <c r="BC8" s="260">
        <f t="shared" ref="BC8:BP10" si="34">($BQ8-$BB8)/15+BB8</f>
        <v>17.776233166716644</v>
      </c>
      <c r="BD8" s="260">
        <f t="shared" si="34"/>
        <v>17.950523264175946</v>
      </c>
      <c r="BE8" s="260">
        <f t="shared" si="34"/>
        <v>18.124813361635248</v>
      </c>
      <c r="BF8" s="260">
        <f t="shared" si="34"/>
        <v>18.29910345909455</v>
      </c>
      <c r="BG8" s="260">
        <f t="shared" si="34"/>
        <v>18.473393556553852</v>
      </c>
      <c r="BH8" s="260">
        <f t="shared" si="34"/>
        <v>18.647683654013154</v>
      </c>
      <c r="BI8" s="260">
        <f t="shared" si="34"/>
        <v>18.821973751472456</v>
      </c>
      <c r="BJ8" s="260">
        <f t="shared" si="34"/>
        <v>18.996263848931758</v>
      </c>
      <c r="BK8" s="260">
        <f t="shared" si="34"/>
        <v>19.17055394639106</v>
      </c>
      <c r="BL8" s="260">
        <f t="shared" si="34"/>
        <v>19.344844043850362</v>
      </c>
      <c r="BM8" s="260">
        <f t="shared" si="34"/>
        <v>19.519134141309664</v>
      </c>
      <c r="BN8" s="260">
        <f t="shared" si="34"/>
        <v>19.693424238768966</v>
      </c>
      <c r="BO8" s="260">
        <f t="shared" si="34"/>
        <v>19.867714336228268</v>
      </c>
      <c r="BP8" s="260">
        <f t="shared" si="34"/>
        <v>20.04200443368757</v>
      </c>
      <c r="BQ8" s="1057">
        <f>1.14852629914794*BB8</f>
        <v>20.216294531146865</v>
      </c>
      <c r="BR8" s="260">
        <f t="shared" ref="BR8:BU10" si="35">($BV8-$BQ8)/5+BQ8</f>
        <v>20.416471291759944</v>
      </c>
      <c r="BS8" s="260">
        <f t="shared" si="35"/>
        <v>20.616648052373023</v>
      </c>
      <c r="BT8" s="260">
        <f t="shared" si="35"/>
        <v>20.816824812986102</v>
      </c>
      <c r="BU8" s="260">
        <f t="shared" si="35"/>
        <v>21.017001573599181</v>
      </c>
      <c r="BV8" s="1060">
        <f>1.04950876638265*BQ8</f>
        <v>21.217178334212257</v>
      </c>
      <c r="BW8" s="1384">
        <f>+BV8*BW$134/BV$134</f>
        <v>21.287625604989181</v>
      </c>
      <c r="BX8" s="1384">
        <f t="shared" ref="BX8:CZ8" si="36">+BW8*BX$134/BW$134</f>
        <v>21.358306781419426</v>
      </c>
      <c r="BY8" s="1384">
        <f t="shared" si="36"/>
        <v>21.429222640138541</v>
      </c>
      <c r="BZ8" s="1384">
        <f t="shared" si="36"/>
        <v>21.500373960360729</v>
      </c>
      <c r="CA8" s="1384">
        <f t="shared" si="36"/>
        <v>21.571761523887421</v>
      </c>
      <c r="CB8" s="1384">
        <f t="shared" si="36"/>
        <v>21.617794115007417</v>
      </c>
      <c r="CC8" s="1384">
        <f t="shared" si="36"/>
        <v>21.663924936373601</v>
      </c>
      <c r="CD8" s="1384">
        <f t="shared" si="36"/>
        <v>21.710154197602268</v>
      </c>
      <c r="CE8" s="1384">
        <f t="shared" si="36"/>
        <v>21.756482108757027</v>
      </c>
      <c r="CF8" s="1384">
        <f t="shared" si="36"/>
        <v>21.802908880349733</v>
      </c>
      <c r="CG8" s="1384">
        <f t="shared" si="36"/>
        <v>21.817983358582254</v>
      </c>
      <c r="CH8" s="1384">
        <f t="shared" si="36"/>
        <v>21.833068259272402</v>
      </c>
      <c r="CI8" s="1384">
        <f t="shared" si="36"/>
        <v>21.848163589626239</v>
      </c>
      <c r="CJ8" s="1384">
        <f t="shared" si="36"/>
        <v>21.863269356854815</v>
      </c>
      <c r="CK8" s="1384">
        <f t="shared" si="36"/>
        <v>21.878385568174153</v>
      </c>
      <c r="CL8" s="1384">
        <f t="shared" si="36"/>
        <v>21.883509292798049</v>
      </c>
      <c r="CM8" s="1384">
        <f t="shared" si="36"/>
        <v>21.888634217352987</v>
      </c>
      <c r="CN8" s="1384">
        <f t="shared" si="36"/>
        <v>21.893760342119982</v>
      </c>
      <c r="CO8" s="1384">
        <f t="shared" si="36"/>
        <v>21.898887667380112</v>
      </c>
      <c r="CP8" s="1384">
        <f t="shared" si="36"/>
        <v>21.904016193414524</v>
      </c>
      <c r="CQ8" s="1384">
        <f t="shared" si="36"/>
        <v>21.911788967019731</v>
      </c>
      <c r="CR8" s="1384">
        <f t="shared" si="36"/>
        <v>21.919564498841009</v>
      </c>
      <c r="CS8" s="1384">
        <f t="shared" si="36"/>
        <v>21.927342789857128</v>
      </c>
      <c r="CT8" s="1384">
        <f t="shared" si="36"/>
        <v>21.935123841047208</v>
      </c>
      <c r="CU8" s="1384">
        <f t="shared" si="36"/>
        <v>21.942907653390712</v>
      </c>
      <c r="CV8" s="1384">
        <f t="shared" si="36"/>
        <v>21.954886973541843</v>
      </c>
      <c r="CW8" s="1384">
        <f t="shared" si="36"/>
        <v>21.966872833578826</v>
      </c>
      <c r="CX8" s="1384">
        <f t="shared" si="36"/>
        <v>21.978865237071986</v>
      </c>
      <c r="CY8" s="1384">
        <f t="shared" si="36"/>
        <v>21.990864187593605</v>
      </c>
      <c r="CZ8" s="1384">
        <f t="shared" si="36"/>
        <v>22.002869688717904</v>
      </c>
    </row>
    <row r="9" spans="1:104" x14ac:dyDescent="0.2">
      <c r="A9" s="856" t="str">
        <f>'HyARC Physical Property Data'!A72</f>
        <v>Industrial Natural Gas</v>
      </c>
      <c r="B9" s="260">
        <v>2007</v>
      </c>
      <c r="C9" s="855">
        <f t="shared" ref="C9:C18" si="37">VLOOKUP(ref_year,DeflatorTable,2,FALSE)/VLOOKUP(B9,DeflatorTable,2,FALSE)</f>
        <v>1.1446359956438654</v>
      </c>
      <c r="D9" s="1241" t="str">
        <f>'HyARC Physical Property Data'!H72</f>
        <v>mmBtu</v>
      </c>
      <c r="E9" s="855" t="s">
        <v>1059</v>
      </c>
      <c r="F9" s="260">
        <f>'HyARC Physical Property Data'!$E$6</f>
        <v>47.141269049911173</v>
      </c>
      <c r="G9" s="260">
        <f>'HyARC Physical Property Data'!$I$6</f>
        <v>52.224661236371581</v>
      </c>
      <c r="H9" s="260">
        <f>((7.95407009124756/(mmBTU_to_GJ))*($C$9))*($G$9/$F$9)</f>
        <v>9.5604583780441796</v>
      </c>
      <c r="I9" s="260">
        <f>((7.95407009124756/(mmBTU_to_GJ))*($C$9))*($G$9/$F$9)</f>
        <v>9.5604583780441796</v>
      </c>
      <c r="J9" s="260">
        <f>((7.95407009124756/(mmBTU_to_GJ))*($C$9))*($G$9/$F$9)</f>
        <v>9.5604583780441796</v>
      </c>
      <c r="K9" s="260">
        <f>((7.51525163650513/(mmBTU_to_GJ))*($C$9))*($G$9/$F$9)</f>
        <v>9.0330170148232209</v>
      </c>
      <c r="L9" s="260">
        <f>((8.80127239227294/(mmBTU_to_GJ))*($C$9))*($G$9/$F$9)</f>
        <v>10.578759982608744</v>
      </c>
      <c r="M9" s="260">
        <f>((4.84856796264648/(mmBTU_to_GJ))*($C$9))*($G$9/$F$9)</f>
        <v>5.8277751727392237</v>
      </c>
      <c r="N9" s="260">
        <f>((5.49891996383666/(mmBTU_to_GJ))*($C$9))*($G$9/$F$9)</f>
        <v>6.6094709796819098</v>
      </c>
      <c r="O9" s="260">
        <f>((5.82616424560547/(mmBTU_to_GJ))*($C$9))*($G$9/$F$9)</f>
        <v>7.002804870308081</v>
      </c>
      <c r="P9" s="260">
        <f>((5.87778615951538/(mmBTU_to_GJ))*($C$9))*($G$9/$F$9)</f>
        <v>7.0648522440009209</v>
      </c>
      <c r="Q9" s="260">
        <f>((5.95383930206299/(mmBTU_to_GJ))*($C$9))*($G$9/$F$9)</f>
        <v>7.1562649290168574</v>
      </c>
      <c r="R9" s="260">
        <f>((6.10985708236694/(mmBTU_to_GJ))*($C$9))*($G$9/$F$9)</f>
        <v>7.3437917521048339</v>
      </c>
      <c r="S9" s="260">
        <f>((6.32948446273804/(mmBTU_to_GJ))*($C$9))*($G$9/$F$9)</f>
        <v>7.6077746444642154</v>
      </c>
      <c r="T9" s="260">
        <f>((6.51258134841919/(mmBTU_to_GJ))*($C$9))*($G$9/$F$9)</f>
        <v>7.8278494155716949</v>
      </c>
      <c r="U9" s="260">
        <f>((6.70273017883301/(mmBTU_to_GJ))*($C$9))*($G$9/$F$9)</f>
        <v>8.0564003282428658</v>
      </c>
      <c r="V9" s="260">
        <f>((6.89887094497681/(mmBTU_to_GJ))*($C$9))*($G$9/$F$9)</f>
        <v>8.2921532961503175</v>
      </c>
      <c r="W9" s="260">
        <f>((7.15282821655273/(mmBTU_to_GJ))*($C$9))*($G$9/$F$9)</f>
        <v>8.5973992767426797</v>
      </c>
      <c r="X9" s="260">
        <f>((7.46860218048096/(mmBTU_to_GJ))*($C$9))*($G$9/$F$9)</f>
        <v>8.9769463267904062</v>
      </c>
      <c r="Y9" s="260">
        <f>((7.67867755889893/(mmBTU_to_GJ))*($C$9))*($G$9/$F$9)</f>
        <v>9.2294481137468605</v>
      </c>
      <c r="Z9" s="260">
        <f>((7.75380706787109/(mmBTU_to_GJ))*($C$9))*($G$9/$F$9)</f>
        <v>9.3197506299745712</v>
      </c>
      <c r="AA9" s="260">
        <f>((7.55847835540771/(mmBTU_to_GJ))*($C$9))*($G$9/$F$9)</f>
        <v>9.084973716505079</v>
      </c>
      <c r="AB9" s="260">
        <f>((7.54617786407471/(mmBTU_to_GJ))*($C$9))*($G$9/$F$9)</f>
        <v>9.0701890422352296</v>
      </c>
      <c r="AC9" s="260">
        <f>((7.45927095413208/(mmBTU_to_GJ))*($C$9))*($G$9/$F$9)</f>
        <v>8.9657305843967432</v>
      </c>
      <c r="AD9" s="260">
        <f>((7.60022306442261/(mmBTU_to_GJ))*($C$9))*($G$9/$F$9)</f>
        <v>9.1351491045092246</v>
      </c>
      <c r="AE9" s="260">
        <f>((7.85960483551025/(mmBTU_to_GJ))*($C$9))*($G$9/$F$9)</f>
        <v>9.4469151058216188</v>
      </c>
      <c r="AF9" s="260">
        <f>((8.19417572021484/(mmBTU_to_GJ))*($C$9))*($G$9/$F$9)</f>
        <v>9.8490552656428605</v>
      </c>
      <c r="AG9" s="260">
        <f>((8.42161273956299/(mmBTU_to_GJ))*($C$9))*($G$9/$F$9)</f>
        <v>10.122425016243508</v>
      </c>
      <c r="AH9" s="260">
        <f>((8.69355010986328/(mmBTU_to_GJ))*($C$9))*($G$9/$F$9)</f>
        <v>10.449282320788951</v>
      </c>
      <c r="AI9" s="260">
        <f>($BB9-$AH9)/20+AH9</f>
        <v>10.537990969244774</v>
      </c>
      <c r="AJ9" s="260">
        <f t="shared" si="30"/>
        <v>10.626699617700597</v>
      </c>
      <c r="AK9" s="260">
        <f t="shared" si="30"/>
        <v>10.71540826615642</v>
      </c>
      <c r="AL9" s="260">
        <f t="shared" si="30"/>
        <v>10.804116914612242</v>
      </c>
      <c r="AM9" s="260">
        <f t="shared" si="30"/>
        <v>10.892825563068065</v>
      </c>
      <c r="AN9" s="260">
        <f t="shared" si="30"/>
        <v>10.981534211523888</v>
      </c>
      <c r="AO9" s="260">
        <f t="shared" si="30"/>
        <v>11.070242859979711</v>
      </c>
      <c r="AP9" s="260">
        <f t="shared" si="30"/>
        <v>11.158951508435534</v>
      </c>
      <c r="AQ9" s="260">
        <f t="shared" si="30"/>
        <v>11.247660156891357</v>
      </c>
      <c r="AR9" s="260">
        <f t="shared" si="30"/>
        <v>11.336368805347179</v>
      </c>
      <c r="AS9" s="260">
        <f t="shared" si="30"/>
        <v>11.425077453803002</v>
      </c>
      <c r="AT9" s="260">
        <f t="shared" si="30"/>
        <v>11.513786102258825</v>
      </c>
      <c r="AU9" s="260">
        <f t="shared" si="30"/>
        <v>11.602494750714648</v>
      </c>
      <c r="AV9" s="260">
        <f t="shared" si="30"/>
        <v>11.691203399170471</v>
      </c>
      <c r="AW9" s="260">
        <f t="shared" si="30"/>
        <v>11.779912047626294</v>
      </c>
      <c r="AX9" s="260">
        <f t="shared" si="30"/>
        <v>11.868620696082116</v>
      </c>
      <c r="AY9" s="260">
        <f t="shared" si="30"/>
        <v>11.957329344537939</v>
      </c>
      <c r="AZ9" s="260">
        <f t="shared" si="31"/>
        <v>12.046037992993762</v>
      </c>
      <c r="BA9" s="260">
        <f t="shared" si="31"/>
        <v>12.134746641449585</v>
      </c>
      <c r="BB9" s="1057">
        <f>1.16978897829057*AH9</f>
        <v>12.223455289905422</v>
      </c>
      <c r="BC9" s="260">
        <f t="shared" si="34"/>
        <v>12.344488928372753</v>
      </c>
      <c r="BD9" s="260">
        <f t="shared" si="34"/>
        <v>12.465522566840084</v>
      </c>
      <c r="BE9" s="260">
        <f t="shared" si="34"/>
        <v>12.586556205307415</v>
      </c>
      <c r="BF9" s="260">
        <f t="shared" si="34"/>
        <v>12.707589843774747</v>
      </c>
      <c r="BG9" s="260">
        <f t="shared" si="34"/>
        <v>12.828623482242078</v>
      </c>
      <c r="BH9" s="260">
        <f t="shared" si="34"/>
        <v>12.949657120709409</v>
      </c>
      <c r="BI9" s="260">
        <f t="shared" si="34"/>
        <v>13.07069075917674</v>
      </c>
      <c r="BJ9" s="260">
        <f t="shared" si="34"/>
        <v>13.191724397644071</v>
      </c>
      <c r="BK9" s="260">
        <f t="shared" si="34"/>
        <v>13.312758036111402</v>
      </c>
      <c r="BL9" s="260">
        <f t="shared" si="34"/>
        <v>13.433791674578734</v>
      </c>
      <c r="BM9" s="260">
        <f t="shared" si="34"/>
        <v>13.554825313046065</v>
      </c>
      <c r="BN9" s="260">
        <f t="shared" si="34"/>
        <v>13.675858951513396</v>
      </c>
      <c r="BO9" s="260">
        <f t="shared" si="34"/>
        <v>13.796892589980727</v>
      </c>
      <c r="BP9" s="260">
        <f t="shared" si="34"/>
        <v>13.917926228448058</v>
      </c>
      <c r="BQ9" s="1057">
        <f>1.14852629914794*BB9</f>
        <v>14.038959866915382</v>
      </c>
      <c r="BR9" s="260">
        <f t="shared" si="35"/>
        <v>14.177970183776685</v>
      </c>
      <c r="BS9" s="260">
        <f t="shared" si="35"/>
        <v>14.316980500637987</v>
      </c>
      <c r="BT9" s="260">
        <f t="shared" si="35"/>
        <v>14.455990817499289</v>
      </c>
      <c r="BU9" s="260">
        <f t="shared" si="35"/>
        <v>14.595001134360592</v>
      </c>
      <c r="BV9" s="1060">
        <f>1.04950876638265*BQ9</f>
        <v>14.734011451221894</v>
      </c>
      <c r="BW9" s="1384">
        <f>+BV9*BW$135/BV$135</f>
        <v>14.78293270163439</v>
      </c>
      <c r="BX9" s="1384">
        <f t="shared" ref="BX9:CZ9" si="38">+BW9*BX$135/BW$135</f>
        <v>14.832016384983078</v>
      </c>
      <c r="BY9" s="1384">
        <f t="shared" si="38"/>
        <v>14.881263040593069</v>
      </c>
      <c r="BZ9" s="1384">
        <f t="shared" si="38"/>
        <v>14.93067320958019</v>
      </c>
      <c r="CA9" s="1384">
        <f t="shared" si="38"/>
        <v>14.980247434856935</v>
      </c>
      <c r="CB9" s="1384">
        <f t="shared" si="38"/>
        <v>15.012214207912603</v>
      </c>
      <c r="CC9" s="1384">
        <f t="shared" si="38"/>
        <v>15.044249195768062</v>
      </c>
      <c r="CD9" s="1384">
        <f t="shared" si="38"/>
        <v>15.076352543988799</v>
      </c>
      <c r="CE9" s="1384">
        <f t="shared" si="38"/>
        <v>15.10852439845093</v>
      </c>
      <c r="CF9" s="1384">
        <f t="shared" si="38"/>
        <v>15.140764905341857</v>
      </c>
      <c r="CG9" s="1384">
        <f t="shared" si="38"/>
        <v>15.151233193414877</v>
      </c>
      <c r="CH9" s="1384">
        <f t="shared" si="38"/>
        <v>15.16170871923684</v>
      </c>
      <c r="CI9" s="1384">
        <f t="shared" si="38"/>
        <v>15.172191487811906</v>
      </c>
      <c r="CJ9" s="1384">
        <f t="shared" si="38"/>
        <v>15.182681504147698</v>
      </c>
      <c r="CK9" s="1384">
        <f t="shared" si="38"/>
        <v>15.193178773255301</v>
      </c>
      <c r="CL9" s="1384">
        <f t="shared" si="38"/>
        <v>15.196736881505712</v>
      </c>
      <c r="CM9" s="1384">
        <f t="shared" si="38"/>
        <v>15.200295823033644</v>
      </c>
      <c r="CN9" s="1384">
        <f t="shared" si="38"/>
        <v>15.20385559803424</v>
      </c>
      <c r="CO9" s="1384">
        <f t="shared" si="38"/>
        <v>15.207416206702694</v>
      </c>
      <c r="CP9" s="1384">
        <f t="shared" si="38"/>
        <v>15.210977649234243</v>
      </c>
      <c r="CQ9" s="1384">
        <f t="shared" si="38"/>
        <v>15.216375357332034</v>
      </c>
      <c r="CR9" s="1384">
        <f t="shared" si="38"/>
        <v>15.221774980839431</v>
      </c>
      <c r="CS9" s="1384">
        <f t="shared" si="38"/>
        <v>15.22717652043613</v>
      </c>
      <c r="CT9" s="1384">
        <f t="shared" si="38"/>
        <v>15.232579976802066</v>
      </c>
      <c r="CU9" s="1384">
        <f t="shared" si="38"/>
        <v>15.237985350617416</v>
      </c>
      <c r="CV9" s="1384">
        <f t="shared" si="38"/>
        <v>15.246304243804076</v>
      </c>
      <c r="CW9" s="1384">
        <f t="shared" si="38"/>
        <v>15.254627678534927</v>
      </c>
      <c r="CX9" s="1384">
        <f t="shared" si="38"/>
        <v>15.262955657289339</v>
      </c>
      <c r="CY9" s="1384">
        <f t="shared" si="38"/>
        <v>15.271288182548037</v>
      </c>
      <c r="CZ9" s="1384">
        <f t="shared" si="38"/>
        <v>15.279625256793102</v>
      </c>
    </row>
    <row r="10" spans="1:104" x14ac:dyDescent="0.2">
      <c r="A10" s="856" t="str">
        <f>'HyARC Physical Property Data'!A74</f>
        <v>Electric Utility Natural Gas</v>
      </c>
      <c r="B10" s="260">
        <v>2007</v>
      </c>
      <c r="C10" s="855">
        <f t="shared" si="37"/>
        <v>1.1446359956438654</v>
      </c>
      <c r="D10" s="1241" t="str">
        <f>'HyARC Physical Property Data'!H74</f>
        <v>mmBtu</v>
      </c>
      <c r="E10" s="855" t="s">
        <v>1059</v>
      </c>
      <c r="F10" s="260">
        <f>'HyARC Physical Property Data'!$E$6</f>
        <v>47.141269049911173</v>
      </c>
      <c r="G10" s="260">
        <f>'HyARC Physical Property Data'!$I$6</f>
        <v>52.224661236371581</v>
      </c>
      <c r="H10" s="260">
        <f>((7.05463790893555/(mmBTU_to_GJ))*($C$10))*($G$10/$F$10)</f>
        <v>8.4793786485193543</v>
      </c>
      <c r="I10" s="260">
        <f>((7.05463790893555/(mmBTU_to_GJ))*($C$10))*($G$10/$F$10)</f>
        <v>8.4793786485193543</v>
      </c>
      <c r="J10" s="260">
        <f>((7.05463790893555/(mmBTU_to_GJ))*($C$10))*($G$10/$F$10)</f>
        <v>8.4793786485193543</v>
      </c>
      <c r="K10" s="260">
        <f>((7.01915979385375/(mmBTU_to_GJ))*($C$10))*($G$10/$F$10)</f>
        <v>8.4367354433828741</v>
      </c>
      <c r="L10" s="260">
        <f>((8.87161254882813/(mmBTU_to_GJ))*($C$10))*($G$10/$F$10)</f>
        <v>10.663305898264051</v>
      </c>
      <c r="M10" s="260">
        <f>((4.55562210083008/(mmBTU_to_GJ))*($C$10))*($G$10/$F$10)</f>
        <v>5.4756665432216405</v>
      </c>
      <c r="N10" s="260">
        <f>((5.12931346893311/(mmBTU_to_GJ))*($C$10))*($G$10/$F$10)</f>
        <v>6.1652194870192449</v>
      </c>
      <c r="O10" s="260">
        <f>((5.45354604721069/(mmBTU_to_GJ))*($C$10))*($G$10/$F$10)</f>
        <v>6.5549334364650393</v>
      </c>
      <c r="P10" s="260">
        <f>((5.51876354217529/(mmBTU_to_GJ))*($C$10))*($G$10/$F$10)</f>
        <v>6.6333221279118835</v>
      </c>
      <c r="Q10" s="260">
        <f>((5.53977298736572/(mmBTU_to_GJ))*($C$10))*($G$10/$F$10)</f>
        <v>6.6585745991605227</v>
      </c>
      <c r="R10" s="260">
        <f>((5.68350362777709/(mmBTU_to_GJ))*($C$10))*($G$10/$F$10)</f>
        <v>6.8313327958496117</v>
      </c>
      <c r="S10" s="260">
        <f>((5.8920464515686/(mmBTU_to_GJ))*($C$10))*($G$10/$F$10)</f>
        <v>7.0819925164739512</v>
      </c>
      <c r="T10" s="260">
        <f>((6.08193254470825/(mmBTU_to_GJ))*($C$10))*($G$10/$F$10)</f>
        <v>7.3102276299699529</v>
      </c>
      <c r="U10" s="260">
        <f>((6.26939964294434/(mmBTU_to_GJ))*($C$10))*($G$10/$F$10)</f>
        <v>7.5355552131290491</v>
      </c>
      <c r="V10" s="260">
        <f>((6.47751331329346/(mmBTU_to_GJ))*($C$10))*($G$10/$F$10)</f>
        <v>7.785699109329328</v>
      </c>
      <c r="W10" s="260">
        <f>((6.73541975021362/(mmBTU_to_GJ))*($C$10))*($G$10/$F$10)</f>
        <v>8.0956918208994786</v>
      </c>
      <c r="X10" s="260">
        <f>((7.02784395217896/(mmBTU_to_GJ))*($C$10))*($G$10/$F$10)</f>
        <v>8.4471734371727294</v>
      </c>
      <c r="Y10" s="260">
        <f>((7.25390911102295/(mmBTU_to_GJ))*($C$10))*($G$10/$F$10)</f>
        <v>8.7188942690311428</v>
      </c>
      <c r="Z10" s="260">
        <f>((7.3283839225769/(mmBTU_to_GJ))*($C$10))*($G$10/$F$10)</f>
        <v>8.8084098664430517</v>
      </c>
      <c r="AA10" s="260">
        <f>((7.15062761306763/(mmBTU_to_GJ))*($C$10))*($G$10/$F$10)</f>
        <v>8.5947542437237932</v>
      </c>
      <c r="AB10" s="260">
        <f>((7.19241189956665/(mmBTU_to_GJ))*($C$10))*($G$10/$F$10)</f>
        <v>8.6449772022025897</v>
      </c>
      <c r="AC10" s="260">
        <f>((7.13988399505615/(mmBTU_to_GJ))*($C$10))*($G$10/$F$10)</f>
        <v>8.5818408658367442</v>
      </c>
      <c r="AD10" s="260">
        <f>((7.28062534332275/(mmBTU_to_GJ))*($C$10))*($G$10/$F$10)</f>
        <v>8.7510060588431848</v>
      </c>
      <c r="AE10" s="260">
        <f>((7.5354790687561/(mmBTU_to_GJ))*($C$10))*($G$10/$F$10)</f>
        <v>9.0573295393435789</v>
      </c>
      <c r="AF10" s="260">
        <f>((7.86007928848267/(mmBTU_to_GJ))*($C$10))*($G$10/$F$10)</f>
        <v>9.44748537837933</v>
      </c>
      <c r="AG10" s="260">
        <f>((8.07421207427979/(mmBTU_to_GJ))*($C$10))*($G$10/$F$10)</f>
        <v>9.7048639986960801</v>
      </c>
      <c r="AH10" s="260">
        <f>((8.33951759338379/(mmBTU_to_GJ))*($C$10))*($G$10/$F$10)</f>
        <v>10.023750096475156</v>
      </c>
      <c r="AI10" s="260">
        <f>($BB10-$AH10)/20+AH10</f>
        <v>10.108846210851182</v>
      </c>
      <c r="AJ10" s="260">
        <f t="shared" si="30"/>
        <v>10.193942325227207</v>
      </c>
      <c r="AK10" s="260">
        <f t="shared" si="30"/>
        <v>10.279038439603232</v>
      </c>
      <c r="AL10" s="260">
        <f t="shared" si="30"/>
        <v>10.364134553979257</v>
      </c>
      <c r="AM10" s="260">
        <f t="shared" si="30"/>
        <v>10.449230668355282</v>
      </c>
      <c r="AN10" s="260">
        <f t="shared" si="30"/>
        <v>10.534326782731307</v>
      </c>
      <c r="AO10" s="260">
        <f t="shared" si="30"/>
        <v>10.619422897107333</v>
      </c>
      <c r="AP10" s="260">
        <f t="shared" si="30"/>
        <v>10.704519011483358</v>
      </c>
      <c r="AQ10" s="260">
        <f t="shared" si="30"/>
        <v>10.789615125859383</v>
      </c>
      <c r="AR10" s="260">
        <f t="shared" si="30"/>
        <v>10.874711240235408</v>
      </c>
      <c r="AS10" s="260">
        <f t="shared" si="30"/>
        <v>10.959807354611433</v>
      </c>
      <c r="AT10" s="260">
        <f t="shared" si="30"/>
        <v>11.044903468987458</v>
      </c>
      <c r="AU10" s="260">
        <f t="shared" si="30"/>
        <v>11.129999583363483</v>
      </c>
      <c r="AV10" s="260">
        <f t="shared" si="30"/>
        <v>11.215095697739509</v>
      </c>
      <c r="AW10" s="260">
        <f t="shared" si="30"/>
        <v>11.300191812115534</v>
      </c>
      <c r="AX10" s="260">
        <f t="shared" si="30"/>
        <v>11.385287926491559</v>
      </c>
      <c r="AY10" s="260">
        <f t="shared" si="30"/>
        <v>11.470384040867584</v>
      </c>
      <c r="AZ10" s="260">
        <f t="shared" si="31"/>
        <v>11.555480155243609</v>
      </c>
      <c r="BA10" s="260">
        <f t="shared" si="31"/>
        <v>11.640576269619634</v>
      </c>
      <c r="BB10" s="1057">
        <f>1.16978897829057*AH10</f>
        <v>11.725672383995676</v>
      </c>
      <c r="BC10" s="260">
        <f t="shared" si="34"/>
        <v>11.841777098943414</v>
      </c>
      <c r="BD10" s="260">
        <f t="shared" si="34"/>
        <v>11.957881813891152</v>
      </c>
      <c r="BE10" s="260">
        <f t="shared" si="34"/>
        <v>12.073986528838891</v>
      </c>
      <c r="BF10" s="260">
        <f t="shared" si="34"/>
        <v>12.190091243786629</v>
      </c>
      <c r="BG10" s="260">
        <f t="shared" si="34"/>
        <v>12.306195958734367</v>
      </c>
      <c r="BH10" s="260">
        <f t="shared" si="34"/>
        <v>12.422300673682106</v>
      </c>
      <c r="BI10" s="260">
        <f t="shared" si="34"/>
        <v>12.538405388629844</v>
      </c>
      <c r="BJ10" s="260">
        <f t="shared" si="34"/>
        <v>12.654510103577582</v>
      </c>
      <c r="BK10" s="260">
        <f t="shared" si="34"/>
        <v>12.770614818525321</v>
      </c>
      <c r="BL10" s="260">
        <f t="shared" si="34"/>
        <v>12.886719533473059</v>
      </c>
      <c r="BM10" s="260">
        <f t="shared" si="34"/>
        <v>13.002824248420797</v>
      </c>
      <c r="BN10" s="260">
        <f t="shared" si="34"/>
        <v>13.118928963368536</v>
      </c>
      <c r="BO10" s="260">
        <f t="shared" si="34"/>
        <v>13.235033678316274</v>
      </c>
      <c r="BP10" s="260">
        <f t="shared" si="34"/>
        <v>13.351138393264012</v>
      </c>
      <c r="BQ10" s="1057">
        <f>1.14852629914794*BB10</f>
        <v>13.467243108211756</v>
      </c>
      <c r="BR10" s="260">
        <f t="shared" si="35"/>
        <v>13.600592426784317</v>
      </c>
      <c r="BS10" s="260">
        <f t="shared" si="35"/>
        <v>13.733941745356878</v>
      </c>
      <c r="BT10" s="260">
        <f t="shared" si="35"/>
        <v>13.867291063929439</v>
      </c>
      <c r="BU10" s="260">
        <f t="shared" si="35"/>
        <v>14.000640382502</v>
      </c>
      <c r="BV10" s="1060">
        <f>1.04950876638265*BQ10</f>
        <v>14.133989701074563</v>
      </c>
      <c r="BW10" s="1384">
        <f>+BV10*BW$136/BV$136</f>
        <v>14.180918702845942</v>
      </c>
      <c r="BX10" s="1384">
        <f t="shared" ref="BX10:CZ10" si="39">+BW10*BX$136/BW$136</f>
        <v>14.22800352270222</v>
      </c>
      <c r="BY10" s="1384">
        <f t="shared" si="39"/>
        <v>14.275244678005262</v>
      </c>
      <c r="BZ10" s="1384">
        <f t="shared" si="39"/>
        <v>14.322642687834716</v>
      </c>
      <c r="CA10" s="1384">
        <f t="shared" si="39"/>
        <v>14.370198072993734</v>
      </c>
      <c r="CB10" s="1384">
        <f t="shared" si="39"/>
        <v>14.400863044487831</v>
      </c>
      <c r="CC10" s="1384">
        <f t="shared" si="39"/>
        <v>14.431593452830604</v>
      </c>
      <c r="CD10" s="1384">
        <f t="shared" si="39"/>
        <v>14.46238943765959</v>
      </c>
      <c r="CE10" s="1384">
        <f t="shared" si="39"/>
        <v>14.493251138910308</v>
      </c>
      <c r="CF10" s="1384">
        <f t="shared" si="39"/>
        <v>14.524178696816882</v>
      </c>
      <c r="CG10" s="1384">
        <f t="shared" si="39"/>
        <v>14.534220678683244</v>
      </c>
      <c r="CH10" s="1384">
        <f t="shared" si="39"/>
        <v>14.54426960355147</v>
      </c>
      <c r="CI10" s="1384">
        <f t="shared" si="39"/>
        <v>14.554325476221939</v>
      </c>
      <c r="CJ10" s="1384">
        <f t="shared" si="39"/>
        <v>14.564388301498344</v>
      </c>
      <c r="CK10" s="1384">
        <f t="shared" si="39"/>
        <v>14.574458084187699</v>
      </c>
      <c r="CL10" s="1384">
        <f t="shared" si="39"/>
        <v>14.577871293518578</v>
      </c>
      <c r="CM10" s="1384">
        <f t="shared" si="39"/>
        <v>14.581285302192933</v>
      </c>
      <c r="CN10" s="1384">
        <f t="shared" si="39"/>
        <v>14.584700110397959</v>
      </c>
      <c r="CO10" s="1384">
        <f t="shared" si="39"/>
        <v>14.5881157183209</v>
      </c>
      <c r="CP10" s="1384">
        <f t="shared" si="39"/>
        <v>14.591532126149042</v>
      </c>
      <c r="CQ10" s="1384">
        <f t="shared" si="39"/>
        <v>14.596710020228747</v>
      </c>
      <c r="CR10" s="1384">
        <f t="shared" si="39"/>
        <v>14.601889751715715</v>
      </c>
      <c r="CS10" s="1384">
        <f t="shared" si="39"/>
        <v>14.607071321261961</v>
      </c>
      <c r="CT10" s="1384">
        <f t="shared" si="39"/>
        <v>14.61225472951973</v>
      </c>
      <c r="CU10" s="1384">
        <f t="shared" si="39"/>
        <v>14.617439977141501</v>
      </c>
      <c r="CV10" s="1384">
        <f t="shared" si="39"/>
        <v>14.625420095184293</v>
      </c>
      <c r="CW10" s="1384">
        <f t="shared" si="39"/>
        <v>14.633404569823321</v>
      </c>
      <c r="CX10" s="1384">
        <f t="shared" si="39"/>
        <v>14.641393403436986</v>
      </c>
      <c r="CY10" s="1384">
        <f t="shared" si="39"/>
        <v>14.649386598404989</v>
      </c>
      <c r="CZ10" s="1384">
        <f t="shared" si="39"/>
        <v>14.65738415710833</v>
      </c>
    </row>
    <row r="11" spans="1:104" x14ac:dyDescent="0.2">
      <c r="A11" s="856" t="str">
        <f>'HyARC Physical Property Data'!A75</f>
        <v>Bio Methane</v>
      </c>
      <c r="B11" s="260">
        <v>2007</v>
      </c>
      <c r="C11" s="855">
        <f t="shared" si="37"/>
        <v>1.1446359956438654</v>
      </c>
      <c r="D11" s="1241" t="str">
        <f>'HyARC Physical Property Data'!H75</f>
        <v>mmBtu</v>
      </c>
      <c r="E11" s="855" t="s">
        <v>1059</v>
      </c>
      <c r="F11" s="260">
        <f>'HyARC Physical Property Data'!$E$6</f>
        <v>47.141269049911173</v>
      </c>
      <c r="G11" s="260">
        <f>'HyARC Physical Property Data'!$I$6</f>
        <v>52.224661236371581</v>
      </c>
      <c r="H11" s="260">
        <f t="shared" ref="H11:AM11" si="40">13.11*($C$11/mmBTU_to_GJ)</f>
        <v>14.223865310797228</v>
      </c>
      <c r="I11" s="260">
        <f t="shared" si="40"/>
        <v>14.223865310797228</v>
      </c>
      <c r="J11" s="260">
        <f t="shared" si="40"/>
        <v>14.223865310797228</v>
      </c>
      <c r="K11" s="260">
        <f t="shared" si="40"/>
        <v>14.223865310797228</v>
      </c>
      <c r="L11" s="260">
        <f t="shared" si="40"/>
        <v>14.223865310797228</v>
      </c>
      <c r="M11" s="260">
        <f t="shared" si="40"/>
        <v>14.223865310797228</v>
      </c>
      <c r="N11" s="260">
        <f t="shared" si="40"/>
        <v>14.223865310797228</v>
      </c>
      <c r="O11" s="260">
        <f t="shared" si="40"/>
        <v>14.223865310797228</v>
      </c>
      <c r="P11" s="260">
        <f t="shared" si="40"/>
        <v>14.223865310797228</v>
      </c>
      <c r="Q11" s="260">
        <f t="shared" si="40"/>
        <v>14.223865310797228</v>
      </c>
      <c r="R11" s="260">
        <f t="shared" si="40"/>
        <v>14.223865310797228</v>
      </c>
      <c r="S11" s="260">
        <f t="shared" si="40"/>
        <v>14.223865310797228</v>
      </c>
      <c r="T11" s="260">
        <f t="shared" si="40"/>
        <v>14.223865310797228</v>
      </c>
      <c r="U11" s="260">
        <f t="shared" si="40"/>
        <v>14.223865310797228</v>
      </c>
      <c r="V11" s="260">
        <f t="shared" si="40"/>
        <v>14.223865310797228</v>
      </c>
      <c r="W11" s="260">
        <f t="shared" si="40"/>
        <v>14.223865310797228</v>
      </c>
      <c r="X11" s="260">
        <f t="shared" si="40"/>
        <v>14.223865310797228</v>
      </c>
      <c r="Y11" s="260">
        <f t="shared" si="40"/>
        <v>14.223865310797228</v>
      </c>
      <c r="Z11" s="260">
        <f t="shared" si="40"/>
        <v>14.223865310797228</v>
      </c>
      <c r="AA11" s="260">
        <f t="shared" si="40"/>
        <v>14.223865310797228</v>
      </c>
      <c r="AB11" s="260">
        <f t="shared" si="40"/>
        <v>14.223865310797228</v>
      </c>
      <c r="AC11" s="260">
        <f t="shared" si="40"/>
        <v>14.223865310797228</v>
      </c>
      <c r="AD11" s="260">
        <f t="shared" si="40"/>
        <v>14.223865310797228</v>
      </c>
      <c r="AE11" s="260">
        <f t="shared" si="40"/>
        <v>14.223865310797228</v>
      </c>
      <c r="AF11" s="260">
        <f t="shared" si="40"/>
        <v>14.223865310797228</v>
      </c>
      <c r="AG11" s="260">
        <f t="shared" si="40"/>
        <v>14.223865310797228</v>
      </c>
      <c r="AH11" s="260">
        <f t="shared" si="40"/>
        <v>14.223865310797228</v>
      </c>
      <c r="AI11" s="260">
        <f t="shared" si="40"/>
        <v>14.223865310797228</v>
      </c>
      <c r="AJ11" s="260">
        <f t="shared" si="40"/>
        <v>14.223865310797228</v>
      </c>
      <c r="AK11" s="260">
        <f t="shared" si="40"/>
        <v>14.223865310797228</v>
      </c>
      <c r="AL11" s="260">
        <f t="shared" si="40"/>
        <v>14.223865310797228</v>
      </c>
      <c r="AM11" s="260">
        <f t="shared" si="40"/>
        <v>14.223865310797228</v>
      </c>
      <c r="AN11" s="260">
        <f t="shared" ref="AN11:BV11" si="41">13.11*($C$11/mmBTU_to_GJ)</f>
        <v>14.223865310797228</v>
      </c>
      <c r="AO11" s="260">
        <f t="shared" si="41"/>
        <v>14.223865310797228</v>
      </c>
      <c r="AP11" s="260">
        <f t="shared" si="41"/>
        <v>14.223865310797228</v>
      </c>
      <c r="AQ11" s="260">
        <f t="shared" si="41"/>
        <v>14.223865310797228</v>
      </c>
      <c r="AR11" s="260">
        <f t="shared" si="41"/>
        <v>14.223865310797228</v>
      </c>
      <c r="AS11" s="260">
        <f t="shared" si="41"/>
        <v>14.223865310797228</v>
      </c>
      <c r="AT11" s="260">
        <f t="shared" si="41"/>
        <v>14.223865310797228</v>
      </c>
      <c r="AU11" s="260">
        <f t="shared" si="41"/>
        <v>14.223865310797228</v>
      </c>
      <c r="AV11" s="260">
        <f t="shared" si="41"/>
        <v>14.223865310797228</v>
      </c>
      <c r="AW11" s="260">
        <f t="shared" si="41"/>
        <v>14.223865310797228</v>
      </c>
      <c r="AX11" s="260">
        <f t="shared" si="41"/>
        <v>14.223865310797228</v>
      </c>
      <c r="AY11" s="260">
        <f t="shared" si="41"/>
        <v>14.223865310797228</v>
      </c>
      <c r="AZ11" s="260">
        <f t="shared" si="41"/>
        <v>14.223865310797228</v>
      </c>
      <c r="BA11" s="260">
        <f t="shared" si="41"/>
        <v>14.223865310797228</v>
      </c>
      <c r="BB11" s="260">
        <f t="shared" si="41"/>
        <v>14.223865310797228</v>
      </c>
      <c r="BC11" s="260">
        <f t="shared" si="41"/>
        <v>14.223865310797228</v>
      </c>
      <c r="BD11" s="260">
        <f t="shared" si="41"/>
        <v>14.223865310797228</v>
      </c>
      <c r="BE11" s="260">
        <f t="shared" si="41"/>
        <v>14.223865310797228</v>
      </c>
      <c r="BF11" s="260">
        <f t="shared" si="41"/>
        <v>14.223865310797228</v>
      </c>
      <c r="BG11" s="260">
        <f t="shared" si="41"/>
        <v>14.223865310797228</v>
      </c>
      <c r="BH11" s="260">
        <f t="shared" si="41"/>
        <v>14.223865310797228</v>
      </c>
      <c r="BI11" s="260">
        <f t="shared" si="41"/>
        <v>14.223865310797228</v>
      </c>
      <c r="BJ11" s="260">
        <f t="shared" si="41"/>
        <v>14.223865310797228</v>
      </c>
      <c r="BK11" s="260">
        <f t="shared" si="41"/>
        <v>14.223865310797228</v>
      </c>
      <c r="BL11" s="260">
        <f t="shared" si="41"/>
        <v>14.223865310797228</v>
      </c>
      <c r="BM11" s="260">
        <f t="shared" si="41"/>
        <v>14.223865310797228</v>
      </c>
      <c r="BN11" s="260">
        <f t="shared" si="41"/>
        <v>14.223865310797228</v>
      </c>
      <c r="BO11" s="260">
        <f t="shared" si="41"/>
        <v>14.223865310797228</v>
      </c>
      <c r="BP11" s="260">
        <f t="shared" si="41"/>
        <v>14.223865310797228</v>
      </c>
      <c r="BQ11" s="260">
        <f t="shared" si="41"/>
        <v>14.223865310797228</v>
      </c>
      <c r="BR11" s="260">
        <f t="shared" si="41"/>
        <v>14.223865310797228</v>
      </c>
      <c r="BS11" s="260">
        <f t="shared" si="41"/>
        <v>14.223865310797228</v>
      </c>
      <c r="BT11" s="260">
        <f t="shared" si="41"/>
        <v>14.223865310797228</v>
      </c>
      <c r="BU11" s="260">
        <f t="shared" si="41"/>
        <v>14.223865310797228</v>
      </c>
      <c r="BV11" s="260">
        <f t="shared" si="41"/>
        <v>14.223865310797228</v>
      </c>
      <c r="BW11" s="1384">
        <f>+BV11*BW$136/BV$136</f>
        <v>14.271092726019944</v>
      </c>
      <c r="BX11" s="1384">
        <f t="shared" ref="BX11:CZ11" si="42">+BW11*BX$136/BW$136</f>
        <v>14.318476950147966</v>
      </c>
      <c r="BY11" s="1384">
        <f t="shared" si="42"/>
        <v>14.366018503832969</v>
      </c>
      <c r="BZ11" s="1384">
        <f t="shared" si="42"/>
        <v>14.413717909455341</v>
      </c>
      <c r="CA11" s="1384">
        <f t="shared" si="42"/>
        <v>14.461575691129934</v>
      </c>
      <c r="CB11" s="1384">
        <f t="shared" si="42"/>
        <v>14.49243565590395</v>
      </c>
      <c r="CC11" s="1384">
        <f t="shared" si="42"/>
        <v>14.523361473628309</v>
      </c>
      <c r="CD11" s="1384">
        <f t="shared" si="42"/>
        <v>14.554353284828478</v>
      </c>
      <c r="CE11" s="1384">
        <f t="shared" si="42"/>
        <v>14.585411230329802</v>
      </c>
      <c r="CF11" s="1384">
        <f t="shared" si="42"/>
        <v>14.616535451258134</v>
      </c>
      <c r="CG11" s="1384">
        <f t="shared" si="42"/>
        <v>14.626641288360148</v>
      </c>
      <c r="CH11" s="1384">
        <f t="shared" si="42"/>
        <v>14.636754112613382</v>
      </c>
      <c r="CI11" s="1384">
        <f t="shared" si="42"/>
        <v>14.646873928848736</v>
      </c>
      <c r="CJ11" s="1384">
        <f t="shared" si="42"/>
        <v>14.657000741900452</v>
      </c>
      <c r="CK11" s="1384">
        <f t="shared" si="42"/>
        <v>14.667134556606111</v>
      </c>
      <c r="CL11" s="1384">
        <f t="shared" si="42"/>
        <v>14.670569469948116</v>
      </c>
      <c r="CM11" s="1384">
        <f t="shared" si="42"/>
        <v>14.674005187716483</v>
      </c>
      <c r="CN11" s="1384">
        <f t="shared" si="42"/>
        <v>14.6774417100996</v>
      </c>
      <c r="CO11" s="1384">
        <f t="shared" si="42"/>
        <v>14.6808790372859</v>
      </c>
      <c r="CP11" s="1384">
        <f t="shared" si="42"/>
        <v>14.684317169463862</v>
      </c>
      <c r="CQ11" s="1384">
        <f t="shared" si="42"/>
        <v>14.689527988881515</v>
      </c>
      <c r="CR11" s="1384">
        <f t="shared" si="42"/>
        <v>14.69474065739019</v>
      </c>
      <c r="CS11" s="1384">
        <f t="shared" si="42"/>
        <v>14.699955175646044</v>
      </c>
      <c r="CT11" s="1384">
        <f t="shared" si="42"/>
        <v>14.705171544305472</v>
      </c>
      <c r="CU11" s="1384">
        <f t="shared" si="42"/>
        <v>14.710389764025104</v>
      </c>
      <c r="CV11" s="1384">
        <f t="shared" si="42"/>
        <v>14.718420626266095</v>
      </c>
      <c r="CW11" s="1384">
        <f t="shared" si="42"/>
        <v>14.726455872806168</v>
      </c>
      <c r="CX11" s="1384">
        <f t="shared" si="42"/>
        <v>14.734495506038849</v>
      </c>
      <c r="CY11" s="1384">
        <f t="shared" si="42"/>
        <v>14.74253952835897</v>
      </c>
      <c r="CZ11" s="1384">
        <f t="shared" si="42"/>
        <v>14.750587942162673</v>
      </c>
    </row>
    <row r="12" spans="1:104" x14ac:dyDescent="0.2">
      <c r="A12" s="945" t="str">
        <f>'HyARC Physical Property Data'!A85</f>
        <v>Woody Biomass</v>
      </c>
      <c r="B12" s="260">
        <v>2005</v>
      </c>
      <c r="C12" s="855">
        <f>VLOOKUP(ref_year,DeflatorTable,2,FALSE)/VLOOKUP(B12,DeflatorTable,2,FALSE)</f>
        <v>1.2112501494873942</v>
      </c>
      <c r="D12" s="1241" t="str">
        <f>+'HyARC Physical Property Data'!$H$85</f>
        <v>kg</v>
      </c>
      <c r="E12" s="882" t="s">
        <v>1053</v>
      </c>
      <c r="F12" s="260">
        <f>'HyARC Physical Property Data'!$E$45</f>
        <v>19.551069237418005</v>
      </c>
      <c r="G12" s="260">
        <f>'HyARC Physical Property Data'!$I$45</f>
        <v>20.588656379262464</v>
      </c>
      <c r="H12" s="946">
        <f t="shared" ref="H12:O12" si="43">1.27*($C$12)</f>
        <v>1.5382876898489906</v>
      </c>
      <c r="I12" s="946">
        <f t="shared" si="43"/>
        <v>1.5382876898489906</v>
      </c>
      <c r="J12" s="946">
        <f t="shared" si="43"/>
        <v>1.5382876898489906</v>
      </c>
      <c r="K12" s="946">
        <f t="shared" si="43"/>
        <v>1.5382876898489906</v>
      </c>
      <c r="L12" s="946">
        <f t="shared" si="43"/>
        <v>1.5382876898489906</v>
      </c>
      <c r="M12" s="946">
        <f t="shared" si="43"/>
        <v>1.5382876898489906</v>
      </c>
      <c r="N12" s="946">
        <f t="shared" si="43"/>
        <v>1.5382876898489906</v>
      </c>
      <c r="O12" s="946">
        <f t="shared" si="43"/>
        <v>1.5382876898489906</v>
      </c>
      <c r="P12" s="946">
        <f>1.28*($C$12)</f>
        <v>1.5504001913438645</v>
      </c>
      <c r="Q12" s="946">
        <f>1.32*($C$12)</f>
        <v>1.5988501973233604</v>
      </c>
      <c r="R12" s="946">
        <f>1.32*($C$12)</f>
        <v>1.5988501973233604</v>
      </c>
      <c r="S12" s="946">
        <f>1.34*($C$12)</f>
        <v>1.6230752003131084</v>
      </c>
      <c r="T12" s="946">
        <f>1.34*($C$12)</f>
        <v>1.6230752003131084</v>
      </c>
      <c r="U12" s="946">
        <f>1.36*($C$12)</f>
        <v>1.6473002033028561</v>
      </c>
      <c r="V12" s="946">
        <f>1.36*($C$12)</f>
        <v>1.6473002033028561</v>
      </c>
      <c r="W12" s="946">
        <f>1.38*($C$12)</f>
        <v>1.6715252062926038</v>
      </c>
      <c r="X12" s="946">
        <f>1.4*($C$12)</f>
        <v>1.6957502092823518</v>
      </c>
      <c r="Y12" s="946">
        <f>1.46*($C$12)</f>
        <v>1.7684252182515954</v>
      </c>
      <c r="Z12" s="946">
        <f>1.48*($C$12)</f>
        <v>1.7926502212413433</v>
      </c>
      <c r="AA12" s="946">
        <f>1.48*($C$12)</f>
        <v>1.7926502212413433</v>
      </c>
      <c r="AB12" s="946">
        <f>1.51*($C$12)</f>
        <v>1.8289877257259652</v>
      </c>
      <c r="AC12" s="946">
        <f>1.52*($C$12)</f>
        <v>1.8411002272208392</v>
      </c>
      <c r="AD12" s="946">
        <f>1.62*($C$12)</f>
        <v>1.9622252421695787</v>
      </c>
      <c r="AE12" s="946">
        <f>1.72*($C$12)</f>
        <v>2.083350257118318</v>
      </c>
      <c r="AF12" s="946">
        <f>1.82*($C$12)</f>
        <v>2.2044752720670573</v>
      </c>
      <c r="AG12" s="946">
        <f>1.91*($C$12)</f>
        <v>2.3134877855209228</v>
      </c>
      <c r="AH12" s="946">
        <f>2.01*($C$12)</f>
        <v>2.4346128004696621</v>
      </c>
      <c r="AI12" s="946">
        <f>2.11*($C$12)</f>
        <v>2.5557378154184014</v>
      </c>
      <c r="AJ12" s="946">
        <f>2.2*($C$12)</f>
        <v>2.6647503288722674</v>
      </c>
      <c r="AK12" s="946">
        <f>2.3*($C$12)</f>
        <v>2.7858753438210062</v>
      </c>
      <c r="AL12" s="946">
        <f>2.4*($C$12)</f>
        <v>2.9070003587697459</v>
      </c>
      <c r="AM12" s="946">
        <f>2.5*($C$12)</f>
        <v>3.0281253737184857</v>
      </c>
      <c r="AN12" s="946">
        <f>2.57*($C$12)</f>
        <v>3.1129128841826028</v>
      </c>
      <c r="AO12" s="946">
        <f>2.64*($C$12)</f>
        <v>3.1977003946467208</v>
      </c>
      <c r="AP12" s="946">
        <f>2.71*($C$12)</f>
        <v>3.282487905110838</v>
      </c>
      <c r="AQ12" s="946">
        <f>2.78*($C$12)</f>
        <v>3.3672754155749556</v>
      </c>
      <c r="AR12" s="946">
        <f>2.85*($C$12)</f>
        <v>3.4520629260390736</v>
      </c>
      <c r="AS12" s="946">
        <f>2.92*($C$12)</f>
        <v>3.5368504365031908</v>
      </c>
      <c r="AT12" s="946">
        <f>2.99*($C$12)</f>
        <v>3.6216379469673088</v>
      </c>
      <c r="AU12" s="946">
        <f>3.07*($C$12)</f>
        <v>3.7185379589263001</v>
      </c>
      <c r="AV12" s="946">
        <f>3.14*($C$12)</f>
        <v>3.8033254693904177</v>
      </c>
      <c r="AW12" s="946">
        <f>3.21*($C$12)</f>
        <v>3.8881129798545353</v>
      </c>
      <c r="AX12" s="946">
        <f>3.28*($C$12)</f>
        <v>3.9729004903186529</v>
      </c>
      <c r="AY12" s="946">
        <f>3.35*($C$12)</f>
        <v>4.0576880007827709</v>
      </c>
      <c r="AZ12" s="946">
        <f>3.42*($C$12)</f>
        <v>4.1424755112468876</v>
      </c>
      <c r="BA12" s="946">
        <f>3.49*($C$12)</f>
        <v>4.2272630217110061</v>
      </c>
      <c r="BB12" s="946">
        <f>3.56*($C$12)</f>
        <v>4.3120505321751237</v>
      </c>
      <c r="BC12" s="946">
        <f>3.64*($C$12)</f>
        <v>4.4089505441341146</v>
      </c>
      <c r="BD12" s="946">
        <f>3.71*($C$12)</f>
        <v>4.4937380545982322</v>
      </c>
      <c r="BE12" s="946">
        <f>3.78*($C$12)</f>
        <v>4.5785255650623498</v>
      </c>
      <c r="BF12" s="946">
        <f>3.85*($C$12)</f>
        <v>4.6633130755264673</v>
      </c>
      <c r="BG12" s="946">
        <f>3.92*($C$12)</f>
        <v>4.7481005859905849</v>
      </c>
      <c r="BH12" s="946">
        <f>3.99*($C$12)</f>
        <v>4.8328880964547034</v>
      </c>
      <c r="BI12" s="946">
        <f>4.06*($C$12)</f>
        <v>4.9176756069188201</v>
      </c>
      <c r="BJ12" s="946">
        <f>4.14*($C$12)</f>
        <v>5.0145756188778119</v>
      </c>
      <c r="BK12" s="946">
        <f>4.21*($C$12)</f>
        <v>5.0993631293419295</v>
      </c>
      <c r="BL12" s="946">
        <f>4.28*($C$12)</f>
        <v>5.1841506398060471</v>
      </c>
      <c r="BM12" s="946">
        <f>4.35*($C$12)</f>
        <v>5.2689381502701647</v>
      </c>
      <c r="BN12" s="946">
        <f>4.42*($C$12)</f>
        <v>5.3537256607342822</v>
      </c>
      <c r="BO12" s="946">
        <f>4.49*($C$12)</f>
        <v>5.4385131711983998</v>
      </c>
      <c r="BP12" s="946">
        <f>4.56*($C$12)</f>
        <v>5.5233006816625174</v>
      </c>
      <c r="BQ12" s="946">
        <f>4.63*($C$12)</f>
        <v>5.608088192126635</v>
      </c>
      <c r="BR12" s="946">
        <f>4.71*($C$12)</f>
        <v>5.7049882040856268</v>
      </c>
      <c r="BS12" s="946">
        <f>4.78*($C$12)</f>
        <v>5.7897757145497444</v>
      </c>
      <c r="BT12" s="946">
        <f>4.85*($C$12)</f>
        <v>5.8745632250138611</v>
      </c>
      <c r="BU12" s="946">
        <f>4.92*($C$12)</f>
        <v>5.9593507354779796</v>
      </c>
      <c r="BV12" s="947">
        <f>4.99*($C$12)</f>
        <v>6.0441382459420971</v>
      </c>
      <c r="BW12" s="1384">
        <f>+BV12*BW$137/BV$137</f>
        <v>6.0586659764672328</v>
      </c>
      <c r="BX12" s="1384">
        <f t="shared" ref="BX12:CZ12" si="44">+BW12*BX$137/BW$137</f>
        <v>6.0732286259412112</v>
      </c>
      <c r="BY12" s="1384">
        <f t="shared" si="44"/>
        <v>6.0878262782954495</v>
      </c>
      <c r="BZ12" s="1384">
        <f t="shared" si="44"/>
        <v>6.1024590176630999</v>
      </c>
      <c r="CA12" s="1384">
        <f t="shared" si="44"/>
        <v>6.1171269283795393</v>
      </c>
      <c r="CB12" s="1384">
        <f t="shared" si="44"/>
        <v>6.1299667153690152</v>
      </c>
      <c r="CC12" s="1384">
        <f t="shared" si="44"/>
        <v>6.1428334529403346</v>
      </c>
      <c r="CD12" s="1384">
        <f t="shared" si="44"/>
        <v>6.155727197662495</v>
      </c>
      <c r="CE12" s="1384">
        <f t="shared" si="44"/>
        <v>6.1686480062232301</v>
      </c>
      <c r="CF12" s="1384">
        <f t="shared" si="44"/>
        <v>6.18159593542926</v>
      </c>
      <c r="CG12" s="1384">
        <f t="shared" si="44"/>
        <v>6.197524392005751</v>
      </c>
      <c r="CH12" s="1384">
        <f t="shared" si="44"/>
        <v>6.2134938923080965</v>
      </c>
      <c r="CI12" s="1384">
        <f t="shared" si="44"/>
        <v>6.229504542095909</v>
      </c>
      <c r="CJ12" s="1384">
        <f t="shared" si="44"/>
        <v>6.245556447401321</v>
      </c>
      <c r="CK12" s="1384">
        <f t="shared" si="44"/>
        <v>6.2616497145296828</v>
      </c>
      <c r="CL12" s="1384">
        <f t="shared" si="44"/>
        <v>6.2750522655841658</v>
      </c>
      <c r="CM12" s="1384">
        <f t="shared" si="44"/>
        <v>6.2884835037072264</v>
      </c>
      <c r="CN12" s="1384">
        <f t="shared" si="44"/>
        <v>6.3019434903011975</v>
      </c>
      <c r="CO12" s="1384">
        <f t="shared" si="44"/>
        <v>6.3154322868998385</v>
      </c>
      <c r="CP12" s="1384">
        <f t="shared" si="44"/>
        <v>6.3289499551686168</v>
      </c>
      <c r="CQ12" s="1384">
        <f t="shared" si="44"/>
        <v>6.3413225489579119</v>
      </c>
      <c r="CR12" s="1384">
        <f t="shared" si="44"/>
        <v>6.3537193301840116</v>
      </c>
      <c r="CS12" s="1384">
        <f t="shared" si="44"/>
        <v>6.3661403461314299</v>
      </c>
      <c r="CT12" s="1384">
        <f t="shared" si="44"/>
        <v>6.3785856441771198</v>
      </c>
      <c r="CU12" s="1384">
        <f t="shared" si="44"/>
        <v>6.3910552717906537</v>
      </c>
      <c r="CV12" s="1384">
        <f t="shared" si="44"/>
        <v>6.4057772391562917</v>
      </c>
      <c r="CW12" s="1384">
        <f t="shared" si="44"/>
        <v>6.4205331189689208</v>
      </c>
      <c r="CX12" s="1384">
        <f t="shared" si="44"/>
        <v>6.4353229893467718</v>
      </c>
      <c r="CY12" s="1384">
        <f t="shared" si="44"/>
        <v>6.4501469285880244</v>
      </c>
      <c r="CZ12" s="1384">
        <f t="shared" si="44"/>
        <v>6.4650050151712186</v>
      </c>
    </row>
    <row r="13" spans="1:104" x14ac:dyDescent="0.2">
      <c r="A13" s="945" t="str">
        <f>'HyARC Physical Property Data'!A86</f>
        <v>Woody Biomass B2A</v>
      </c>
      <c r="B13" s="260">
        <v>2007</v>
      </c>
      <c r="C13" s="855">
        <f>VLOOKUP(ref_year,DeflatorTable,2,FALSE)/VLOOKUP(B13,DeflatorTable,2,FALSE)</f>
        <v>1.1446359956438654</v>
      </c>
      <c r="D13" s="1241" t="str">
        <f>+'HyARC Physical Property Data'!$H$86</f>
        <v>kg</v>
      </c>
      <c r="E13" s="882" t="s">
        <v>1053</v>
      </c>
      <c r="F13" s="260">
        <f>'HyARC Physical Property Data'!$E$45</f>
        <v>19.551069237418005</v>
      </c>
      <c r="G13" s="260">
        <f>'HyARC Physical Property Data'!$I$45</f>
        <v>20.588656379262464</v>
      </c>
      <c r="H13" s="946">
        <f>3.80872262322035*($C$13)</f>
        <v>4.3596010119611401</v>
      </c>
      <c r="I13" s="946">
        <f>3.80872262322035*($C$13)</f>
        <v>4.3596010119611401</v>
      </c>
      <c r="J13" s="946">
        <f>3.80872262322035*($C$13)</f>
        <v>4.3596010119611401</v>
      </c>
      <c r="K13" s="946">
        <f>3.80872262322035*($C$13)</f>
        <v>4.3596010119611401</v>
      </c>
      <c r="L13" s="946">
        <f>3.58036841709093*($C$13)</f>
        <v>4.0982185678687273</v>
      </c>
      <c r="M13" s="946">
        <f>3.28153451771169*($C$13)</f>
        <v>3.756162529920632</v>
      </c>
      <c r="N13" s="946">
        <f>3.05599949931226*($C$13)</f>
        <v>3.498007029582443</v>
      </c>
      <c r="O13" s="946">
        <f>2.9206784882726*($C$13)</f>
        <v>3.3431137293795268</v>
      </c>
      <c r="P13" s="946">
        <f t="shared" ref="P13:BV13" si="45">2.85865635821276*($C$13)</f>
        <v>3.2721209667865292</v>
      </c>
      <c r="Q13" s="946">
        <f t="shared" si="45"/>
        <v>3.2721209667865292</v>
      </c>
      <c r="R13" s="946">
        <f t="shared" si="45"/>
        <v>3.2721209667865292</v>
      </c>
      <c r="S13" s="946">
        <f t="shared" si="45"/>
        <v>3.2721209667865292</v>
      </c>
      <c r="T13" s="946">
        <f t="shared" si="45"/>
        <v>3.2721209667865292</v>
      </c>
      <c r="U13" s="946">
        <f t="shared" si="45"/>
        <v>3.2721209667865292</v>
      </c>
      <c r="V13" s="946">
        <f t="shared" si="45"/>
        <v>3.2721209667865292</v>
      </c>
      <c r="W13" s="946">
        <f t="shared" si="45"/>
        <v>3.2721209667865292</v>
      </c>
      <c r="X13" s="946">
        <f t="shared" si="45"/>
        <v>3.2721209667865292</v>
      </c>
      <c r="Y13" s="946">
        <f t="shared" si="45"/>
        <v>3.2721209667865292</v>
      </c>
      <c r="Z13" s="946">
        <f t="shared" si="45"/>
        <v>3.2721209667865292</v>
      </c>
      <c r="AA13" s="946">
        <f t="shared" si="45"/>
        <v>3.2721209667865292</v>
      </c>
      <c r="AB13" s="946">
        <f t="shared" si="45"/>
        <v>3.2721209667865292</v>
      </c>
      <c r="AC13" s="946">
        <f t="shared" si="45"/>
        <v>3.2721209667865292</v>
      </c>
      <c r="AD13" s="946">
        <f t="shared" si="45"/>
        <v>3.2721209667865292</v>
      </c>
      <c r="AE13" s="946">
        <f t="shared" si="45"/>
        <v>3.2721209667865292</v>
      </c>
      <c r="AF13" s="946">
        <f t="shared" si="45"/>
        <v>3.2721209667865292</v>
      </c>
      <c r="AG13" s="946">
        <f t="shared" si="45"/>
        <v>3.2721209667865292</v>
      </c>
      <c r="AH13" s="946">
        <f t="shared" si="45"/>
        <v>3.2721209667865292</v>
      </c>
      <c r="AI13" s="946">
        <f t="shared" si="45"/>
        <v>3.2721209667865292</v>
      </c>
      <c r="AJ13" s="946">
        <f t="shared" si="45"/>
        <v>3.2721209667865292</v>
      </c>
      <c r="AK13" s="946">
        <f t="shared" si="45"/>
        <v>3.2721209667865292</v>
      </c>
      <c r="AL13" s="946">
        <f t="shared" si="45"/>
        <v>3.2721209667865292</v>
      </c>
      <c r="AM13" s="946">
        <f t="shared" si="45"/>
        <v>3.2721209667865292</v>
      </c>
      <c r="AN13" s="946">
        <f t="shared" si="45"/>
        <v>3.2721209667865292</v>
      </c>
      <c r="AO13" s="946">
        <f t="shared" si="45"/>
        <v>3.2721209667865292</v>
      </c>
      <c r="AP13" s="946">
        <f t="shared" si="45"/>
        <v>3.2721209667865292</v>
      </c>
      <c r="AQ13" s="946">
        <f t="shared" si="45"/>
        <v>3.2721209667865292</v>
      </c>
      <c r="AR13" s="946">
        <f t="shared" si="45"/>
        <v>3.2721209667865292</v>
      </c>
      <c r="AS13" s="946">
        <f t="shared" si="45"/>
        <v>3.2721209667865292</v>
      </c>
      <c r="AT13" s="946">
        <f t="shared" si="45"/>
        <v>3.2721209667865292</v>
      </c>
      <c r="AU13" s="946">
        <f t="shared" si="45"/>
        <v>3.2721209667865292</v>
      </c>
      <c r="AV13" s="946">
        <f t="shared" si="45"/>
        <v>3.2721209667865292</v>
      </c>
      <c r="AW13" s="946">
        <f t="shared" si="45"/>
        <v>3.2721209667865292</v>
      </c>
      <c r="AX13" s="946">
        <f t="shared" si="45"/>
        <v>3.2721209667865292</v>
      </c>
      <c r="AY13" s="946">
        <f t="shared" si="45"/>
        <v>3.2721209667865292</v>
      </c>
      <c r="AZ13" s="946">
        <f t="shared" si="45"/>
        <v>3.2721209667865292</v>
      </c>
      <c r="BA13" s="946">
        <f t="shared" si="45"/>
        <v>3.2721209667865292</v>
      </c>
      <c r="BB13" s="946">
        <f t="shared" si="45"/>
        <v>3.2721209667865292</v>
      </c>
      <c r="BC13" s="946">
        <f t="shared" si="45"/>
        <v>3.2721209667865292</v>
      </c>
      <c r="BD13" s="946">
        <f t="shared" si="45"/>
        <v>3.2721209667865292</v>
      </c>
      <c r="BE13" s="946">
        <f t="shared" si="45"/>
        <v>3.2721209667865292</v>
      </c>
      <c r="BF13" s="946">
        <f t="shared" si="45"/>
        <v>3.2721209667865292</v>
      </c>
      <c r="BG13" s="946">
        <f t="shared" si="45"/>
        <v>3.2721209667865292</v>
      </c>
      <c r="BH13" s="946">
        <f t="shared" si="45"/>
        <v>3.2721209667865292</v>
      </c>
      <c r="BI13" s="946">
        <f t="shared" si="45"/>
        <v>3.2721209667865292</v>
      </c>
      <c r="BJ13" s="946">
        <f t="shared" si="45"/>
        <v>3.2721209667865292</v>
      </c>
      <c r="BK13" s="946">
        <f t="shared" si="45"/>
        <v>3.2721209667865292</v>
      </c>
      <c r="BL13" s="946">
        <f t="shared" si="45"/>
        <v>3.2721209667865292</v>
      </c>
      <c r="BM13" s="946">
        <f t="shared" si="45"/>
        <v>3.2721209667865292</v>
      </c>
      <c r="BN13" s="946">
        <f t="shared" si="45"/>
        <v>3.2721209667865292</v>
      </c>
      <c r="BO13" s="946">
        <f t="shared" si="45"/>
        <v>3.2721209667865292</v>
      </c>
      <c r="BP13" s="946">
        <f t="shared" si="45"/>
        <v>3.2721209667865292</v>
      </c>
      <c r="BQ13" s="946">
        <f t="shared" si="45"/>
        <v>3.2721209667865292</v>
      </c>
      <c r="BR13" s="946">
        <f t="shared" si="45"/>
        <v>3.2721209667865292</v>
      </c>
      <c r="BS13" s="946">
        <f t="shared" si="45"/>
        <v>3.2721209667865292</v>
      </c>
      <c r="BT13" s="946">
        <f t="shared" si="45"/>
        <v>3.2721209667865292</v>
      </c>
      <c r="BU13" s="946">
        <f t="shared" si="45"/>
        <v>3.2721209667865292</v>
      </c>
      <c r="BV13" s="947">
        <f t="shared" si="45"/>
        <v>3.2721209667865292</v>
      </c>
      <c r="BW13" s="1384">
        <f>+BV13*BW$137/BV$137</f>
        <v>3.2799858583089949</v>
      </c>
      <c r="BX13" s="1384">
        <f t="shared" ref="BX13:CZ13" si="46">+BW13*BX$137/BW$137</f>
        <v>3.2878696539365619</v>
      </c>
      <c r="BY13" s="1384">
        <f t="shared" si="46"/>
        <v>3.2957723991072623</v>
      </c>
      <c r="BZ13" s="1384">
        <f t="shared" si="46"/>
        <v>3.3036941393683414</v>
      </c>
      <c r="CA13" s="1384">
        <f t="shared" si="46"/>
        <v>3.3116349203765254</v>
      </c>
      <c r="CB13" s="1384">
        <f t="shared" si="46"/>
        <v>3.3185860082748779</v>
      </c>
      <c r="CC13" s="1384">
        <f t="shared" si="46"/>
        <v>3.3255516864357837</v>
      </c>
      <c r="CD13" s="1384">
        <f t="shared" si="46"/>
        <v>3.332531985484056</v>
      </c>
      <c r="CE13" s="1384">
        <f t="shared" si="46"/>
        <v>3.3395269361087871</v>
      </c>
      <c r="CF13" s="1384">
        <f t="shared" si="46"/>
        <v>3.3465365690634874</v>
      </c>
      <c r="CG13" s="1384">
        <f t="shared" si="46"/>
        <v>3.3551597730028546</v>
      </c>
      <c r="CH13" s="1384">
        <f t="shared" si="46"/>
        <v>3.3638051968237757</v>
      </c>
      <c r="CI13" s="1384">
        <f t="shared" si="46"/>
        <v>3.3724728977814351</v>
      </c>
      <c r="CJ13" s="1384">
        <f t="shared" si="46"/>
        <v>3.3811629332785507</v>
      </c>
      <c r="CK13" s="1384">
        <f t="shared" si="46"/>
        <v>3.3898753608657524</v>
      </c>
      <c r="CL13" s="1384">
        <f t="shared" si="46"/>
        <v>3.3971311128901611</v>
      </c>
      <c r="CM13" s="1384">
        <f t="shared" si="46"/>
        <v>3.4044023952606257</v>
      </c>
      <c r="CN13" s="1384">
        <f t="shared" si="46"/>
        <v>3.4116892412185864</v>
      </c>
      <c r="CO13" s="1384">
        <f t="shared" si="46"/>
        <v>3.4189916840766337</v>
      </c>
      <c r="CP13" s="1384">
        <f t="shared" si="46"/>
        <v>3.4263097572186623</v>
      </c>
      <c r="CQ13" s="1384">
        <f t="shared" si="46"/>
        <v>3.4330079202824653</v>
      </c>
      <c r="CR13" s="1384">
        <f t="shared" si="46"/>
        <v>3.4397191777223193</v>
      </c>
      <c r="CS13" s="1384">
        <f t="shared" si="46"/>
        <v>3.4464435551366885</v>
      </c>
      <c r="CT13" s="1384">
        <f t="shared" si="46"/>
        <v>3.453181078174079</v>
      </c>
      <c r="CU13" s="1384">
        <f t="shared" si="46"/>
        <v>3.4599317725331393</v>
      </c>
      <c r="CV13" s="1384">
        <f t="shared" si="46"/>
        <v>3.467901818241772</v>
      </c>
      <c r="CW13" s="1384">
        <f t="shared" si="46"/>
        <v>3.4758902231646247</v>
      </c>
      <c r="CX13" s="1384">
        <f t="shared" si="46"/>
        <v>3.4838970295926392</v>
      </c>
      <c r="CY13" s="1384">
        <f t="shared" si="46"/>
        <v>3.4919222799141783</v>
      </c>
      <c r="CZ13" s="1384">
        <f t="shared" si="46"/>
        <v>3.4999660166152444</v>
      </c>
    </row>
    <row r="14" spans="1:104" x14ac:dyDescent="0.2">
      <c r="A14" s="945" t="str">
        <f>'HyARC Physical Property Data'!$A$87</f>
        <v>Woody Biomass MYPP</v>
      </c>
      <c r="B14" s="260">
        <v>2007</v>
      </c>
      <c r="C14" s="855">
        <f>VLOOKUP(ref_year,DeflatorTable,2,FALSE)/VLOOKUP(B14,DeflatorTable,2,FALSE)</f>
        <v>1.1446359956438654</v>
      </c>
      <c r="D14" s="1241" t="str">
        <f>+'HyARC Physical Property Data'!$H$87</f>
        <v>kg</v>
      </c>
      <c r="E14" s="882" t="s">
        <v>1053</v>
      </c>
      <c r="F14" s="260">
        <v>18.608000000000001</v>
      </c>
      <c r="G14" s="260"/>
      <c r="H14" s="260">
        <f>4.44432502149613*$C$14</f>
        <v>5.0871343959451663</v>
      </c>
      <c r="I14" s="260">
        <f t="shared" ref="I14:N14" si="47">4.44432502149613*$C$14</f>
        <v>5.0871343959451663</v>
      </c>
      <c r="J14" s="260">
        <f t="shared" si="47"/>
        <v>5.0871343959451663</v>
      </c>
      <c r="K14" s="260">
        <f t="shared" si="47"/>
        <v>5.0871343959451663</v>
      </c>
      <c r="L14" s="260">
        <f t="shared" si="47"/>
        <v>5.0871343959451663</v>
      </c>
      <c r="M14" s="260">
        <f t="shared" si="47"/>
        <v>5.0871343959451663</v>
      </c>
      <c r="N14" s="260">
        <f t="shared" si="47"/>
        <v>5.0871343959451663</v>
      </c>
      <c r="O14" s="946">
        <f t="shared" ref="O14:T14" si="48">N14-($N$14-$U$14)/7</f>
        <v>4.9664808197552768</v>
      </c>
      <c r="P14" s="946">
        <f t="shared" si="48"/>
        <v>4.8458272435653873</v>
      </c>
      <c r="Q14" s="946">
        <f t="shared" si="48"/>
        <v>4.7251736673754978</v>
      </c>
      <c r="R14" s="946">
        <f t="shared" si="48"/>
        <v>4.6045200911856083</v>
      </c>
      <c r="S14" s="946">
        <f t="shared" si="48"/>
        <v>4.4838665149957189</v>
      </c>
      <c r="T14" s="946">
        <f t="shared" si="48"/>
        <v>4.3632129388058294</v>
      </c>
      <c r="U14" s="946">
        <f>3.70647033533964*$C$14</f>
        <v>4.2425593626159408</v>
      </c>
      <c r="V14" s="946">
        <f t="shared" ref="V14:BV14" si="49">3.70647033533964*$C$14</f>
        <v>4.2425593626159408</v>
      </c>
      <c r="W14" s="946">
        <f t="shared" si="49"/>
        <v>4.2425593626159408</v>
      </c>
      <c r="X14" s="946">
        <f t="shared" si="49"/>
        <v>4.2425593626159408</v>
      </c>
      <c r="Y14" s="946">
        <f t="shared" si="49"/>
        <v>4.2425593626159408</v>
      </c>
      <c r="Z14" s="946">
        <f t="shared" si="49"/>
        <v>4.2425593626159408</v>
      </c>
      <c r="AA14" s="946">
        <f t="shared" si="49"/>
        <v>4.2425593626159408</v>
      </c>
      <c r="AB14" s="946">
        <f t="shared" si="49"/>
        <v>4.2425593626159408</v>
      </c>
      <c r="AC14" s="946">
        <f t="shared" si="49"/>
        <v>4.2425593626159408</v>
      </c>
      <c r="AD14" s="946">
        <f t="shared" si="49"/>
        <v>4.2425593626159408</v>
      </c>
      <c r="AE14" s="946">
        <f t="shared" si="49"/>
        <v>4.2425593626159408</v>
      </c>
      <c r="AF14" s="946">
        <f t="shared" si="49"/>
        <v>4.2425593626159408</v>
      </c>
      <c r="AG14" s="946">
        <f t="shared" si="49"/>
        <v>4.2425593626159408</v>
      </c>
      <c r="AH14" s="946">
        <f t="shared" si="49"/>
        <v>4.2425593626159408</v>
      </c>
      <c r="AI14" s="946">
        <f t="shared" si="49"/>
        <v>4.2425593626159408</v>
      </c>
      <c r="AJ14" s="946">
        <f t="shared" si="49"/>
        <v>4.2425593626159408</v>
      </c>
      <c r="AK14" s="946">
        <f t="shared" si="49"/>
        <v>4.2425593626159408</v>
      </c>
      <c r="AL14" s="946">
        <f t="shared" si="49"/>
        <v>4.2425593626159408</v>
      </c>
      <c r="AM14" s="946">
        <f t="shared" si="49"/>
        <v>4.2425593626159408</v>
      </c>
      <c r="AN14" s="946">
        <f t="shared" si="49"/>
        <v>4.2425593626159408</v>
      </c>
      <c r="AO14" s="946">
        <f t="shared" si="49"/>
        <v>4.2425593626159408</v>
      </c>
      <c r="AP14" s="946">
        <f t="shared" si="49"/>
        <v>4.2425593626159408</v>
      </c>
      <c r="AQ14" s="946">
        <f t="shared" si="49"/>
        <v>4.2425593626159408</v>
      </c>
      <c r="AR14" s="946">
        <f t="shared" si="49"/>
        <v>4.2425593626159408</v>
      </c>
      <c r="AS14" s="946">
        <f t="shared" si="49"/>
        <v>4.2425593626159408</v>
      </c>
      <c r="AT14" s="946">
        <f t="shared" si="49"/>
        <v>4.2425593626159408</v>
      </c>
      <c r="AU14" s="946">
        <f t="shared" si="49"/>
        <v>4.2425593626159408</v>
      </c>
      <c r="AV14" s="946">
        <f t="shared" si="49"/>
        <v>4.2425593626159408</v>
      </c>
      <c r="AW14" s="946">
        <f t="shared" si="49"/>
        <v>4.2425593626159408</v>
      </c>
      <c r="AX14" s="946">
        <f t="shared" si="49"/>
        <v>4.2425593626159408</v>
      </c>
      <c r="AY14" s="946">
        <f t="shared" si="49"/>
        <v>4.2425593626159408</v>
      </c>
      <c r="AZ14" s="946">
        <f t="shared" si="49"/>
        <v>4.2425593626159408</v>
      </c>
      <c r="BA14" s="946">
        <f t="shared" si="49"/>
        <v>4.2425593626159408</v>
      </c>
      <c r="BB14" s="946">
        <f t="shared" si="49"/>
        <v>4.2425593626159408</v>
      </c>
      <c r="BC14" s="946">
        <f t="shared" si="49"/>
        <v>4.2425593626159408</v>
      </c>
      <c r="BD14" s="946">
        <f t="shared" si="49"/>
        <v>4.2425593626159408</v>
      </c>
      <c r="BE14" s="946">
        <f t="shared" si="49"/>
        <v>4.2425593626159408</v>
      </c>
      <c r="BF14" s="946">
        <f t="shared" si="49"/>
        <v>4.2425593626159408</v>
      </c>
      <c r="BG14" s="946">
        <f t="shared" si="49"/>
        <v>4.2425593626159408</v>
      </c>
      <c r="BH14" s="946">
        <f t="shared" si="49"/>
        <v>4.2425593626159408</v>
      </c>
      <c r="BI14" s="946">
        <f t="shared" si="49"/>
        <v>4.2425593626159408</v>
      </c>
      <c r="BJ14" s="946">
        <f t="shared" si="49"/>
        <v>4.2425593626159408</v>
      </c>
      <c r="BK14" s="946">
        <f t="shared" si="49"/>
        <v>4.2425593626159408</v>
      </c>
      <c r="BL14" s="946">
        <f t="shared" si="49"/>
        <v>4.2425593626159408</v>
      </c>
      <c r="BM14" s="946">
        <f t="shared" si="49"/>
        <v>4.2425593626159408</v>
      </c>
      <c r="BN14" s="946">
        <f t="shared" si="49"/>
        <v>4.2425593626159408</v>
      </c>
      <c r="BO14" s="946">
        <f t="shared" si="49"/>
        <v>4.2425593626159408</v>
      </c>
      <c r="BP14" s="946">
        <f t="shared" si="49"/>
        <v>4.2425593626159408</v>
      </c>
      <c r="BQ14" s="946">
        <f t="shared" si="49"/>
        <v>4.2425593626159408</v>
      </c>
      <c r="BR14" s="946">
        <f t="shared" si="49"/>
        <v>4.2425593626159408</v>
      </c>
      <c r="BS14" s="946">
        <f t="shared" si="49"/>
        <v>4.2425593626159408</v>
      </c>
      <c r="BT14" s="946">
        <f t="shared" si="49"/>
        <v>4.2425593626159408</v>
      </c>
      <c r="BU14" s="946">
        <f t="shared" si="49"/>
        <v>4.2425593626159408</v>
      </c>
      <c r="BV14" s="946">
        <f t="shared" si="49"/>
        <v>4.2425593626159408</v>
      </c>
      <c r="BW14" s="1384">
        <f>+BV14*BW$137/BV$137</f>
        <v>4.2527568062628252</v>
      </c>
      <c r="BX14" s="1384">
        <f t="shared" ref="BX14:CZ14" si="50">+BW14*BX$137/BW$137</f>
        <v>4.2629787605524712</v>
      </c>
      <c r="BY14" s="1384">
        <f t="shared" si="50"/>
        <v>4.2732252843988219</v>
      </c>
      <c r="BZ14" s="1384">
        <f t="shared" si="50"/>
        <v>4.2834964368574244</v>
      </c>
      <c r="CA14" s="1384">
        <f t="shared" si="50"/>
        <v>4.2937922771257746</v>
      </c>
      <c r="CB14" s="1384">
        <f t="shared" si="50"/>
        <v>4.302804903291757</v>
      </c>
      <c r="CC14" s="1384">
        <f t="shared" si="50"/>
        <v>4.3118364468680763</v>
      </c>
      <c r="CD14" s="1384">
        <f t="shared" si="50"/>
        <v>4.3208869475621841</v>
      </c>
      <c r="CE14" s="1384">
        <f t="shared" si="50"/>
        <v>4.3299564451648767</v>
      </c>
      <c r="CF14" s="1384">
        <f t="shared" si="50"/>
        <v>4.3390449795504713</v>
      </c>
      <c r="CG14" s="1384">
        <f t="shared" si="50"/>
        <v>4.3502256342328796</v>
      </c>
      <c r="CH14" s="1384">
        <f t="shared" si="50"/>
        <v>4.361435098720146</v>
      </c>
      <c r="CI14" s="1384">
        <f t="shared" si="50"/>
        <v>4.3726734472480695</v>
      </c>
      <c r="CJ14" s="1384">
        <f t="shared" si="50"/>
        <v>4.3839407542437394</v>
      </c>
      <c r="CK14" s="1384">
        <f t="shared" si="50"/>
        <v>4.3952370943260251</v>
      </c>
      <c r="CL14" s="1384">
        <f t="shared" si="50"/>
        <v>4.4046447412304142</v>
      </c>
      <c r="CM14" s="1384">
        <f t="shared" si="50"/>
        <v>4.4140725244365262</v>
      </c>
      <c r="CN14" s="1384">
        <f t="shared" si="50"/>
        <v>4.4235204870444758</v>
      </c>
      <c r="CO14" s="1384">
        <f t="shared" si="50"/>
        <v>4.4329886722466272</v>
      </c>
      <c r="CP14" s="1384">
        <f t="shared" si="50"/>
        <v>4.4424771233277953</v>
      </c>
      <c r="CQ14" s="1384">
        <f t="shared" si="50"/>
        <v>4.4511618127714661</v>
      </c>
      <c r="CR14" s="1384">
        <f t="shared" si="50"/>
        <v>4.4598634800922632</v>
      </c>
      <c r="CS14" s="1384">
        <f t="shared" si="50"/>
        <v>4.4685821584805847</v>
      </c>
      <c r="CT14" s="1384">
        <f t="shared" si="50"/>
        <v>4.4773178811917154</v>
      </c>
      <c r="CU14" s="1384">
        <f t="shared" si="50"/>
        <v>4.486070681545951</v>
      </c>
      <c r="CV14" s="1384">
        <f t="shared" si="50"/>
        <v>4.4964044657748525</v>
      </c>
      <c r="CW14" s="1384">
        <f t="shared" si="50"/>
        <v>4.5067620541531026</v>
      </c>
      <c r="CX14" s="1384">
        <f t="shared" si="50"/>
        <v>4.5171435015141972</v>
      </c>
      <c r="CY14" s="1384">
        <f t="shared" si="50"/>
        <v>4.5275488628179446</v>
      </c>
      <c r="CZ14" s="1384">
        <f t="shared" si="50"/>
        <v>4.537978193150753</v>
      </c>
    </row>
    <row r="15" spans="1:104" x14ac:dyDescent="0.2">
      <c r="A15" s="951" t="str">
        <f>'HyARC Physical Property Data'!A79</f>
        <v>Electric Utility Steam Coal</v>
      </c>
      <c r="B15" s="260">
        <v>2007</v>
      </c>
      <c r="C15" s="855">
        <f>VLOOKUP(ref_year,DeflatorTable,2,FALSE)/VLOOKUP(B15,DeflatorTable,2,FALSE)</f>
        <v>1.1446359956438654</v>
      </c>
      <c r="D15" s="1241" t="str">
        <f>+'HyARC Physical Property Data'!$H$79</f>
        <v>kg</v>
      </c>
      <c r="E15" s="882" t="s">
        <v>1053</v>
      </c>
      <c r="F15" s="260">
        <f>'HyARC Physical Property Data'!E42</f>
        <v>22.7322030001394</v>
      </c>
      <c r="G15" s="260">
        <f>'HyARC Physical Property Data'!I42</f>
        <v>23.967615189707661</v>
      </c>
      <c r="H15" s="260">
        <f>1.73552525043488*($C$15/mmBTU_to_GJ*$G$15/$F$15)</f>
        <v>1.9853138567637905</v>
      </c>
      <c r="I15" s="260">
        <f>1.73552525043488*($C$15/mmBTU_to_GJ*$G$15/$F$15)</f>
        <v>1.9853138567637905</v>
      </c>
      <c r="J15" s="260">
        <f>1.73552525043488*($C$15/mmBTU_to_GJ*$G$15/$F$15)</f>
        <v>1.9853138567637905</v>
      </c>
      <c r="K15" s="260">
        <f>1.78000020980835*($C$15/mmBTU_to_GJ*$G$15/$F$15)</f>
        <v>2.0361899549945894</v>
      </c>
      <c r="L15" s="260">
        <f>1.9310736656189*($C$15/mmBTU_to_GJ*$G$15/$F$15)</f>
        <v>2.2090069307975759</v>
      </c>
      <c r="M15" s="260">
        <f>1.98230564594269*($C$15/mmBTU_to_GJ*$G$15/$F$15)</f>
        <v>2.2676125664233231</v>
      </c>
      <c r="N15" s="260">
        <f>1.86225914955139*($C$15/mmBTU_to_GJ*$G$15/$F$15)</f>
        <v>2.13028816121408</v>
      </c>
      <c r="O15" s="260">
        <f>1.87335216999054*($C$15/mmBTU_to_GJ*$G$15/$F$15)</f>
        <v>2.1429777646558565</v>
      </c>
      <c r="P15" s="260">
        <f>1.85759365558624*($C$15/mmBTU_to_GJ*$G$15/$F$15)</f>
        <v>2.1249511776033034</v>
      </c>
      <c r="Q15" s="260">
        <f>1.88174879550934*($C$15/mmBTU_to_GJ*$G$15/$F$15)</f>
        <v>2.152582889668214</v>
      </c>
      <c r="R15" s="260">
        <f>1.90431761741638*($C$15/mmBTU_to_GJ*$G$15/$F$15)</f>
        <v>2.1783999700314376</v>
      </c>
      <c r="S15" s="260">
        <f>1.90719401836395*($C$15/mmBTU_to_GJ*$G$15/$F$15)</f>
        <v>2.1816903621806665</v>
      </c>
      <c r="T15" s="260">
        <f>1.91704928874969*($C$15/mmBTU_to_GJ*$G$15/$F$15)</f>
        <v>2.1929640701570041</v>
      </c>
      <c r="U15" s="260">
        <f>1.92595064640045*($C$15/mmBTU_to_GJ*$G$15/$F$15)</f>
        <v>2.203146571785048</v>
      </c>
      <c r="V15" s="260">
        <f>1.94080138206482*($C$15/mmBTU_to_GJ*$G$15/$F$15)</f>
        <v>2.2201347264029208</v>
      </c>
      <c r="W15" s="260">
        <f>1.94636797904968*($C$15/mmBTU_to_GJ*$G$15/$F$15)</f>
        <v>2.2265025059130679</v>
      </c>
      <c r="X15" s="260">
        <f>1.95628917217255*($C$15/mmBTU_to_GJ*$G$15/$F$15)</f>
        <v>2.2378516246755447</v>
      </c>
      <c r="Y15" s="260">
        <f>1.96225011348724*($C$15/mmBTU_to_GJ*$G$15/$F$15)</f>
        <v>2.2446705052354474</v>
      </c>
      <c r="Z15" s="260">
        <f>1.97535526752472*($C$15/mmBTU_to_GJ*$G$15/$F$15)</f>
        <v>2.2596618422379557</v>
      </c>
      <c r="AA15" s="260">
        <f>1.98115420341492*($C$15/mmBTU_to_GJ*$G$15/$F$15)</f>
        <v>2.2662954004500389</v>
      </c>
      <c r="AB15" s="260">
        <f>1.98549652099609*($C$15/mmBTU_to_GJ*$G$15/$F$15)</f>
        <v>2.2712626939320582</v>
      </c>
      <c r="AC15" s="260">
        <f>1.98988306522369*($C$15/mmBTU_to_GJ*$G$15/$F$15)</f>
        <v>2.2762805794604768</v>
      </c>
      <c r="AD15" s="260">
        <f>1.99634909629822*($C$15/mmBTU_to_GJ*$G$15/$F$15)</f>
        <v>2.2836772457361834</v>
      </c>
      <c r="AE15" s="260">
        <f>2.00744533538818*($C$15/mmBTU_to_GJ*$G$15/$F$15)</f>
        <v>2.2963705310789013</v>
      </c>
      <c r="AF15" s="260">
        <f>2.02021908760071*($C$15/mmBTU_to_GJ*$G$15/$F$15)</f>
        <v>2.3109827686502347</v>
      </c>
      <c r="AG15" s="260">
        <f>2.03361201286316*($C$15/mmBTU_to_GJ*$G$15/$F$15)</f>
        <v>2.3263032948710327</v>
      </c>
      <c r="AH15" s="260">
        <f>2.04451942443848*($C$15/mmBTU_to_GJ*$G$15/$F$15)</f>
        <v>2.3387805753580104</v>
      </c>
      <c r="AI15" s="260">
        <f>(($BB$15-$AH$15)/20+AH15)</f>
        <v>2.3439232584530902</v>
      </c>
      <c r="AJ15" s="260">
        <f t="shared" ref="AJ15:BA15" si="51">(($BB$15-$AH$15)/20+AI15)</f>
        <v>2.3490659415481701</v>
      </c>
      <c r="AK15" s="260">
        <f t="shared" si="51"/>
        <v>2.3542086246432499</v>
      </c>
      <c r="AL15" s="260">
        <f t="shared" si="51"/>
        <v>2.3593513077383297</v>
      </c>
      <c r="AM15" s="260">
        <f t="shared" si="51"/>
        <v>2.3644939908334095</v>
      </c>
      <c r="AN15" s="260">
        <f t="shared" si="51"/>
        <v>2.3696366739284893</v>
      </c>
      <c r="AO15" s="260">
        <f t="shared" si="51"/>
        <v>2.3747793570235691</v>
      </c>
      <c r="AP15" s="260">
        <f t="shared" si="51"/>
        <v>2.3799220401186489</v>
      </c>
      <c r="AQ15" s="260">
        <f t="shared" si="51"/>
        <v>2.3850647232137288</v>
      </c>
      <c r="AR15" s="260">
        <f t="shared" si="51"/>
        <v>2.3902074063088086</v>
      </c>
      <c r="AS15" s="260">
        <f t="shared" si="51"/>
        <v>2.3953500894038884</v>
      </c>
      <c r="AT15" s="260">
        <f t="shared" si="51"/>
        <v>2.4004927724989682</v>
      </c>
      <c r="AU15" s="260">
        <f t="shared" si="51"/>
        <v>2.405635455594048</v>
      </c>
      <c r="AV15" s="260">
        <f t="shared" si="51"/>
        <v>2.4107781386891278</v>
      </c>
      <c r="AW15" s="260">
        <f t="shared" si="51"/>
        <v>2.4159208217842076</v>
      </c>
      <c r="AX15" s="260">
        <f t="shared" si="51"/>
        <v>2.4210635048792875</v>
      </c>
      <c r="AY15" s="260">
        <f t="shared" si="51"/>
        <v>2.4262061879743673</v>
      </c>
      <c r="AZ15" s="260">
        <f t="shared" si="51"/>
        <v>2.4313488710694471</v>
      </c>
      <c r="BA15" s="260">
        <f t="shared" si="51"/>
        <v>2.4364915541645269</v>
      </c>
      <c r="BB15" s="1057">
        <f>(1.04397747398165*AH15)</f>
        <v>2.4416342372596058</v>
      </c>
      <c r="BC15" s="260">
        <f>(($BQ$15-$BB$15)/15+BB15)</f>
        <v>2.4462649790511035</v>
      </c>
      <c r="BD15" s="260">
        <f t="shared" ref="BD15:BP15" si="52">(($BQ$15-$BB$15)/15+BC15)</f>
        <v>2.4508957208426012</v>
      </c>
      <c r="BE15" s="260">
        <f t="shared" si="52"/>
        <v>2.4555264626340989</v>
      </c>
      <c r="BF15" s="260">
        <f t="shared" si="52"/>
        <v>2.4601572044255966</v>
      </c>
      <c r="BG15" s="260">
        <f t="shared" si="52"/>
        <v>2.4647879462170943</v>
      </c>
      <c r="BH15" s="260">
        <f t="shared" si="52"/>
        <v>2.469418688008592</v>
      </c>
      <c r="BI15" s="260">
        <f t="shared" si="52"/>
        <v>2.4740494298000897</v>
      </c>
      <c r="BJ15" s="260">
        <f t="shared" si="52"/>
        <v>2.4786801715915874</v>
      </c>
      <c r="BK15" s="260">
        <f t="shared" si="52"/>
        <v>2.4833109133830851</v>
      </c>
      <c r="BL15" s="260">
        <f t="shared" si="52"/>
        <v>2.4879416551745828</v>
      </c>
      <c r="BM15" s="260">
        <f t="shared" si="52"/>
        <v>2.4925723969660805</v>
      </c>
      <c r="BN15" s="260">
        <f t="shared" si="52"/>
        <v>2.4972031387575782</v>
      </c>
      <c r="BO15" s="260">
        <f t="shared" si="52"/>
        <v>2.5018338805490759</v>
      </c>
      <c r="BP15" s="260">
        <f t="shared" si="52"/>
        <v>2.5064646223405735</v>
      </c>
      <c r="BQ15" s="1057">
        <f>(1.02844862093285*BB15)</f>
        <v>2.511095364132073</v>
      </c>
      <c r="BR15" s="260">
        <f>(($BV$15-$BQ$15)/5+BQ15)</f>
        <v>2.5158578441414332</v>
      </c>
      <c r="BS15" s="260">
        <f>(($BV$15-$BQ$15)/5+BR15)</f>
        <v>2.5206203241507934</v>
      </c>
      <c r="BT15" s="260">
        <f>(($BV$15-$BQ$15)/5+BS15)</f>
        <v>2.5253828041601536</v>
      </c>
      <c r="BU15" s="260">
        <f>(($BV$15-$BQ$15)/5+BT15)</f>
        <v>2.5301452841695138</v>
      </c>
      <c r="BV15" s="1060">
        <f>(1.00948287364428*BQ15)</f>
        <v>2.5349077641788749</v>
      </c>
      <c r="BW15" s="1384">
        <f>+BV15*BW$138/BV$138</f>
        <v>2.5434781738814416</v>
      </c>
      <c r="BX15" s="1384">
        <f t="shared" ref="BX15:CZ15" si="53">+BW15*BX$138/BW$138</f>
        <v>2.5520775597556495</v>
      </c>
      <c r="BY15" s="1384">
        <f t="shared" si="53"/>
        <v>2.5607060197686384</v>
      </c>
      <c r="BZ15" s="1384">
        <f t="shared" si="53"/>
        <v>2.5693636522187702</v>
      </c>
      <c r="CA15" s="1384">
        <f t="shared" si="53"/>
        <v>2.5780505557367492</v>
      </c>
      <c r="CB15" s="1384">
        <f t="shared" si="53"/>
        <v>2.5854319192311639</v>
      </c>
      <c r="CC15" s="1384">
        <f t="shared" si="53"/>
        <v>2.592834416728135</v>
      </c>
      <c r="CD15" s="1384">
        <f t="shared" si="53"/>
        <v>2.6002581087376306</v>
      </c>
      <c r="CE15" s="1384">
        <f t="shared" si="53"/>
        <v>2.6077030559428676</v>
      </c>
      <c r="CF15" s="1384">
        <f t="shared" si="53"/>
        <v>2.6151693192008074</v>
      </c>
      <c r="CG15" s="1384">
        <f t="shared" si="53"/>
        <v>2.620869818974227</v>
      </c>
      <c r="CH15" s="1384">
        <f t="shared" si="53"/>
        <v>2.6265827445961101</v>
      </c>
      <c r="CI15" s="1384">
        <f t="shared" si="53"/>
        <v>2.6323081231521006</v>
      </c>
      <c r="CJ15" s="1384">
        <f t="shared" si="53"/>
        <v>2.6380459817868847</v>
      </c>
      <c r="CK15" s="1384">
        <f t="shared" si="53"/>
        <v>2.6437963477043169</v>
      </c>
      <c r="CL15" s="1384">
        <f t="shared" si="53"/>
        <v>2.6476946163242814</v>
      </c>
      <c r="CM15" s="1384">
        <f t="shared" si="53"/>
        <v>2.6515986329279162</v>
      </c>
      <c r="CN15" s="1384">
        <f t="shared" si="53"/>
        <v>2.6555084059906031</v>
      </c>
      <c r="CO15" s="1384">
        <f t="shared" si="53"/>
        <v>2.6594239440002214</v>
      </c>
      <c r="CP15" s="1384">
        <f t="shared" si="53"/>
        <v>2.6633452554571648</v>
      </c>
      <c r="CQ15" s="1384">
        <f t="shared" si="53"/>
        <v>2.6646584413422429</v>
      </c>
      <c r="CR15" s="1384">
        <f t="shared" si="53"/>
        <v>2.6659722747052119</v>
      </c>
      <c r="CS15" s="1384">
        <f t="shared" si="53"/>
        <v>2.6672867558653164</v>
      </c>
      <c r="CT15" s="1384">
        <f t="shared" si="53"/>
        <v>2.6686018851419582</v>
      </c>
      <c r="CU15" s="1384">
        <f t="shared" si="53"/>
        <v>2.6699176628546981</v>
      </c>
      <c r="CV15" s="1384">
        <f t="shared" si="53"/>
        <v>2.6680266065225413</v>
      </c>
      <c r="CW15" s="1384">
        <f t="shared" si="53"/>
        <v>2.6661368895927571</v>
      </c>
      <c r="CX15" s="1384">
        <f t="shared" si="53"/>
        <v>2.6642485111166696</v>
      </c>
      <c r="CY15" s="1384">
        <f t="shared" si="53"/>
        <v>2.662361470146275</v>
      </c>
      <c r="CZ15" s="1384">
        <f t="shared" si="53"/>
        <v>2.6604757657342417</v>
      </c>
    </row>
    <row r="16" spans="1:104" x14ac:dyDescent="0.2">
      <c r="A16" s="945" t="str">
        <f>'HyARC Physical Property Data'!A76</f>
        <v>Commercial Electricity</v>
      </c>
      <c r="B16" s="260">
        <v>2007</v>
      </c>
      <c r="C16" s="855">
        <f t="shared" si="37"/>
        <v>1.1446359956438654</v>
      </c>
      <c r="D16" s="1241" t="str">
        <f>'HyARC Physical Property Data'!$H$76</f>
        <v>kWh</v>
      </c>
      <c r="E16" s="855" t="s">
        <v>1072</v>
      </c>
      <c r="F16" s="855"/>
      <c r="G16" s="855"/>
      <c r="H16" s="260">
        <f>(28.3762531280518/(mmBTU_to_GJ))*($C$16)</f>
        <v>30.787185546796138</v>
      </c>
      <c r="I16" s="260">
        <f>(28.3762531280518/(mmBTU_to_GJ))*($C$16)</f>
        <v>30.787185546796138</v>
      </c>
      <c r="J16" s="260">
        <f>(28.3762531280518/(mmBTU_to_GJ))*($C$16)</f>
        <v>30.787185546796138</v>
      </c>
      <c r="K16" s="260">
        <f>(28.0297355651855/(mmBTU_to_GJ))*($C$16)</f>
        <v>30.411226802170969</v>
      </c>
      <c r="L16" s="260">
        <f>(29.057315826416/(mmBTU_to_GJ))*($C$16)</f>
        <v>31.52611339498382</v>
      </c>
      <c r="M16" s="260">
        <f>(27.6067714691162/(mmBTU_to_GJ))*($C$16)</f>
        <v>29.952326395321784</v>
      </c>
      <c r="N16" s="260">
        <f>(24.8355846405029/(mmBTU_to_GJ))*($C$16)</f>
        <v>26.94569113969624</v>
      </c>
      <c r="O16" s="260">
        <f>(25.5812511444092/(mmBTU_to_GJ))*($C$16)</f>
        <v>27.754711728432792</v>
      </c>
      <c r="P16" s="260">
        <f>(25.4402256011963/(mmBTU_to_GJ))*($C$16)</f>
        <v>27.601704227895624</v>
      </c>
      <c r="Q16" s="260">
        <f>(25.4701290130615/(mmBTU_to_GJ))*($C$16)</f>
        <v>27.634148324211708</v>
      </c>
      <c r="R16" s="260">
        <f>(25.6722831726074/(mmBTU_to_GJ))*($C$16)</f>
        <v>27.853478113486943</v>
      </c>
      <c r="S16" s="260">
        <f>(25.7632827758789/(mmBTU_to_GJ))*($C$16)</f>
        <v>27.952209318694404</v>
      </c>
      <c r="T16" s="260">
        <f>(26.1006698608398/(mmBTU_to_GJ))*($C$16)</f>
        <v>28.31826183235469</v>
      </c>
      <c r="U16" s="260">
        <f>(26.4680442810059/(mmBTU_to_GJ))*($C$16)</f>
        <v>28.716849496052234</v>
      </c>
      <c r="V16" s="260">
        <f>(26.885612487793/(mmBTU_to_GJ))*($C$16)</f>
        <v>29.169895562521408</v>
      </c>
      <c r="W16" s="260">
        <f>(27.1694507598877/(mmBTU_to_GJ))*($C$16)</f>
        <v>29.477849593972547</v>
      </c>
      <c r="X16" s="260">
        <f>(27.6201095581055/(mmBTU_to_GJ))*($C$16)</f>
        <v>29.966797728753303</v>
      </c>
      <c r="Y16" s="260">
        <f>(28.0024471282958/(mmBTU_to_GJ))*($C$16)</f>
        <v>30.381619857025179</v>
      </c>
      <c r="Z16" s="260">
        <f>(28.2454071044922/(mmBTU_to_GJ))*($C$16)</f>
        <v>30.645222448736249</v>
      </c>
      <c r="AA16" s="260">
        <f>(28.1863746643066/(mmBTU_to_GJ))*($C$16)</f>
        <v>30.581174433620486</v>
      </c>
      <c r="AB16" s="260">
        <f>(28.2032489776611/(mmBTU_to_GJ))*($C$16)</f>
        <v>30.599482439750659</v>
      </c>
      <c r="AC16" s="260">
        <f>(28.1397113800049/(mmBTU_to_GJ))*($C$16)</f>
        <v>30.530546495339259</v>
      </c>
      <c r="AD16" s="260">
        <f>(28.178466796875/(mmBTU_to_GJ))*($C$16)</f>
        <v>30.572594689818597</v>
      </c>
      <c r="AE16" s="260">
        <f>(28.4951820373535/(mmBTU_to_GJ))*($C$16)</f>
        <v>30.916219016473285</v>
      </c>
      <c r="AF16" s="260">
        <f>(28.9155654907227/(mmBTU_to_GJ))*($C$16)</f>
        <v>31.372319521401678</v>
      </c>
      <c r="AG16" s="260">
        <f>(29.2894115447998/(mmBTU_to_GJ))*($C$16)</f>
        <v>31.777928668630185</v>
      </c>
      <c r="AH16" s="260">
        <f>(29.6516952514648/(mmBTU_to_GJ))*($C$16)</f>
        <v>32.170993096387576</v>
      </c>
      <c r="AI16" s="260">
        <f t="shared" ref="AI16:BA18" si="54">($BB16-$AH16)/20+AH16</f>
        <v>32.16150778317737</v>
      </c>
      <c r="AJ16" s="260">
        <f t="shared" si="54"/>
        <v>32.152022469967164</v>
      </c>
      <c r="AK16" s="260">
        <f t="shared" si="54"/>
        <v>32.142537156756958</v>
      </c>
      <c r="AL16" s="260">
        <f t="shared" si="54"/>
        <v>32.133051843546752</v>
      </c>
      <c r="AM16" s="260">
        <f t="shared" si="54"/>
        <v>32.123566530336547</v>
      </c>
      <c r="AN16" s="260">
        <f t="shared" si="54"/>
        <v>32.114081217126341</v>
      </c>
      <c r="AO16" s="260">
        <f t="shared" si="54"/>
        <v>32.104595903916135</v>
      </c>
      <c r="AP16" s="260">
        <f t="shared" si="54"/>
        <v>32.095110590705929</v>
      </c>
      <c r="AQ16" s="260">
        <f t="shared" si="54"/>
        <v>32.085625277495723</v>
      </c>
      <c r="AR16" s="260">
        <f t="shared" si="54"/>
        <v>32.076139964285517</v>
      </c>
      <c r="AS16" s="260">
        <f t="shared" si="54"/>
        <v>32.066654651075311</v>
      </c>
      <c r="AT16" s="260">
        <f t="shared" si="54"/>
        <v>32.057169337865105</v>
      </c>
      <c r="AU16" s="260">
        <f t="shared" si="54"/>
        <v>32.047684024654899</v>
      </c>
      <c r="AV16" s="260">
        <f t="shared" si="54"/>
        <v>32.038198711444693</v>
      </c>
      <c r="AW16" s="260">
        <f t="shared" si="54"/>
        <v>32.028713398234487</v>
      </c>
      <c r="AX16" s="260">
        <f t="shared" si="54"/>
        <v>32.019228085024281</v>
      </c>
      <c r="AY16" s="260">
        <f t="shared" si="54"/>
        <v>32.009742771814075</v>
      </c>
      <c r="AZ16" s="260">
        <f t="shared" si="54"/>
        <v>32.000257458603869</v>
      </c>
      <c r="BA16" s="260">
        <f t="shared" si="54"/>
        <v>31.990772145393663</v>
      </c>
      <c r="BB16" s="1057">
        <f>0.994103189054944*AH16</f>
        <v>31.981286832183478</v>
      </c>
      <c r="BC16" s="260">
        <f t="shared" ref="BC16:BP18" si="55">($BQ16-$BB16)/15+BB16</f>
        <v>32.001602863802262</v>
      </c>
      <c r="BD16" s="260">
        <f t="shared" si="55"/>
        <v>32.021918895421045</v>
      </c>
      <c r="BE16" s="260">
        <f t="shared" si="55"/>
        <v>32.042234927039829</v>
      </c>
      <c r="BF16" s="260">
        <f t="shared" si="55"/>
        <v>32.062550958658612</v>
      </c>
      <c r="BG16" s="260">
        <f t="shared" si="55"/>
        <v>32.082866990277395</v>
      </c>
      <c r="BH16" s="260">
        <f t="shared" si="55"/>
        <v>32.103183021896179</v>
      </c>
      <c r="BI16" s="260">
        <f t="shared" si="55"/>
        <v>32.123499053514962</v>
      </c>
      <c r="BJ16" s="260">
        <f t="shared" si="55"/>
        <v>32.143815085133745</v>
      </c>
      <c r="BK16" s="260">
        <f t="shared" si="55"/>
        <v>32.164131116752529</v>
      </c>
      <c r="BL16" s="260">
        <f t="shared" si="55"/>
        <v>32.184447148371312</v>
      </c>
      <c r="BM16" s="260">
        <f t="shared" si="55"/>
        <v>32.204763179990096</v>
      </c>
      <c r="BN16" s="260">
        <f t="shared" si="55"/>
        <v>32.225079211608879</v>
      </c>
      <c r="BO16" s="260">
        <f t="shared" si="55"/>
        <v>32.245395243227662</v>
      </c>
      <c r="BP16" s="260">
        <f t="shared" si="55"/>
        <v>32.265711274846446</v>
      </c>
      <c r="BQ16" s="1057">
        <f>1.00952871208344*BB16</f>
        <v>32.286027306465265</v>
      </c>
      <c r="BR16" s="260">
        <f t="shared" ref="BR16:BU18" si="56">($BV16-$BQ16)/5+BQ16</f>
        <v>32.306536923700044</v>
      </c>
      <c r="BS16" s="260">
        <f t="shared" si="56"/>
        <v>32.327046540934823</v>
      </c>
      <c r="BT16" s="260">
        <f t="shared" si="56"/>
        <v>32.347556158169603</v>
      </c>
      <c r="BU16" s="260">
        <f t="shared" si="56"/>
        <v>32.368065775404382</v>
      </c>
      <c r="BV16" s="1060">
        <f>1.00317623736115*BQ16</f>
        <v>32.388575392639169</v>
      </c>
      <c r="BW16" s="1384">
        <f>+BV16*BW$139/BV$139</f>
        <v>32.37431458077026</v>
      </c>
      <c r="BX16" s="1384">
        <f t="shared" ref="BX16:CZ16" si="57">+BW16*BX$139/BW$139</f>
        <v>32.360060047990594</v>
      </c>
      <c r="BY16" s="1384">
        <f t="shared" si="57"/>
        <v>32.345811791535453</v>
      </c>
      <c r="BZ16" s="1384">
        <f t="shared" si="57"/>
        <v>32.331569808641355</v>
      </c>
      <c r="CA16" s="1384">
        <f t="shared" si="57"/>
        <v>32.317334096546027</v>
      </c>
      <c r="CB16" s="1384">
        <f t="shared" si="57"/>
        <v>32.291448416621037</v>
      </c>
      <c r="CC16" s="1384">
        <f t="shared" si="57"/>
        <v>32.265583470721417</v>
      </c>
      <c r="CD16" s="1384">
        <f t="shared" si="57"/>
        <v>32.239739242239537</v>
      </c>
      <c r="CE16" s="1384">
        <f t="shared" si="57"/>
        <v>32.213915714581077</v>
      </c>
      <c r="CF16" s="1384">
        <f t="shared" si="57"/>
        <v>32.188112871164996</v>
      </c>
      <c r="CG16" s="1384">
        <f t="shared" si="57"/>
        <v>32.152568008354812</v>
      </c>
      <c r="CH16" s="1384">
        <f t="shared" si="57"/>
        <v>32.11706239721736</v>
      </c>
      <c r="CI16" s="1384">
        <f t="shared" si="57"/>
        <v>32.081595994407593</v>
      </c>
      <c r="CJ16" s="1384">
        <f t="shared" si="57"/>
        <v>32.046168756628319</v>
      </c>
      <c r="CK16" s="1384">
        <f t="shared" si="57"/>
        <v>32.010780640630173</v>
      </c>
      <c r="CL16" s="1384">
        <f t="shared" si="57"/>
        <v>31.972198945666406</v>
      </c>
      <c r="CM16" s="1384">
        <f t="shared" si="57"/>
        <v>31.933663752136113</v>
      </c>
      <c r="CN16" s="1384">
        <f t="shared" si="57"/>
        <v>31.895175003992414</v>
      </c>
      <c r="CO16" s="1384">
        <f t="shared" si="57"/>
        <v>31.856732645255992</v>
      </c>
      <c r="CP16" s="1384">
        <f t="shared" si="57"/>
        <v>31.818336620015</v>
      </c>
      <c r="CQ16" s="1384">
        <f t="shared" si="57"/>
        <v>31.773863996680806</v>
      </c>
      <c r="CR16" s="1384">
        <f t="shared" si="57"/>
        <v>31.729453532919873</v>
      </c>
      <c r="CS16" s="1384">
        <f t="shared" si="57"/>
        <v>31.685105141851508</v>
      </c>
      <c r="CT16" s="1384">
        <f t="shared" si="57"/>
        <v>31.640818736716444</v>
      </c>
      <c r="CU16" s="1384">
        <f t="shared" si="57"/>
        <v>31.596594230876679</v>
      </c>
      <c r="CV16" s="1384">
        <f t="shared" si="57"/>
        <v>31.553423239824536</v>
      </c>
      <c r="CW16" s="1384">
        <f t="shared" si="57"/>
        <v>31.510311234068549</v>
      </c>
      <c r="CX16" s="1384">
        <f t="shared" si="57"/>
        <v>31.467258133016063</v>
      </c>
      <c r="CY16" s="1384">
        <f t="shared" si="57"/>
        <v>31.424263856184528</v>
      </c>
      <c r="CZ16" s="1384">
        <f t="shared" si="57"/>
        <v>31.381328323201359</v>
      </c>
    </row>
    <row r="17" spans="1:104" x14ac:dyDescent="0.2">
      <c r="A17" s="945" t="str">
        <f>'HyARC Physical Property Data'!A77</f>
        <v>Industrial Electricity</v>
      </c>
      <c r="B17" s="260">
        <v>2007</v>
      </c>
      <c r="C17" s="855">
        <f t="shared" si="37"/>
        <v>1.1446359956438654</v>
      </c>
      <c r="D17" s="945" t="str">
        <f>'HyARC Physical Property Data'!$H$77</f>
        <v>kWh</v>
      </c>
      <c r="E17" s="855" t="s">
        <v>1072</v>
      </c>
      <c r="F17" s="855"/>
      <c r="G17" s="855"/>
      <c r="H17" s="260">
        <f>(18.4008941650391/(mmBTU_to_GJ))*($C$17)</f>
        <v>19.964289870461542</v>
      </c>
      <c r="I17" s="260">
        <f>(18.4008941650391/(mmBTU_to_GJ))*($C$17)</f>
        <v>19.964289870461542</v>
      </c>
      <c r="J17" s="260">
        <f>(18.4008941650391/(mmBTU_to_GJ))*($C$17)</f>
        <v>19.964289870461542</v>
      </c>
      <c r="K17" s="260">
        <f>(18.6226921081543/(mmBTU_to_GJ))*($C$17)</f>
        <v>20.204932438660048</v>
      </c>
      <c r="L17" s="260">
        <f>(20.3344097137451/(mmBTU_to_GJ))*($C$17)</f>
        <v>22.062082756893755</v>
      </c>
      <c r="M17" s="260">
        <f>(19.1594867706299/(mmBTU_to_GJ))*($C$17)</f>
        <v>20.787334801635478</v>
      </c>
      <c r="N17" s="260">
        <f>(16.8281726837158/(mmBTU_to_GJ))*($C$17)</f>
        <v>18.257945208238802</v>
      </c>
      <c r="O17" s="260">
        <f>(17.2643089294434/(mmBTU_to_GJ))*($C$17)</f>
        <v>18.731136910480302</v>
      </c>
      <c r="P17" s="260">
        <f>(17.1560707092285/(mmBTU_to_GJ))*($C$17)</f>
        <v>18.61370244321737</v>
      </c>
      <c r="Q17" s="260">
        <f>(17.0836048126221/(mmBTU_to_GJ))*($C$17)</f>
        <v>18.535079624532727</v>
      </c>
      <c r="R17" s="260">
        <f>(17.1988334655762/(mmBTU_to_GJ))*($C$17)</f>
        <v>18.660098452874735</v>
      </c>
      <c r="S17" s="260">
        <f>(17.3181438446045/(mmBTU_to_GJ))*($C$17)</f>
        <v>18.789545803101944</v>
      </c>
      <c r="T17" s="260">
        <f>(17.6150741577148/(mmBTU_to_GJ))*($C$17)</f>
        <v>19.111704215029771</v>
      </c>
      <c r="U17" s="260">
        <f>(17.9101543426514/(mmBTU_to_GJ))*($C$17)</f>
        <v>19.431855306290132</v>
      </c>
      <c r="V17" s="260">
        <f>(18.2101707458496/(mmBTU_to_GJ))*($C$17)</f>
        <v>19.757362011867627</v>
      </c>
      <c r="W17" s="260">
        <f>(18.456880569458/(mmBTU_to_GJ))*($C$17)</f>
        <v>20.025033049385286</v>
      </c>
      <c r="X17" s="260">
        <f>(18.8030014038086/(mmBTU_to_GJ))*($C$17)</f>
        <v>20.400561358238349</v>
      </c>
      <c r="Y17" s="260">
        <f>(19.0852069854736/(mmBTU_to_GJ))*($C$17)</f>
        <v>20.706743980935386</v>
      </c>
      <c r="Z17" s="260">
        <f>(19.30615234375/(mmBTU_to_GJ))*($C$17)</f>
        <v>20.946461526104674</v>
      </c>
      <c r="AA17" s="260">
        <f>(19.3043308258057/(mmBTU_to_GJ))*($C$17)</f>
        <v>20.944485246478358</v>
      </c>
      <c r="AB17" s="260">
        <f>(19.3253479003906/(mmBTU_to_GJ))*($C$17)</f>
        <v>20.967287995381685</v>
      </c>
      <c r="AC17" s="260">
        <f>(19.3248138427734/(mmBTU_to_GJ))*($C$17)</f>
        <v>20.966708562611643</v>
      </c>
      <c r="AD17" s="260">
        <f>(19.3542194366455/(mmBTU_to_GJ))*($C$17)</f>
        <v>20.998612544810026</v>
      </c>
      <c r="AE17" s="260">
        <f>(19.6148834228516/(mmBTU_to_GJ))*($C$17)</f>
        <v>21.281423332847481</v>
      </c>
      <c r="AF17" s="260">
        <f>(19.97239112854/(mmBTU_to_GJ))*($C$17)</f>
        <v>21.669305976118565</v>
      </c>
      <c r="AG17" s="260">
        <f>(20.29469871521/(mmBTU_to_GJ))*($C$17)</f>
        <v>22.018997791636661</v>
      </c>
      <c r="AH17" s="260">
        <f>(20.5609893798828/(mmBTU_to_GJ))*($C$17)</f>
        <v>22.307913317786817</v>
      </c>
      <c r="AI17" s="260">
        <f t="shared" si="54"/>
        <v>22.301336040416132</v>
      </c>
      <c r="AJ17" s="260">
        <f t="shared" si="54"/>
        <v>22.294758763045447</v>
      </c>
      <c r="AK17" s="260">
        <f t="shared" si="54"/>
        <v>22.288181485674762</v>
      </c>
      <c r="AL17" s="260">
        <f t="shared" si="54"/>
        <v>22.281604208304078</v>
      </c>
      <c r="AM17" s="260">
        <f t="shared" si="54"/>
        <v>22.275026930933393</v>
      </c>
      <c r="AN17" s="260">
        <f t="shared" si="54"/>
        <v>22.268449653562708</v>
      </c>
      <c r="AO17" s="260">
        <f t="shared" si="54"/>
        <v>22.261872376192024</v>
      </c>
      <c r="AP17" s="260">
        <f t="shared" si="54"/>
        <v>22.255295098821339</v>
      </c>
      <c r="AQ17" s="260">
        <f t="shared" si="54"/>
        <v>22.248717821450654</v>
      </c>
      <c r="AR17" s="260">
        <f t="shared" si="54"/>
        <v>22.24214054407997</v>
      </c>
      <c r="AS17" s="260">
        <f t="shared" si="54"/>
        <v>22.235563266709285</v>
      </c>
      <c r="AT17" s="260">
        <f t="shared" si="54"/>
        <v>22.2289859893386</v>
      </c>
      <c r="AU17" s="260">
        <f t="shared" si="54"/>
        <v>22.222408711967915</v>
      </c>
      <c r="AV17" s="260">
        <f t="shared" si="54"/>
        <v>22.215831434597231</v>
      </c>
      <c r="AW17" s="260">
        <f t="shared" si="54"/>
        <v>22.209254157226546</v>
      </c>
      <c r="AX17" s="260">
        <f t="shared" si="54"/>
        <v>22.202676879855861</v>
      </c>
      <c r="AY17" s="260">
        <f t="shared" si="54"/>
        <v>22.196099602485177</v>
      </c>
      <c r="AZ17" s="260">
        <f t="shared" si="54"/>
        <v>22.189522325114492</v>
      </c>
      <c r="BA17" s="260">
        <f t="shared" si="54"/>
        <v>22.182945047743807</v>
      </c>
      <c r="BB17" s="1057">
        <f>0.994103189054944*AH17</f>
        <v>22.17636777037313</v>
      </c>
      <c r="BC17" s="260">
        <f t="shared" si="55"/>
        <v>22.190455251942488</v>
      </c>
      <c r="BD17" s="260">
        <f t="shared" si="55"/>
        <v>22.204542733511847</v>
      </c>
      <c r="BE17" s="260">
        <f t="shared" si="55"/>
        <v>22.218630215081205</v>
      </c>
      <c r="BF17" s="260">
        <f t="shared" si="55"/>
        <v>22.232717696650564</v>
      </c>
      <c r="BG17" s="260">
        <f t="shared" si="55"/>
        <v>22.246805178219923</v>
      </c>
      <c r="BH17" s="260">
        <f t="shared" si="55"/>
        <v>22.260892659789281</v>
      </c>
      <c r="BI17" s="260">
        <f t="shared" si="55"/>
        <v>22.27498014135864</v>
      </c>
      <c r="BJ17" s="260">
        <f t="shared" si="55"/>
        <v>22.289067622927998</v>
      </c>
      <c r="BK17" s="260">
        <f t="shared" si="55"/>
        <v>22.303155104497357</v>
      </c>
      <c r="BL17" s="260">
        <f t="shared" si="55"/>
        <v>22.317242586066715</v>
      </c>
      <c r="BM17" s="260">
        <f t="shared" si="55"/>
        <v>22.331330067636074</v>
      </c>
      <c r="BN17" s="260">
        <f t="shared" si="55"/>
        <v>22.345417549205433</v>
      </c>
      <c r="BO17" s="260">
        <f t="shared" si="55"/>
        <v>22.359505030774791</v>
      </c>
      <c r="BP17" s="260">
        <f t="shared" si="55"/>
        <v>22.37359251234415</v>
      </c>
      <c r="BQ17" s="1057">
        <f>1.00952871208344*BB17</f>
        <v>22.387679993913494</v>
      </c>
      <c r="BR17" s="260">
        <f t="shared" si="56"/>
        <v>22.401901711038722</v>
      </c>
      <c r="BS17" s="260">
        <f t="shared" si="56"/>
        <v>22.416123428163949</v>
      </c>
      <c r="BT17" s="260">
        <f t="shared" si="56"/>
        <v>22.430345145289177</v>
      </c>
      <c r="BU17" s="260">
        <f t="shared" si="56"/>
        <v>22.444566862414405</v>
      </c>
      <c r="BV17" s="1060">
        <f>1.00317623736115*BQ17</f>
        <v>22.458788579539629</v>
      </c>
      <c r="BW17" s="1384">
        <f>+BV17*BW$140/BV$140</f>
        <v>22.465574719294207</v>
      </c>
      <c r="BX17" s="1384">
        <f t="shared" ref="BX17:CZ17" si="58">+BW17*BX$140/BW$140</f>
        <v>22.472362909546415</v>
      </c>
      <c r="BY17" s="1384">
        <f t="shared" si="58"/>
        <v>22.479153150915831</v>
      </c>
      <c r="BZ17" s="1384">
        <f t="shared" si="58"/>
        <v>22.485945444022224</v>
      </c>
      <c r="CA17" s="1384">
        <f t="shared" si="58"/>
        <v>22.492739789485537</v>
      </c>
      <c r="CB17" s="1384">
        <f t="shared" si="58"/>
        <v>22.49019603346196</v>
      </c>
      <c r="CC17" s="1384">
        <f t="shared" si="58"/>
        <v>22.487652565117642</v>
      </c>
      <c r="CD17" s="1384">
        <f t="shared" si="58"/>
        <v>22.485109384420049</v>
      </c>
      <c r="CE17" s="1384">
        <f t="shared" si="58"/>
        <v>22.482566491336648</v>
      </c>
      <c r="CF17" s="1384">
        <f t="shared" si="58"/>
        <v>22.480023885834914</v>
      </c>
      <c r="CG17" s="1384">
        <f t="shared" si="58"/>
        <v>22.469826748009918</v>
      </c>
      <c r="CH17" s="1384">
        <f t="shared" si="58"/>
        <v>22.459634235696903</v>
      </c>
      <c r="CI17" s="1384">
        <f t="shared" si="58"/>
        <v>22.449446346797696</v>
      </c>
      <c r="CJ17" s="1384">
        <f t="shared" si="58"/>
        <v>22.439263079215074</v>
      </c>
      <c r="CK17" s="1384">
        <f t="shared" si="58"/>
        <v>22.429084430852768</v>
      </c>
      <c r="CL17" s="1384">
        <f t="shared" si="58"/>
        <v>22.41659732007183</v>
      </c>
      <c r="CM17" s="1384">
        <f t="shared" si="58"/>
        <v>22.404117161332831</v>
      </c>
      <c r="CN17" s="1384">
        <f t="shared" si="58"/>
        <v>22.39164395076531</v>
      </c>
      <c r="CO17" s="1384">
        <f t="shared" si="58"/>
        <v>22.379177684500963</v>
      </c>
      <c r="CP17" s="1384">
        <f t="shared" si="58"/>
        <v>22.36671835867363</v>
      </c>
      <c r="CQ17" s="1384">
        <f t="shared" si="58"/>
        <v>22.349648462331068</v>
      </c>
      <c r="CR17" s="1384">
        <f t="shared" si="58"/>
        <v>22.332591593441013</v>
      </c>
      <c r="CS17" s="1384">
        <f t="shared" si="58"/>
        <v>22.315547742061138</v>
      </c>
      <c r="CT17" s="1384">
        <f t="shared" si="58"/>
        <v>22.2985168982567</v>
      </c>
      <c r="CU17" s="1384">
        <f t="shared" si="58"/>
        <v>22.281499052100536</v>
      </c>
      <c r="CV17" s="1384">
        <f t="shared" si="58"/>
        <v>22.265499049909142</v>
      </c>
      <c r="CW17" s="1384">
        <f t="shared" si="58"/>
        <v>22.249510537073537</v>
      </c>
      <c r="CX17" s="1384">
        <f t="shared" si="58"/>
        <v>22.233533505343395</v>
      </c>
      <c r="CY17" s="1384">
        <f t="shared" si="58"/>
        <v>22.217567946474304</v>
      </c>
      <c r="CZ17" s="1384">
        <f t="shared" si="58"/>
        <v>22.20161385222778</v>
      </c>
    </row>
    <row r="18" spans="1:104" ht="13.5" thickBot="1" x14ac:dyDescent="0.25">
      <c r="A18" s="948" t="str">
        <f>'HyARC Physical Property Data'!A78</f>
        <v>Residential Electricity</v>
      </c>
      <c r="B18" s="861">
        <v>2007</v>
      </c>
      <c r="C18" s="862">
        <f t="shared" si="37"/>
        <v>1.1446359956438654</v>
      </c>
      <c r="D18" s="948" t="str">
        <f>'HyARC Physical Property Data'!$H$78</f>
        <v>kWh</v>
      </c>
      <c r="E18" s="862" t="s">
        <v>1072</v>
      </c>
      <c r="F18" s="861"/>
      <c r="G18" s="861"/>
      <c r="H18" s="861">
        <f>(31.2067794799805/(mmBTU_to_GJ))*($C$18)</f>
        <v>33.858201991380128</v>
      </c>
      <c r="I18" s="861">
        <f>(31.2067794799805/(mmBTU_to_GJ))*($C$18)</f>
        <v>33.858201991380128</v>
      </c>
      <c r="J18" s="861">
        <f>(31.2067794799805/(mmBTU_to_GJ))*($C$18)</f>
        <v>33.858201991380128</v>
      </c>
      <c r="K18" s="861">
        <f>(31.181957244873/(mmBTU_to_GJ))*($C$18)</f>
        <v>33.831270783990192</v>
      </c>
      <c r="L18" s="861">
        <f>(31.772819519043/(mmBTU_to_GJ))*($C$18)</f>
        <v>34.472334506722866</v>
      </c>
      <c r="M18" s="861">
        <f>(30.736837387085/(mmBTU_to_GJ))*($C$18)</f>
        <v>33.348332194795859</v>
      </c>
      <c r="N18" s="861">
        <f>(28.6163578033447/(mmBTU_to_GJ))*($C$18)</f>
        <v>31.047690242590104</v>
      </c>
      <c r="O18" s="861">
        <f>(29.8736190795898/(mmBTU_to_GJ))*($C$18)</f>
        <v>32.411772245167633</v>
      </c>
      <c r="P18" s="861">
        <f>(30.101655960083/(mmBTU_to_GJ))*($C$18)</f>
        <v>32.659183829761808</v>
      </c>
      <c r="Q18" s="861">
        <f>(30.4253902435303/(mmBTU_to_GJ))*($C$18)</f>
        <v>33.010423558536921</v>
      </c>
      <c r="R18" s="861">
        <f>(30.7938537597656/(mmBTU_to_GJ))*($C$18)</f>
        <v>33.410192851204634</v>
      </c>
      <c r="S18" s="861">
        <f>(30.8830280303955/(mmBTU_to_GJ))*($C$18)</f>
        <v>33.50694363798025</v>
      </c>
      <c r="T18" s="861">
        <f>(31.1491451263428/(mmBTU_to_GJ))*($C$18)</f>
        <v>33.795670848480235</v>
      </c>
      <c r="U18" s="861">
        <f>(31.4898681640625/(mmBTU_to_GJ))*($C$18)</f>
        <v>34.165342747550469</v>
      </c>
      <c r="V18" s="861">
        <f>(31.8156299591064/(mmBTU_to_GJ))*($C$18)</f>
        <v>34.518782251448862</v>
      </c>
      <c r="W18" s="861">
        <f>(32.0206985473633/(mmBTU_to_GJ))*($C$18)</f>
        <v>34.741274088126325</v>
      </c>
      <c r="X18" s="861">
        <f>(32.4303588867188/(mmBTU_to_GJ))*($C$18)</f>
        <v>35.185740410793606</v>
      </c>
      <c r="Y18" s="861">
        <f>(32.7907905578613/(mmBTU_to_GJ))*($C$18)</f>
        <v>35.576795448480595</v>
      </c>
      <c r="Z18" s="861">
        <f>(32.9940071105957/(mmBTU_to_GJ))*($C$18)</f>
        <v>35.797277895087667</v>
      </c>
      <c r="AA18" s="861">
        <f>(32.9234657287598/(mmBTU_to_GJ))*($C$18)</f>
        <v>35.720743103777878</v>
      </c>
      <c r="AB18" s="861">
        <f>(32.9201545715332/(mmBTU_to_GJ))*($C$18)</f>
        <v>35.717150620603661</v>
      </c>
      <c r="AC18" s="861">
        <f>(32.902271270752/(mmBTU_to_GJ))*($C$18)</f>
        <v>35.69774790041874</v>
      </c>
      <c r="AD18" s="861">
        <f>(32.9582405090332/(mmBTU_to_GJ))*($C$18)</f>
        <v>35.758472454717726</v>
      </c>
      <c r="AE18" s="861">
        <f>(33.321102142334/(mmBTU_to_GJ))*($C$18)</f>
        <v>36.152163911508453</v>
      </c>
      <c r="AF18" s="861">
        <f>(33.7343635559082/(mmBTU_to_GJ))*($C$18)</f>
        <v>36.600537266567883</v>
      </c>
      <c r="AG18" s="861">
        <f>(34.1495399475098/(mmBTU_to_GJ))*($C$18)</f>
        <v>37.050988301988475</v>
      </c>
      <c r="AH18" s="861">
        <f>(34.4904899597167/(mmBTU_to_GJ))*($C$18)</f>
        <v>37.420906459985844</v>
      </c>
      <c r="AI18" s="861">
        <f t="shared" si="54"/>
        <v>37.409873259446485</v>
      </c>
      <c r="AJ18" s="861">
        <f t="shared" si="54"/>
        <v>37.398840058907126</v>
      </c>
      <c r="AK18" s="861">
        <f t="shared" si="54"/>
        <v>37.387806858367767</v>
      </c>
      <c r="AL18" s="861">
        <f t="shared" si="54"/>
        <v>37.376773657828409</v>
      </c>
      <c r="AM18" s="861">
        <f t="shared" si="54"/>
        <v>37.36574045728905</v>
      </c>
      <c r="AN18" s="861">
        <f t="shared" si="54"/>
        <v>37.354707256749691</v>
      </c>
      <c r="AO18" s="861">
        <f t="shared" si="54"/>
        <v>37.343674056210332</v>
      </c>
      <c r="AP18" s="861">
        <f t="shared" si="54"/>
        <v>37.332640855670974</v>
      </c>
      <c r="AQ18" s="861">
        <f t="shared" si="54"/>
        <v>37.321607655131615</v>
      </c>
      <c r="AR18" s="861">
        <f t="shared" si="54"/>
        <v>37.310574454592256</v>
      </c>
      <c r="AS18" s="861">
        <f t="shared" si="54"/>
        <v>37.299541254052897</v>
      </c>
      <c r="AT18" s="861">
        <f t="shared" si="54"/>
        <v>37.288508053513539</v>
      </c>
      <c r="AU18" s="861">
        <f t="shared" si="54"/>
        <v>37.27747485297418</v>
      </c>
      <c r="AV18" s="861">
        <f t="shared" si="54"/>
        <v>37.266441652434821</v>
      </c>
      <c r="AW18" s="861">
        <f t="shared" si="54"/>
        <v>37.255408451895462</v>
      </c>
      <c r="AX18" s="861">
        <f t="shared" si="54"/>
        <v>37.244375251356104</v>
      </c>
      <c r="AY18" s="861">
        <f t="shared" si="54"/>
        <v>37.233342050816745</v>
      </c>
      <c r="AZ18" s="861">
        <f t="shared" si="54"/>
        <v>37.222308850277386</v>
      </c>
      <c r="BA18" s="861">
        <f t="shared" si="54"/>
        <v>37.211275649738027</v>
      </c>
      <c r="BB18" s="1061">
        <f>0.994103189054944*AH18</f>
        <v>37.200242449198683</v>
      </c>
      <c r="BC18" s="861">
        <f t="shared" si="55"/>
        <v>37.223873809180851</v>
      </c>
      <c r="BD18" s="861">
        <f t="shared" si="55"/>
        <v>37.24750516916302</v>
      </c>
      <c r="BE18" s="861">
        <f t="shared" si="55"/>
        <v>37.271136529145188</v>
      </c>
      <c r="BF18" s="861">
        <f t="shared" si="55"/>
        <v>37.294767889127357</v>
      </c>
      <c r="BG18" s="861">
        <f t="shared" si="55"/>
        <v>37.318399249109525</v>
      </c>
      <c r="BH18" s="861">
        <f t="shared" si="55"/>
        <v>37.342030609091694</v>
      </c>
      <c r="BI18" s="861">
        <f t="shared" si="55"/>
        <v>37.365661969073862</v>
      </c>
      <c r="BJ18" s="861">
        <f t="shared" si="55"/>
        <v>37.389293329056031</v>
      </c>
      <c r="BK18" s="861">
        <f t="shared" si="55"/>
        <v>37.412924689038199</v>
      </c>
      <c r="BL18" s="861">
        <f t="shared" si="55"/>
        <v>37.436556049020368</v>
      </c>
      <c r="BM18" s="861">
        <f t="shared" si="55"/>
        <v>37.460187409002536</v>
      </c>
      <c r="BN18" s="861">
        <f t="shared" si="55"/>
        <v>37.483818768984705</v>
      </c>
      <c r="BO18" s="861">
        <f t="shared" si="55"/>
        <v>37.507450128966873</v>
      </c>
      <c r="BP18" s="861">
        <f t="shared" si="55"/>
        <v>37.531081488949042</v>
      </c>
      <c r="BQ18" s="1061">
        <f>1.00952871208344*BB18</f>
        <v>37.55471284893126</v>
      </c>
      <c r="BR18" s="861">
        <f t="shared" si="56"/>
        <v>37.578569385338866</v>
      </c>
      <c r="BS18" s="861">
        <f t="shared" si="56"/>
        <v>37.602425921746473</v>
      </c>
      <c r="BT18" s="861">
        <f t="shared" si="56"/>
        <v>37.62628245815408</v>
      </c>
      <c r="BU18" s="861">
        <f t="shared" si="56"/>
        <v>37.650138994561686</v>
      </c>
      <c r="BV18" s="1062">
        <f>1.00317623736115*BQ18</f>
        <v>37.673995530969293</v>
      </c>
      <c r="BW18" s="1384">
        <f>+BV18*BW$141/BV$141</f>
        <v>37.657407528684409</v>
      </c>
      <c r="BX18" s="1384">
        <f t="shared" ref="BX18:CZ18" si="59">+BW18*BX$141/BW$141</f>
        <v>37.640826830159476</v>
      </c>
      <c r="BY18" s="1384">
        <f t="shared" si="59"/>
        <v>37.62425343217862</v>
      </c>
      <c r="BZ18" s="1384">
        <f t="shared" si="59"/>
        <v>37.607687331527387</v>
      </c>
      <c r="CA18" s="1384">
        <f t="shared" si="59"/>
        <v>37.59112852499274</v>
      </c>
      <c r="CB18" s="1384">
        <f t="shared" si="59"/>
        <v>37.561018618089207</v>
      </c>
      <c r="CC18" s="1384">
        <f t="shared" si="59"/>
        <v>37.530932828750899</v>
      </c>
      <c r="CD18" s="1384">
        <f t="shared" si="59"/>
        <v>37.500871137660013</v>
      </c>
      <c r="CE18" s="1384">
        <f t="shared" si="59"/>
        <v>37.47083352551423</v>
      </c>
      <c r="CF18" s="1384">
        <f t="shared" si="59"/>
        <v>37.440819973026684</v>
      </c>
      <c r="CG18" s="1384">
        <f t="shared" si="59"/>
        <v>37.399474622500279</v>
      </c>
      <c r="CH18" s="1384">
        <f t="shared" si="59"/>
        <v>37.358174929040445</v>
      </c>
      <c r="CI18" s="1384">
        <f t="shared" si="59"/>
        <v>37.316920842228761</v>
      </c>
      <c r="CJ18" s="1384">
        <f t="shared" si="59"/>
        <v>37.275712311702456</v>
      </c>
      <c r="CK18" s="1384">
        <f t="shared" si="59"/>
        <v>37.234549287154408</v>
      </c>
      <c r="CL18" s="1384">
        <f t="shared" si="59"/>
        <v>37.189671530537417</v>
      </c>
      <c r="CM18" s="1384">
        <f t="shared" si="59"/>
        <v>37.144847863820196</v>
      </c>
      <c r="CN18" s="1384">
        <f t="shared" si="59"/>
        <v>37.100078221809703</v>
      </c>
      <c r="CO18" s="1384">
        <f t="shared" si="59"/>
        <v>37.055362539391488</v>
      </c>
      <c r="CP18" s="1384">
        <f t="shared" si="59"/>
        <v>37.010700751529562</v>
      </c>
      <c r="CQ18" s="1384">
        <f t="shared" si="59"/>
        <v>36.958970738942355</v>
      </c>
      <c r="CR18" s="1384">
        <f t="shared" si="59"/>
        <v>36.907313029611991</v>
      </c>
      <c r="CS18" s="1384">
        <f t="shared" si="59"/>
        <v>36.855727522479896</v>
      </c>
      <c r="CT18" s="1384">
        <f t="shared" si="59"/>
        <v>36.804214116628756</v>
      </c>
      <c r="CU18" s="1384">
        <f t="shared" si="59"/>
        <v>36.752772711282311</v>
      </c>
      <c r="CV18" s="1384">
        <f t="shared" si="59"/>
        <v>36.70255674147662</v>
      </c>
      <c r="CW18" s="1384">
        <f t="shared" si="59"/>
        <v>36.652409382647399</v>
      </c>
      <c r="CX18" s="1384">
        <f t="shared" si="59"/>
        <v>36.602330541050243</v>
      </c>
      <c r="CY18" s="1384">
        <f t="shared" si="59"/>
        <v>36.552320123068824</v>
      </c>
      <c r="CZ18" s="1384">
        <f t="shared" si="59"/>
        <v>36.502378035214747</v>
      </c>
    </row>
    <row r="19" spans="1:104" ht="13.5" thickTop="1" x14ac:dyDescent="0.2">
      <c r="AH19" s="260"/>
    </row>
    <row r="20" spans="1:104" x14ac:dyDescent="0.2">
      <c r="E20" s="260"/>
    </row>
    <row r="21" spans="1:104" ht="13.5" thickBot="1" x14ac:dyDescent="0.25"/>
    <row r="22" spans="1:104" ht="13.5" thickTop="1" x14ac:dyDescent="0.2">
      <c r="A22" s="848" t="s">
        <v>1106</v>
      </c>
      <c r="B22" s="849" t="str">
        <f>"Prices are in $(" &amp; ref_year&amp;")/GJ LHV"</f>
        <v>Prices are in $(2016)/GJ LHV</v>
      </c>
      <c r="C22" s="850"/>
      <c r="D22" s="850"/>
      <c r="E22" s="850"/>
      <c r="F22" s="850"/>
      <c r="G22" s="850"/>
      <c r="H22" s="850"/>
      <c r="I22" s="850"/>
      <c r="J22" s="850"/>
      <c r="K22" s="850"/>
      <c r="L22" s="850"/>
      <c r="M22" s="850"/>
      <c r="N22" s="850"/>
      <c r="O22" s="850"/>
      <c r="P22" s="850"/>
      <c r="Q22" s="850"/>
      <c r="R22" s="850"/>
      <c r="S22" s="850"/>
      <c r="T22" s="850"/>
      <c r="U22" s="850"/>
      <c r="V22" s="850"/>
      <c r="W22" s="850"/>
      <c r="X22" s="850"/>
      <c r="Y22" s="850"/>
      <c r="Z22" s="850"/>
      <c r="AA22" s="850"/>
      <c r="AB22" s="850"/>
      <c r="AC22" s="850"/>
      <c r="AD22" s="850"/>
      <c r="AE22" s="850"/>
      <c r="AF22" s="850"/>
      <c r="AG22" s="850"/>
      <c r="AH22" s="850"/>
      <c r="AI22" s="850"/>
      <c r="AJ22" s="850"/>
      <c r="AK22" s="850"/>
      <c r="AL22" s="850"/>
      <c r="AM22" s="850"/>
      <c r="AN22" s="850"/>
      <c r="AO22" s="850"/>
      <c r="AP22" s="850"/>
      <c r="AQ22" s="850"/>
      <c r="AR22" s="850"/>
      <c r="AS22" s="863" t="s">
        <v>772</v>
      </c>
      <c r="AT22" s="864"/>
      <c r="AU22" s="864"/>
      <c r="AV22" s="864"/>
      <c r="AW22" s="864"/>
      <c r="AX22" s="864"/>
      <c r="AY22" s="864"/>
      <c r="AZ22" s="864"/>
      <c r="BA22" s="864"/>
      <c r="BB22" s="864"/>
      <c r="BC22" s="864"/>
      <c r="BD22" s="864"/>
      <c r="BE22" s="864"/>
      <c r="BF22" s="864"/>
      <c r="BG22" s="864"/>
      <c r="BH22" s="864"/>
      <c r="BI22" s="864"/>
      <c r="BJ22" s="864"/>
      <c r="BK22" s="864"/>
      <c r="BL22" s="864"/>
      <c r="BM22" s="864"/>
      <c r="BN22" s="864"/>
      <c r="BO22" s="864"/>
      <c r="BP22" s="864"/>
      <c r="BQ22" s="864"/>
      <c r="BR22" s="864"/>
      <c r="BS22" s="864"/>
      <c r="BT22" s="864"/>
      <c r="BU22" s="864"/>
      <c r="BV22" s="865"/>
    </row>
    <row r="23" spans="1:104" ht="51.75" thickBot="1" x14ac:dyDescent="0.25">
      <c r="A23" s="868" t="s">
        <v>1085</v>
      </c>
      <c r="B23" s="869" t="s">
        <v>678</v>
      </c>
      <c r="C23" s="869" t="s">
        <v>679</v>
      </c>
      <c r="D23" s="869" t="s">
        <v>690</v>
      </c>
      <c r="E23" s="869" t="s">
        <v>691</v>
      </c>
      <c r="F23" s="870" t="s">
        <v>680</v>
      </c>
      <c r="G23" s="870" t="s">
        <v>692</v>
      </c>
      <c r="H23" s="1048">
        <v>2004</v>
      </c>
      <c r="I23" s="1048">
        <v>2005</v>
      </c>
      <c r="J23" s="1048">
        <v>2006</v>
      </c>
      <c r="K23" s="1048">
        <v>2007</v>
      </c>
      <c r="L23" s="1048">
        <v>2008</v>
      </c>
      <c r="M23" s="1048">
        <v>2009</v>
      </c>
      <c r="N23" s="870">
        <v>2010</v>
      </c>
      <c r="O23" s="870">
        <v>2011</v>
      </c>
      <c r="P23" s="870">
        <v>2012</v>
      </c>
      <c r="Q23" s="870">
        <v>2013</v>
      </c>
      <c r="R23" s="870">
        <v>2014</v>
      </c>
      <c r="S23" s="870">
        <v>2015</v>
      </c>
      <c r="T23" s="870">
        <v>2016</v>
      </c>
      <c r="U23" s="870">
        <v>2017</v>
      </c>
      <c r="V23" s="870">
        <v>2018</v>
      </c>
      <c r="W23" s="870">
        <v>2019</v>
      </c>
      <c r="X23" s="870">
        <v>2020</v>
      </c>
      <c r="Y23" s="870">
        <v>2021</v>
      </c>
      <c r="Z23" s="870">
        <v>2022</v>
      </c>
      <c r="AA23" s="870">
        <v>2023</v>
      </c>
      <c r="AB23" s="870">
        <v>2024</v>
      </c>
      <c r="AC23" s="870">
        <v>2025</v>
      </c>
      <c r="AD23" s="870">
        <v>2026</v>
      </c>
      <c r="AE23" s="870">
        <v>2027</v>
      </c>
      <c r="AF23" s="870">
        <v>2028</v>
      </c>
      <c r="AG23" s="870">
        <v>2029</v>
      </c>
      <c r="AH23" s="870">
        <v>2030</v>
      </c>
      <c r="AI23" s="870">
        <v>2031</v>
      </c>
      <c r="AJ23" s="870">
        <v>2032</v>
      </c>
      <c r="AK23" s="870">
        <v>2033</v>
      </c>
      <c r="AL23" s="870">
        <v>2034</v>
      </c>
      <c r="AM23" s="870">
        <v>2035</v>
      </c>
      <c r="AN23" s="870">
        <v>2036</v>
      </c>
      <c r="AO23" s="870">
        <v>2037</v>
      </c>
      <c r="AP23" s="870">
        <v>2038</v>
      </c>
      <c r="AQ23" s="870">
        <v>2039</v>
      </c>
      <c r="AR23" s="870">
        <v>2040</v>
      </c>
      <c r="AS23" s="870">
        <v>2041</v>
      </c>
      <c r="AT23" s="870">
        <v>2042</v>
      </c>
      <c r="AU23" s="870">
        <v>2043</v>
      </c>
      <c r="AV23" s="870">
        <v>2044</v>
      </c>
      <c r="AW23" s="870">
        <v>2045</v>
      </c>
      <c r="AX23" s="870">
        <v>2046</v>
      </c>
      <c r="AY23" s="870">
        <v>2047</v>
      </c>
      <c r="AZ23" s="870">
        <v>2048</v>
      </c>
      <c r="BA23" s="870">
        <v>2049</v>
      </c>
      <c r="BB23" s="870">
        <v>2050</v>
      </c>
      <c r="BC23" s="870">
        <v>2051</v>
      </c>
      <c r="BD23" s="870">
        <v>2052</v>
      </c>
      <c r="BE23" s="870">
        <v>2053</v>
      </c>
      <c r="BF23" s="870">
        <v>2054</v>
      </c>
      <c r="BG23" s="870">
        <v>2055</v>
      </c>
      <c r="BH23" s="870">
        <v>2056</v>
      </c>
      <c r="BI23" s="870">
        <v>2057</v>
      </c>
      <c r="BJ23" s="870">
        <v>2058</v>
      </c>
      <c r="BK23" s="870">
        <v>2059</v>
      </c>
      <c r="BL23" s="870">
        <v>2060</v>
      </c>
      <c r="BM23" s="870">
        <v>2061</v>
      </c>
      <c r="BN23" s="870">
        <v>2062</v>
      </c>
      <c r="BO23" s="870">
        <v>2063</v>
      </c>
      <c r="BP23" s="870">
        <v>2064</v>
      </c>
      <c r="BQ23" s="870">
        <v>2065</v>
      </c>
      <c r="BR23" s="870">
        <v>2066</v>
      </c>
      <c r="BS23" s="870">
        <v>2067</v>
      </c>
      <c r="BT23" s="870">
        <v>2068</v>
      </c>
      <c r="BU23" s="870">
        <v>2069</v>
      </c>
      <c r="BV23" s="871">
        <v>2070</v>
      </c>
      <c r="BW23" s="1385">
        <f t="shared" ref="BW23" si="60">+BV23+1</f>
        <v>2071</v>
      </c>
      <c r="BX23" s="1385">
        <f t="shared" ref="BX23" si="61">+BW23+1</f>
        <v>2072</v>
      </c>
      <c r="BY23" s="1385">
        <f t="shared" ref="BY23" si="62">+BX23+1</f>
        <v>2073</v>
      </c>
      <c r="BZ23" s="1385">
        <f t="shared" ref="BZ23" si="63">+BY23+1</f>
        <v>2074</v>
      </c>
      <c r="CA23" s="1385">
        <f t="shared" ref="CA23" si="64">+BZ23+1</f>
        <v>2075</v>
      </c>
      <c r="CB23" s="1385">
        <f t="shared" ref="CB23" si="65">+CA23+1</f>
        <v>2076</v>
      </c>
      <c r="CC23" s="1385">
        <f t="shared" ref="CC23" si="66">+CB23+1</f>
        <v>2077</v>
      </c>
      <c r="CD23" s="1385">
        <f t="shared" ref="CD23" si="67">+CC23+1</f>
        <v>2078</v>
      </c>
      <c r="CE23" s="1385">
        <f t="shared" ref="CE23" si="68">+CD23+1</f>
        <v>2079</v>
      </c>
      <c r="CF23" s="1385">
        <f t="shared" ref="CF23" si="69">+CE23+1</f>
        <v>2080</v>
      </c>
      <c r="CG23" s="1385">
        <f t="shared" ref="CG23" si="70">+CF23+1</f>
        <v>2081</v>
      </c>
      <c r="CH23" s="1385">
        <f t="shared" ref="CH23" si="71">+CG23+1</f>
        <v>2082</v>
      </c>
      <c r="CI23" s="1385">
        <f t="shared" ref="CI23" si="72">+CH23+1</f>
        <v>2083</v>
      </c>
      <c r="CJ23" s="1385">
        <f t="shared" ref="CJ23" si="73">+CI23+1</f>
        <v>2084</v>
      </c>
      <c r="CK23" s="1385">
        <f t="shared" ref="CK23" si="74">+CJ23+1</f>
        <v>2085</v>
      </c>
      <c r="CL23" s="1385">
        <f t="shared" ref="CL23" si="75">+CK23+1</f>
        <v>2086</v>
      </c>
      <c r="CM23" s="1385">
        <f t="shared" ref="CM23" si="76">+CL23+1</f>
        <v>2087</v>
      </c>
      <c r="CN23" s="1385">
        <f t="shared" ref="CN23" si="77">+CM23+1</f>
        <v>2088</v>
      </c>
      <c r="CO23" s="1385">
        <f t="shared" ref="CO23" si="78">+CN23+1</f>
        <v>2089</v>
      </c>
      <c r="CP23" s="1385">
        <f t="shared" ref="CP23" si="79">+CO23+1</f>
        <v>2090</v>
      </c>
      <c r="CQ23" s="1385">
        <f t="shared" ref="CQ23" si="80">+CP23+1</f>
        <v>2091</v>
      </c>
      <c r="CR23" s="1385">
        <f t="shared" ref="CR23" si="81">+CQ23+1</f>
        <v>2092</v>
      </c>
      <c r="CS23" s="1385">
        <f t="shared" ref="CS23" si="82">+CR23+1</f>
        <v>2093</v>
      </c>
      <c r="CT23" s="1385">
        <f t="shared" ref="CT23" si="83">+CS23+1</f>
        <v>2094</v>
      </c>
      <c r="CU23" s="1385">
        <f t="shared" ref="CU23" si="84">+CT23+1</f>
        <v>2095</v>
      </c>
      <c r="CV23" s="1385">
        <f t="shared" ref="CV23" si="85">+CU23+1</f>
        <v>2096</v>
      </c>
      <c r="CW23" s="1385">
        <f t="shared" ref="CW23" si="86">+CV23+1</f>
        <v>2097</v>
      </c>
      <c r="CX23" s="1385">
        <f t="shared" ref="CX23" si="87">+CW23+1</f>
        <v>2098</v>
      </c>
      <c r="CY23" s="1385">
        <f t="shared" ref="CY23" si="88">+CX23+1</f>
        <v>2099</v>
      </c>
      <c r="CZ23" s="1385">
        <f t="shared" ref="CZ23" si="89">+CY23+1</f>
        <v>2100</v>
      </c>
    </row>
    <row r="24" spans="1:104" ht="13.5" thickBot="1" x14ac:dyDescent="0.25">
      <c r="A24" s="939" t="s">
        <v>1091</v>
      </c>
      <c r="B24" s="940"/>
      <c r="C24" s="940"/>
      <c r="D24" s="940"/>
      <c r="E24" s="940"/>
      <c r="F24" s="852"/>
      <c r="G24" s="940"/>
      <c r="H24" s="940"/>
      <c r="I24" s="940"/>
      <c r="J24" s="940"/>
      <c r="K24" s="940"/>
      <c r="L24" s="940"/>
      <c r="M24" s="940"/>
      <c r="N24" s="940"/>
      <c r="O24" s="940"/>
      <c r="P24" s="940"/>
      <c r="Q24" s="940"/>
      <c r="R24" s="940"/>
      <c r="S24" s="940"/>
      <c r="T24" s="940"/>
      <c r="U24" s="940"/>
      <c r="V24" s="940"/>
      <c r="W24" s="940"/>
      <c r="X24" s="940"/>
      <c r="Y24" s="940"/>
      <c r="Z24" s="940"/>
      <c r="AA24" s="940"/>
      <c r="AB24" s="940"/>
      <c r="AC24" s="940"/>
      <c r="AD24" s="940"/>
      <c r="AE24" s="940"/>
      <c r="AF24" s="940"/>
      <c r="AG24" s="940"/>
      <c r="AH24" s="940"/>
      <c r="AI24" s="940"/>
      <c r="AJ24" s="940"/>
      <c r="AK24" s="940"/>
      <c r="AL24" s="940"/>
      <c r="AM24" s="940"/>
      <c r="AN24" s="940"/>
      <c r="AO24" s="940"/>
      <c r="AP24" s="940"/>
      <c r="AQ24" s="940"/>
      <c r="AR24" s="940"/>
      <c r="AS24" s="940"/>
      <c r="AT24" s="940"/>
      <c r="AU24" s="940"/>
      <c r="AV24" s="940"/>
      <c r="AW24" s="940"/>
      <c r="AX24" s="940"/>
      <c r="AY24" s="940"/>
      <c r="AZ24" s="940"/>
      <c r="BA24" s="940"/>
      <c r="BC24" s="940"/>
      <c r="BD24" s="940"/>
      <c r="BE24" s="940"/>
      <c r="BF24" s="940"/>
      <c r="BG24" s="940"/>
      <c r="BH24" s="940"/>
      <c r="BI24" s="940"/>
      <c r="BJ24" s="940"/>
      <c r="BK24" s="940"/>
      <c r="BL24" s="940"/>
      <c r="BM24" s="940"/>
      <c r="BN24" s="940"/>
      <c r="BO24" s="940"/>
      <c r="BP24" s="940"/>
      <c r="BR24" s="940"/>
      <c r="BS24" s="940"/>
      <c r="BT24" s="940"/>
      <c r="BU24" s="940"/>
    </row>
    <row r="25" spans="1:104" x14ac:dyDescent="0.2">
      <c r="A25" s="959" t="str">
        <f>'HyARC Physical Property Data'!A73</f>
        <v>Residential Natural Gas</v>
      </c>
      <c r="B25" s="940">
        <v>2011</v>
      </c>
      <c r="C25" s="941">
        <f>VLOOKUP(ref_year,DeflatorTable,2,FALSE)/VLOOKUP(B25,DeflatorTable,2,FALSE)</f>
        <v>1.0784554773635862</v>
      </c>
      <c r="D25" s="1227" t="str">
        <f>'HyARC Physical Property Data'!H73</f>
        <v>mmBtu</v>
      </c>
      <c r="E25" s="941" t="s">
        <v>1059</v>
      </c>
      <c r="F25" s="940">
        <f>'HyARC Physical Property Data'!$E$6</f>
        <v>47.141269049911173</v>
      </c>
      <c r="G25" s="940">
        <f>'HyARC Physical Property Data'!$I$6</f>
        <v>52.224661236371581</v>
      </c>
      <c r="H25" s="1049">
        <v>14.386141835345208</v>
      </c>
      <c r="I25" s="1049">
        <v>14.386141835345208</v>
      </c>
      <c r="J25" s="1049">
        <v>14.386141835345208</v>
      </c>
      <c r="K25" s="1049">
        <v>13.326716630976858</v>
      </c>
      <c r="L25" s="1049">
        <v>13.627764477872551</v>
      </c>
      <c r="M25" s="1049">
        <v>11.254339733155913</v>
      </c>
      <c r="N25" s="940">
        <f t="shared" ref="N25:AR25" si="90">((N42/(mmBTU_to_GJ))*($C25))*($G25/$F25)</f>
        <v>12.864072624231563</v>
      </c>
      <c r="O25" s="940">
        <f t="shared" si="90"/>
        <v>12.23325661230241</v>
      </c>
      <c r="P25" s="940">
        <f t="shared" si="90"/>
        <v>11.850527062684614</v>
      </c>
      <c r="Q25" s="940">
        <f t="shared" si="90"/>
        <v>11.865842495866545</v>
      </c>
      <c r="R25" s="940">
        <f t="shared" si="90"/>
        <v>11.611695090166418</v>
      </c>
      <c r="S25" s="940">
        <f t="shared" si="90"/>
        <v>11.50138750593943</v>
      </c>
      <c r="T25" s="940">
        <f t="shared" si="90"/>
        <v>12.075204376866452</v>
      </c>
      <c r="U25" s="940">
        <f t="shared" si="90"/>
        <v>12.446344297440779</v>
      </c>
      <c r="V25" s="940">
        <f t="shared" si="90"/>
        <v>12.907270435435697</v>
      </c>
      <c r="W25" s="940">
        <f t="shared" si="90"/>
        <v>13.164777859640022</v>
      </c>
      <c r="X25" s="940">
        <f t="shared" si="90"/>
        <v>13.336162585082695</v>
      </c>
      <c r="Y25" s="940">
        <f t="shared" si="90"/>
        <v>13.544264034469807</v>
      </c>
      <c r="Z25" s="940">
        <f t="shared" si="90"/>
        <v>13.819651921148951</v>
      </c>
      <c r="AA25" s="940">
        <f t="shared" si="90"/>
        <v>14.079086797828554</v>
      </c>
      <c r="AB25" s="940">
        <f t="shared" si="90"/>
        <v>14.2515190517904</v>
      </c>
      <c r="AC25" s="940">
        <f t="shared" si="90"/>
        <v>14.353207458115314</v>
      </c>
      <c r="AD25" s="940">
        <f t="shared" si="90"/>
        <v>14.54298904928118</v>
      </c>
      <c r="AE25" s="940">
        <f t="shared" si="90"/>
        <v>14.646583391279357</v>
      </c>
      <c r="AF25" s="940">
        <f t="shared" si="90"/>
        <v>14.81893750527599</v>
      </c>
      <c r="AG25" s="940">
        <f t="shared" si="90"/>
        <v>14.987454833734297</v>
      </c>
      <c r="AH25" s="940">
        <f t="shared" si="90"/>
        <v>15.139899111087075</v>
      </c>
      <c r="AI25" s="940">
        <f t="shared" si="90"/>
        <v>15.341580626230741</v>
      </c>
      <c r="AJ25" s="940">
        <f t="shared" si="90"/>
        <v>15.539442342785032</v>
      </c>
      <c r="AK25" s="940">
        <f t="shared" si="90"/>
        <v>15.781889138041823</v>
      </c>
      <c r="AL25" s="940">
        <f t="shared" si="90"/>
        <v>16.136390908341905</v>
      </c>
      <c r="AM25" s="940">
        <f t="shared" si="90"/>
        <v>16.532635274551915</v>
      </c>
      <c r="AN25" s="940">
        <f t="shared" si="90"/>
        <v>17.01379173629439</v>
      </c>
      <c r="AO25" s="940">
        <f t="shared" si="90"/>
        <v>17.457934768717273</v>
      </c>
      <c r="AP25" s="940">
        <f t="shared" si="90"/>
        <v>17.940794455208763</v>
      </c>
      <c r="AQ25" s="940">
        <f t="shared" si="90"/>
        <v>18.182559507580642</v>
      </c>
      <c r="AR25" s="940">
        <f t="shared" si="90"/>
        <v>18.530579058157759</v>
      </c>
      <c r="AS25" s="940">
        <f>($BB25-$AR25)/10+AR25</f>
        <v>18.537819201300856</v>
      </c>
      <c r="AT25" s="940">
        <f t="shared" ref="AT25:BA25" si="91">($BB25-$AR25)/10+AS25</f>
        <v>18.545059344443953</v>
      </c>
      <c r="AU25" s="940">
        <f t="shared" si="91"/>
        <v>18.552299487587049</v>
      </c>
      <c r="AV25" s="940">
        <f t="shared" si="91"/>
        <v>18.559539630730146</v>
      </c>
      <c r="AW25" s="940">
        <f t="shared" si="91"/>
        <v>18.566779773873243</v>
      </c>
      <c r="AX25" s="940">
        <f t="shared" si="91"/>
        <v>18.57401991701634</v>
      </c>
      <c r="AY25" s="940">
        <f t="shared" si="91"/>
        <v>18.581260060159437</v>
      </c>
      <c r="AZ25" s="940">
        <f t="shared" si="91"/>
        <v>18.588500203302534</v>
      </c>
      <c r="BA25" s="940">
        <f t="shared" si="91"/>
        <v>18.595740346445631</v>
      </c>
      <c r="BB25" s="942">
        <f>'AEO Data'!$B$30*AM25</f>
        <v>18.602980489588727</v>
      </c>
      <c r="BC25" s="940">
        <f>($BQ25-$BB25)/15+BB25</f>
        <v>18.754563729723429</v>
      </c>
      <c r="BD25" s="940">
        <f t="shared" ref="BD25:BP25" si="92">($BQ25-$BB25)/15+BC25</f>
        <v>18.906146969858131</v>
      </c>
      <c r="BE25" s="940">
        <f t="shared" si="92"/>
        <v>19.057730209992833</v>
      </c>
      <c r="BF25" s="940">
        <f t="shared" si="92"/>
        <v>19.209313450127535</v>
      </c>
      <c r="BG25" s="940">
        <f t="shared" si="92"/>
        <v>19.360896690262237</v>
      </c>
      <c r="BH25" s="940">
        <f t="shared" si="92"/>
        <v>19.512479930396939</v>
      </c>
      <c r="BI25" s="940">
        <f t="shared" si="92"/>
        <v>19.664063170531641</v>
      </c>
      <c r="BJ25" s="940">
        <f t="shared" si="92"/>
        <v>19.815646410666343</v>
      </c>
      <c r="BK25" s="940">
        <f t="shared" si="92"/>
        <v>19.967229650801045</v>
      </c>
      <c r="BL25" s="940">
        <f t="shared" si="92"/>
        <v>20.118812890935747</v>
      </c>
      <c r="BM25" s="940">
        <f t="shared" si="92"/>
        <v>20.270396131070449</v>
      </c>
      <c r="BN25" s="940">
        <f t="shared" si="92"/>
        <v>20.42197937120515</v>
      </c>
      <c r="BO25" s="940">
        <f t="shared" si="92"/>
        <v>20.573562611339852</v>
      </c>
      <c r="BP25" s="940">
        <f t="shared" si="92"/>
        <v>20.725145851474554</v>
      </c>
      <c r="BQ25" s="942">
        <f>'AEO Data'!$C$30*BB25</f>
        <v>20.876729091609249</v>
      </c>
      <c r="BR25" s="940">
        <f>($BV25-$BQ25)/5+BQ25</f>
        <v>20.996057748553792</v>
      </c>
      <c r="BS25" s="940">
        <f>($BV25-$BQ25)/5+BR25</f>
        <v>21.115386405498334</v>
      </c>
      <c r="BT25" s="940">
        <f>($BV25-$BQ25)/5+BS25</f>
        <v>21.234715062442877</v>
      </c>
      <c r="BU25" s="940">
        <f>($BV25-$BQ25)/5+BT25</f>
        <v>21.35404371938742</v>
      </c>
      <c r="BV25" s="943">
        <f>'AEO Data'!$D$30*BQ25</f>
        <v>21.473372376331962</v>
      </c>
      <c r="BW25" s="1384">
        <f>+BV25*BW$133/BV$133</f>
        <v>21.544670286660121</v>
      </c>
      <c r="BX25" s="1384">
        <f t="shared" ref="BX25:CZ25" si="93">+BW25*BX$133/BW$133</f>
        <v>21.616204927015033</v>
      </c>
      <c r="BY25" s="1384">
        <f t="shared" si="93"/>
        <v>21.687977083409997</v>
      </c>
      <c r="BZ25" s="1384">
        <f t="shared" si="93"/>
        <v>21.759987544468107</v>
      </c>
      <c r="CA25" s="1384">
        <f t="shared" si="93"/>
        <v>21.832237101430913</v>
      </c>
      <c r="CB25" s="1384">
        <f t="shared" si="93"/>
        <v>21.878825528741867</v>
      </c>
      <c r="CC25" s="1384">
        <f t="shared" si="93"/>
        <v>21.925513372413558</v>
      </c>
      <c r="CD25" s="1384">
        <f t="shared" si="93"/>
        <v>21.972300844593363</v>
      </c>
      <c r="CE25" s="1384">
        <f t="shared" si="93"/>
        <v>22.01918815788137</v>
      </c>
      <c r="CF25" s="1384">
        <f t="shared" si="93"/>
        <v>22.066175525331335</v>
      </c>
      <c r="CG25" s="1384">
        <f t="shared" si="93"/>
        <v>22.081432025482624</v>
      </c>
      <c r="CH25" s="1384">
        <f t="shared" si="93"/>
        <v>22.096699073941053</v>
      </c>
      <c r="CI25" s="1384">
        <f t="shared" si="93"/>
        <v>22.111976677999699</v>
      </c>
      <c r="CJ25" s="1384">
        <f t="shared" si="93"/>
        <v>22.127264844956677</v>
      </c>
      <c r="CK25" s="1384">
        <f t="shared" si="93"/>
        <v>22.142563582115145</v>
      </c>
      <c r="CL25" s="1384">
        <f t="shared" si="93"/>
        <v>22.147749174896123</v>
      </c>
      <c r="CM25" s="1384">
        <f t="shared" si="93"/>
        <v>22.152935982097123</v>
      </c>
      <c r="CN25" s="1384">
        <f t="shared" si="93"/>
        <v>22.158124004002548</v>
      </c>
      <c r="CO25" s="1384">
        <f t="shared" si="93"/>
        <v>22.163313240896873</v>
      </c>
      <c r="CP25" s="1384">
        <f t="shared" si="93"/>
        <v>22.16850369306464</v>
      </c>
      <c r="CQ25" s="1384">
        <f t="shared" si="93"/>
        <v>22.176370321670593</v>
      </c>
      <c r="CR25" s="1384">
        <f t="shared" si="93"/>
        <v>22.184239741797636</v>
      </c>
      <c r="CS25" s="1384">
        <f t="shared" si="93"/>
        <v>22.19211195443636</v>
      </c>
      <c r="CT25" s="1384">
        <f t="shared" si="93"/>
        <v>22.199986960577704</v>
      </c>
      <c r="CU25" s="1384">
        <f t="shared" si="93"/>
        <v>22.207864761212956</v>
      </c>
      <c r="CV25" s="1384">
        <f t="shared" si="93"/>
        <v>22.219988729743012</v>
      </c>
      <c r="CW25" s="1384">
        <f t="shared" si="93"/>
        <v>22.232119317126994</v>
      </c>
      <c r="CX25" s="1384">
        <f t="shared" si="93"/>
        <v>22.244256526978344</v>
      </c>
      <c r="CY25" s="1384">
        <f t="shared" si="93"/>
        <v>22.256400362912476</v>
      </c>
      <c r="CZ25" s="1384">
        <f t="shared" si="93"/>
        <v>22.268550828546775</v>
      </c>
    </row>
    <row r="26" spans="1:104" x14ac:dyDescent="0.2">
      <c r="A26" s="856" t="str">
        <f>'HyARC Physical Property Data'!A71</f>
        <v>Commercial Natural Gas</v>
      </c>
      <c r="B26" s="260">
        <v>2011</v>
      </c>
      <c r="C26" s="855">
        <f>VLOOKUP(ref_year,DeflatorTable,2,FALSE)/VLOOKUP(B26,DeflatorTable,2,FALSE)</f>
        <v>1.0784554773635862</v>
      </c>
      <c r="D26" s="1228" t="str">
        <f>'HyARC Physical Property Data'!H71</f>
        <v>mmBtu</v>
      </c>
      <c r="E26" s="855" t="s">
        <v>1059</v>
      </c>
      <c r="F26" s="260">
        <f>'HyARC Physical Property Data'!$E$6</f>
        <v>47.141269049911173</v>
      </c>
      <c r="G26" s="260">
        <f>'HyARC Physical Property Data'!$I$6</f>
        <v>52.224661236371581</v>
      </c>
      <c r="H26" s="1050">
        <v>12.491836786393147</v>
      </c>
      <c r="I26" s="1050">
        <v>12.491836786393147</v>
      </c>
      <c r="J26" s="1050">
        <v>12.491836786393147</v>
      </c>
      <c r="K26" s="1050">
        <v>11.540201846875071</v>
      </c>
      <c r="L26" s="1050">
        <v>11.906633267965836</v>
      </c>
      <c r="M26" s="1050">
        <v>9.3536765847618941</v>
      </c>
      <c r="N26" s="260">
        <f t="shared" ref="N26:AR26" si="94">((N43/(mmBTU_to_GJ))*($C26))*($G26/$F26)</f>
        <v>10.64172897994356</v>
      </c>
      <c r="O26" s="260">
        <f t="shared" si="94"/>
        <v>10.007420451308324</v>
      </c>
      <c r="P26" s="260">
        <f t="shared" si="94"/>
        <v>9.1421449075231607</v>
      </c>
      <c r="Q26" s="260">
        <f t="shared" si="94"/>
        <v>9.5837353677490551</v>
      </c>
      <c r="R26" s="260">
        <f t="shared" si="94"/>
        <v>9.3261316841672954</v>
      </c>
      <c r="S26" s="260">
        <f t="shared" si="94"/>
        <v>9.1778922429136323</v>
      </c>
      <c r="T26" s="260">
        <f t="shared" si="94"/>
        <v>9.6950621689136156</v>
      </c>
      <c r="U26" s="260">
        <f t="shared" si="94"/>
        <v>9.9937516197122047</v>
      </c>
      <c r="V26" s="260">
        <f t="shared" si="94"/>
        <v>10.387270146845841</v>
      </c>
      <c r="W26" s="260">
        <f t="shared" si="94"/>
        <v>10.589454475678709</v>
      </c>
      <c r="X26" s="260">
        <f t="shared" si="94"/>
        <v>10.722185964995566</v>
      </c>
      <c r="Y26" s="260">
        <f t="shared" si="94"/>
        <v>10.884038747145405</v>
      </c>
      <c r="Z26" s="260">
        <f t="shared" si="94"/>
        <v>11.119862897234498</v>
      </c>
      <c r="AA26" s="260">
        <f t="shared" si="94"/>
        <v>11.337766948634531</v>
      </c>
      <c r="AB26" s="260">
        <f t="shared" si="94"/>
        <v>11.475270638145757</v>
      </c>
      <c r="AC26" s="260">
        <f t="shared" si="94"/>
        <v>11.543938680619837</v>
      </c>
      <c r="AD26" s="260">
        <f t="shared" si="94"/>
        <v>11.704619363291469</v>
      </c>
      <c r="AE26" s="260">
        <f t="shared" si="94"/>
        <v>11.764049902921345</v>
      </c>
      <c r="AF26" s="260">
        <f t="shared" si="94"/>
        <v>11.890869934000278</v>
      </c>
      <c r="AG26" s="260">
        <f t="shared" si="94"/>
        <v>12.010138700035061</v>
      </c>
      <c r="AH26" s="260">
        <f t="shared" si="94"/>
        <v>12.114209809067368</v>
      </c>
      <c r="AI26" s="260">
        <f t="shared" si="94"/>
        <v>12.267307517723458</v>
      </c>
      <c r="AJ26" s="260">
        <f t="shared" si="94"/>
        <v>12.405684336411204</v>
      </c>
      <c r="AK26" s="260">
        <f t="shared" si="94"/>
        <v>12.591270151184064</v>
      </c>
      <c r="AL26" s="260">
        <f t="shared" si="94"/>
        <v>12.891290246317817</v>
      </c>
      <c r="AM26" s="260">
        <f t="shared" si="94"/>
        <v>13.22904741479684</v>
      </c>
      <c r="AN26" s="260">
        <f t="shared" si="94"/>
        <v>13.658744745824521</v>
      </c>
      <c r="AO26" s="260">
        <f t="shared" si="94"/>
        <v>14.044020072859722</v>
      </c>
      <c r="AP26" s="260">
        <f t="shared" si="94"/>
        <v>14.474602990159831</v>
      </c>
      <c r="AQ26" s="260">
        <f t="shared" si="94"/>
        <v>14.664146764040265</v>
      </c>
      <c r="AR26" s="260">
        <f t="shared" si="94"/>
        <v>14.963148774699713</v>
      </c>
      <c r="AS26" s="260">
        <f t="shared" ref="AS26:BA26" si="95">($BB26-$AR26)/10+AR26</f>
        <v>14.955403062800835</v>
      </c>
      <c r="AT26" s="260">
        <f t="shared" si="95"/>
        <v>14.947657350901958</v>
      </c>
      <c r="AU26" s="260">
        <f t="shared" si="95"/>
        <v>14.93991163900308</v>
      </c>
      <c r="AV26" s="260">
        <f t="shared" si="95"/>
        <v>14.932165927104203</v>
      </c>
      <c r="AW26" s="260">
        <f t="shared" si="95"/>
        <v>14.924420215205325</v>
      </c>
      <c r="AX26" s="260">
        <f t="shared" si="95"/>
        <v>14.916674503306448</v>
      </c>
      <c r="AY26" s="260">
        <f t="shared" si="95"/>
        <v>14.90892879140757</v>
      </c>
      <c r="AZ26" s="260">
        <f t="shared" si="95"/>
        <v>14.901183079508693</v>
      </c>
      <c r="BA26" s="260">
        <f t="shared" si="95"/>
        <v>14.893437367609815</v>
      </c>
      <c r="BB26" s="920">
        <f>'AEO Data'!$B$30*AM26</f>
        <v>14.885691655710941</v>
      </c>
      <c r="BC26" s="260">
        <f t="shared" ref="BC26:BP28" si="96">($BQ26-$BB26)/15+BB26</f>
        <v>15.006985196500363</v>
      </c>
      <c r="BD26" s="260">
        <f t="shared" si="96"/>
        <v>15.128278737289785</v>
      </c>
      <c r="BE26" s="260">
        <f t="shared" si="96"/>
        <v>15.249572278079206</v>
      </c>
      <c r="BF26" s="260">
        <f t="shared" si="96"/>
        <v>15.370865818868628</v>
      </c>
      <c r="BG26" s="260">
        <f t="shared" si="96"/>
        <v>15.49215935965805</v>
      </c>
      <c r="BH26" s="260">
        <f t="shared" si="96"/>
        <v>15.613452900447472</v>
      </c>
      <c r="BI26" s="260">
        <f t="shared" si="96"/>
        <v>15.734746441236894</v>
      </c>
      <c r="BJ26" s="260">
        <f t="shared" si="96"/>
        <v>15.856039982026315</v>
      </c>
      <c r="BK26" s="260">
        <f t="shared" si="96"/>
        <v>15.977333522815737</v>
      </c>
      <c r="BL26" s="260">
        <f t="shared" si="96"/>
        <v>16.098627063605161</v>
      </c>
      <c r="BM26" s="260">
        <f t="shared" si="96"/>
        <v>16.219920604394584</v>
      </c>
      <c r="BN26" s="260">
        <f t="shared" si="96"/>
        <v>16.341214145184008</v>
      </c>
      <c r="BO26" s="260">
        <f t="shared" si="96"/>
        <v>16.462507685973431</v>
      </c>
      <c r="BP26" s="260">
        <f t="shared" si="96"/>
        <v>16.583801226762855</v>
      </c>
      <c r="BQ26" s="920">
        <f>'AEO Data'!$C$30*BB26</f>
        <v>16.705094767552271</v>
      </c>
      <c r="BR26" s="260">
        <f t="shared" ref="BR26:BU28" si="97">($BV26-$BQ26)/5+BQ26</f>
        <v>16.800578907524393</v>
      </c>
      <c r="BS26" s="260">
        <f t="shared" si="97"/>
        <v>16.896063047496515</v>
      </c>
      <c r="BT26" s="260">
        <f t="shared" si="97"/>
        <v>16.991547187468637</v>
      </c>
      <c r="BU26" s="260">
        <f t="shared" si="97"/>
        <v>17.087031327440759</v>
      </c>
      <c r="BV26" s="944">
        <f>'AEO Data'!$D$30*BQ26</f>
        <v>17.182515467412887</v>
      </c>
      <c r="BW26" s="1384">
        <f>+BV26*BW$134/BV$134</f>
        <v>17.239566471118206</v>
      </c>
      <c r="BX26" s="1384">
        <f t="shared" ref="BX26:CZ26" si="98">+BW26*BX$134/BW$134</f>
        <v>17.296806900931124</v>
      </c>
      <c r="BY26" s="1384">
        <f t="shared" si="98"/>
        <v>17.354237385802019</v>
      </c>
      <c r="BZ26" s="1384">
        <f t="shared" si="98"/>
        <v>17.41185855676957</v>
      </c>
      <c r="CA26" s="1384">
        <f t="shared" si="98"/>
        <v>17.469671046967683</v>
      </c>
      <c r="CB26" s="1384">
        <f t="shared" si="98"/>
        <v>17.506950071372589</v>
      </c>
      <c r="CC26" s="1384">
        <f t="shared" si="98"/>
        <v>17.544308646540465</v>
      </c>
      <c r="CD26" s="1384">
        <f t="shared" si="98"/>
        <v>17.581746942226928</v>
      </c>
      <c r="CE26" s="1384">
        <f t="shared" si="98"/>
        <v>17.619265128549845</v>
      </c>
      <c r="CF26" s="1384">
        <f t="shared" si="98"/>
        <v>17.656863375990099</v>
      </c>
      <c r="CG26" s="1384">
        <f t="shared" si="98"/>
        <v>17.669071288433191</v>
      </c>
      <c r="CH26" s="1384">
        <f t="shared" si="98"/>
        <v>17.681287641397287</v>
      </c>
      <c r="CI26" s="1384">
        <f t="shared" si="98"/>
        <v>17.693512440718141</v>
      </c>
      <c r="CJ26" s="1384">
        <f t="shared" si="98"/>
        <v>17.705745692235549</v>
      </c>
      <c r="CK26" s="1384">
        <f t="shared" si="98"/>
        <v>17.717987401793337</v>
      </c>
      <c r="CL26" s="1384">
        <f t="shared" si="98"/>
        <v>17.722136797920101</v>
      </c>
      <c r="CM26" s="1384">
        <f t="shared" si="98"/>
        <v>17.726287165798784</v>
      </c>
      <c r="CN26" s="1384">
        <f t="shared" si="98"/>
        <v>17.730438505656959</v>
      </c>
      <c r="CO26" s="1384">
        <f t="shared" si="98"/>
        <v>17.734590817722253</v>
      </c>
      <c r="CP26" s="1384">
        <f t="shared" si="98"/>
        <v>17.738744102222352</v>
      </c>
      <c r="CQ26" s="1384">
        <f t="shared" si="98"/>
        <v>17.745038803647411</v>
      </c>
      <c r="CR26" s="1384">
        <f t="shared" si="98"/>
        <v>17.751335738785624</v>
      </c>
      <c r="CS26" s="1384">
        <f t="shared" si="98"/>
        <v>17.75763490842964</v>
      </c>
      <c r="CT26" s="1384">
        <f t="shared" si="98"/>
        <v>17.763936313372383</v>
      </c>
      <c r="CU26" s="1384">
        <f t="shared" si="98"/>
        <v>17.770239954407064</v>
      </c>
      <c r="CV26" s="1384">
        <f t="shared" si="98"/>
        <v>17.779941284647286</v>
      </c>
      <c r="CW26" s="1384">
        <f t="shared" si="98"/>
        <v>17.789647911147362</v>
      </c>
      <c r="CX26" s="1384">
        <f t="shared" si="98"/>
        <v>17.799359836798683</v>
      </c>
      <c r="CY26" s="1384">
        <f t="shared" si="98"/>
        <v>17.809077064494225</v>
      </c>
      <c r="CZ26" s="1384">
        <f t="shared" si="98"/>
        <v>17.818799597128535</v>
      </c>
    </row>
    <row r="27" spans="1:104" x14ac:dyDescent="0.2">
      <c r="A27" s="856" t="str">
        <f>'HyARC Physical Property Data'!A72</f>
        <v>Industrial Natural Gas</v>
      </c>
      <c r="B27" s="260">
        <v>2011</v>
      </c>
      <c r="C27" s="855">
        <f t="shared" ref="C27:C35" si="99">VLOOKUP(ref_year,DeflatorTable,2,FALSE)/VLOOKUP(B27,DeflatorTable,2,FALSE)</f>
        <v>1.0784554773635862</v>
      </c>
      <c r="D27" s="1228" t="str">
        <f>'HyARC Physical Property Data'!H72</f>
        <v>mmBtu</v>
      </c>
      <c r="E27" s="855" t="s">
        <v>1059</v>
      </c>
      <c r="F27" s="260">
        <f>'HyARC Physical Property Data'!$E$6</f>
        <v>47.141269049911173</v>
      </c>
      <c r="G27" s="260">
        <f>'HyARC Physical Property Data'!$I$6</f>
        <v>52.224661236371581</v>
      </c>
      <c r="H27" s="1050">
        <v>8.3524006010892204</v>
      </c>
      <c r="I27" s="1050">
        <v>8.3524006010892204</v>
      </c>
      <c r="J27" s="1050">
        <v>8.3524006010892204</v>
      </c>
      <c r="K27" s="1050">
        <v>7.891606632326889</v>
      </c>
      <c r="L27" s="1050">
        <v>9.2420298006250725</v>
      </c>
      <c r="M27" s="1050">
        <v>5.091378564817072</v>
      </c>
      <c r="N27" s="260">
        <f t="shared" ref="N27:AR27" si="100">((N44/(mmBTU_to_GJ))*($C27))*($G27/$F27)</f>
        <v>6.2103832410803772</v>
      </c>
      <c r="O27" s="260">
        <f t="shared" si="100"/>
        <v>5.5375335901824529</v>
      </c>
      <c r="P27" s="260">
        <f t="shared" si="100"/>
        <v>4.2577062790619404</v>
      </c>
      <c r="Q27" s="260">
        <f t="shared" si="100"/>
        <v>4.9080821964863821</v>
      </c>
      <c r="R27" s="260">
        <f t="shared" si="100"/>
        <v>4.9545856679580433</v>
      </c>
      <c r="S27" s="260">
        <f t="shared" si="100"/>
        <v>5.0083584211211258</v>
      </c>
      <c r="T27" s="260">
        <f t="shared" si="100"/>
        <v>5.5106070111550416</v>
      </c>
      <c r="U27" s="260">
        <f t="shared" si="100"/>
        <v>5.7392570064668833</v>
      </c>
      <c r="V27" s="260">
        <f t="shared" si="100"/>
        <v>6.0261280706426819</v>
      </c>
      <c r="W27" s="260">
        <f t="shared" si="100"/>
        <v>6.171696031056638</v>
      </c>
      <c r="X27" s="260">
        <f t="shared" si="100"/>
        <v>6.2618559613543372</v>
      </c>
      <c r="Y27" s="260">
        <f t="shared" si="100"/>
        <v>6.3878674136627964</v>
      </c>
      <c r="Z27" s="260">
        <f t="shared" si="100"/>
        <v>6.5997410981821893</v>
      </c>
      <c r="AA27" s="260">
        <f t="shared" si="100"/>
        <v>6.8069026030602018</v>
      </c>
      <c r="AB27" s="260">
        <f t="shared" si="100"/>
        <v>6.91936073502547</v>
      </c>
      <c r="AC27" s="260">
        <f t="shared" si="100"/>
        <v>6.9660068968683904</v>
      </c>
      <c r="AD27" s="260">
        <f t="shared" si="100"/>
        <v>7.0844183882123479</v>
      </c>
      <c r="AE27" s="260">
        <f t="shared" si="100"/>
        <v>7.1287611197763514</v>
      </c>
      <c r="AF27" s="260">
        <f t="shared" si="100"/>
        <v>7.2441206226239103</v>
      </c>
      <c r="AG27" s="260">
        <f t="shared" si="100"/>
        <v>7.3454421108512973</v>
      </c>
      <c r="AH27" s="260">
        <f t="shared" si="100"/>
        <v>7.4306384546630166</v>
      </c>
      <c r="AI27" s="260">
        <f t="shared" si="100"/>
        <v>7.5610393345826239</v>
      </c>
      <c r="AJ27" s="260">
        <f t="shared" si="100"/>
        <v>7.6680605104175692</v>
      </c>
      <c r="AK27" s="260">
        <f t="shared" si="100"/>
        <v>7.8321068739097237</v>
      </c>
      <c r="AL27" s="260">
        <f t="shared" si="100"/>
        <v>8.1183505534372813</v>
      </c>
      <c r="AM27" s="260">
        <f t="shared" si="100"/>
        <v>8.4316589725104603</v>
      </c>
      <c r="AN27" s="260">
        <f t="shared" si="100"/>
        <v>8.8481676363659503</v>
      </c>
      <c r="AO27" s="260">
        <f t="shared" si="100"/>
        <v>9.2337204169008231</v>
      </c>
      <c r="AP27" s="260">
        <f t="shared" si="100"/>
        <v>9.6247135509558071</v>
      </c>
      <c r="AQ27" s="260">
        <f t="shared" si="100"/>
        <v>9.783781605939545</v>
      </c>
      <c r="AR27" s="260">
        <f t="shared" si="100"/>
        <v>10.057511566400239</v>
      </c>
      <c r="AS27" s="260">
        <f t="shared" ref="AS27:BA27" si="101">($BB27-$AR27)/10+AR27</f>
        <v>10.000514100600522</v>
      </c>
      <c r="AT27" s="260">
        <f t="shared" si="101"/>
        <v>9.9435166348008064</v>
      </c>
      <c r="AU27" s="260">
        <f t="shared" si="101"/>
        <v>9.8865191690010903</v>
      </c>
      <c r="AV27" s="260">
        <f t="shared" si="101"/>
        <v>9.8295217032013742</v>
      </c>
      <c r="AW27" s="260">
        <f t="shared" si="101"/>
        <v>9.7725242374016581</v>
      </c>
      <c r="AX27" s="260">
        <f t="shared" si="101"/>
        <v>9.715526771601942</v>
      </c>
      <c r="AY27" s="260">
        <f t="shared" si="101"/>
        <v>9.6585293058022259</v>
      </c>
      <c r="AZ27" s="260">
        <f t="shared" si="101"/>
        <v>9.6015318400025098</v>
      </c>
      <c r="BA27" s="260">
        <f t="shared" si="101"/>
        <v>9.5445343742027937</v>
      </c>
      <c r="BB27" s="920">
        <f>'AEO Data'!$B$30*AM27</f>
        <v>9.4875369084030705</v>
      </c>
      <c r="BC27" s="260">
        <f t="shared" si="96"/>
        <v>9.5648444982421381</v>
      </c>
      <c r="BD27" s="260">
        <f t="shared" si="96"/>
        <v>9.6421520880812057</v>
      </c>
      <c r="BE27" s="260">
        <f t="shared" si="96"/>
        <v>9.7194596779202733</v>
      </c>
      <c r="BF27" s="260">
        <f t="shared" si="96"/>
        <v>9.7967672677593409</v>
      </c>
      <c r="BG27" s="260">
        <f t="shared" si="96"/>
        <v>9.8740748575984085</v>
      </c>
      <c r="BH27" s="260">
        <f t="shared" si="96"/>
        <v>9.9513824474374761</v>
      </c>
      <c r="BI27" s="260">
        <f t="shared" si="96"/>
        <v>10.028690037276544</v>
      </c>
      <c r="BJ27" s="260">
        <f t="shared" si="96"/>
        <v>10.105997627115611</v>
      </c>
      <c r="BK27" s="260">
        <f t="shared" si="96"/>
        <v>10.183305216954679</v>
      </c>
      <c r="BL27" s="260">
        <f t="shared" si="96"/>
        <v>10.260612806793747</v>
      </c>
      <c r="BM27" s="260">
        <f t="shared" si="96"/>
        <v>10.337920396632814</v>
      </c>
      <c r="BN27" s="260">
        <f t="shared" si="96"/>
        <v>10.415227986471882</v>
      </c>
      <c r="BO27" s="260">
        <f t="shared" si="96"/>
        <v>10.492535576310949</v>
      </c>
      <c r="BP27" s="260">
        <f t="shared" si="96"/>
        <v>10.569843166150017</v>
      </c>
      <c r="BQ27" s="920">
        <f>'AEO Data'!$C$30*BB27</f>
        <v>10.647150755989088</v>
      </c>
      <c r="BR27" s="260">
        <f t="shared" si="97"/>
        <v>10.708008479170871</v>
      </c>
      <c r="BS27" s="260">
        <f t="shared" si="97"/>
        <v>10.768866202352655</v>
      </c>
      <c r="BT27" s="260">
        <f t="shared" si="97"/>
        <v>10.829723925534438</v>
      </c>
      <c r="BU27" s="260">
        <f t="shared" si="97"/>
        <v>10.890581648716221</v>
      </c>
      <c r="BV27" s="944">
        <f>'AEO Data'!$D$30*BQ27</f>
        <v>10.951439371898008</v>
      </c>
      <c r="BW27" s="1384">
        <f>+BV27*BW$135/BV$135</f>
        <v>10.987801370778188</v>
      </c>
      <c r="BX27" s="1384">
        <f t="shared" ref="BX27:CZ27" si="102">+BW27*BX$135/BW$135</f>
        <v>11.024284102186545</v>
      </c>
      <c r="BY27" s="1384">
        <f t="shared" si="102"/>
        <v>11.060887966990576</v>
      </c>
      <c r="BZ27" s="1384">
        <f t="shared" si="102"/>
        <v>11.097613367388767</v>
      </c>
      <c r="CA27" s="1384">
        <f t="shared" si="102"/>
        <v>11.134460706915034</v>
      </c>
      <c r="CB27" s="1384">
        <f t="shared" si="102"/>
        <v>11.158220847063788</v>
      </c>
      <c r="CC27" s="1384">
        <f t="shared" si="102"/>
        <v>11.18203168964661</v>
      </c>
      <c r="CD27" s="1384">
        <f t="shared" si="102"/>
        <v>11.205893342858859</v>
      </c>
      <c r="CE27" s="1384">
        <f t="shared" si="102"/>
        <v>11.229805915126768</v>
      </c>
      <c r="CF27" s="1384">
        <f t="shared" si="102"/>
        <v>11.253769515107949</v>
      </c>
      <c r="CG27" s="1384">
        <f t="shared" si="102"/>
        <v>11.261550344011113</v>
      </c>
      <c r="CH27" s="1384">
        <f t="shared" si="102"/>
        <v>11.26933655256048</v>
      </c>
      <c r="CI27" s="1384">
        <f t="shared" si="102"/>
        <v>11.277128144475522</v>
      </c>
      <c r="CJ27" s="1384">
        <f t="shared" si="102"/>
        <v>11.284925123478285</v>
      </c>
      <c r="CK27" s="1384">
        <f t="shared" si="102"/>
        <v>11.292727493293389</v>
      </c>
      <c r="CL27" s="1384">
        <f t="shared" si="102"/>
        <v>11.295372150311067</v>
      </c>
      <c r="CM27" s="1384">
        <f t="shared" si="102"/>
        <v>11.298017426684055</v>
      </c>
      <c r="CN27" s="1384">
        <f t="shared" si="102"/>
        <v>11.300663322557401</v>
      </c>
      <c r="CO27" s="1384">
        <f t="shared" si="102"/>
        <v>11.303309838076188</v>
      </c>
      <c r="CP27" s="1384">
        <f t="shared" si="102"/>
        <v>11.305956973385531</v>
      </c>
      <c r="CQ27" s="1384">
        <f t="shared" si="102"/>
        <v>11.309968961103596</v>
      </c>
      <c r="CR27" s="1384">
        <f t="shared" si="102"/>
        <v>11.31398237249995</v>
      </c>
      <c r="CS27" s="1384">
        <f t="shared" si="102"/>
        <v>11.317997208079792</v>
      </c>
      <c r="CT27" s="1384">
        <f t="shared" si="102"/>
        <v>11.3220134683485</v>
      </c>
      <c r="CU27" s="1384">
        <f t="shared" si="102"/>
        <v>11.326031153811636</v>
      </c>
      <c r="CV27" s="1384">
        <f t="shared" si="102"/>
        <v>11.332214388749156</v>
      </c>
      <c r="CW27" s="1384">
        <f t="shared" si="102"/>
        <v>11.338400999308178</v>
      </c>
      <c r="CX27" s="1384">
        <f t="shared" si="102"/>
        <v>11.344590987331557</v>
      </c>
      <c r="CY27" s="1384">
        <f t="shared" si="102"/>
        <v>11.350784354663158</v>
      </c>
      <c r="CZ27" s="1384">
        <f t="shared" si="102"/>
        <v>11.356981103147852</v>
      </c>
    </row>
    <row r="28" spans="1:104" x14ac:dyDescent="0.2">
      <c r="A28" s="856" t="str">
        <f>'HyARC Physical Property Data'!A74</f>
        <v>Electric Utility Natural Gas</v>
      </c>
      <c r="B28" s="260">
        <v>2011</v>
      </c>
      <c r="C28" s="855">
        <f t="shared" si="99"/>
        <v>1.0784554773635862</v>
      </c>
      <c r="D28" s="1241" t="str">
        <f>'HyARC Physical Property Data'!H74</f>
        <v>mmBtu</v>
      </c>
      <c r="E28" s="855" t="s">
        <v>1059</v>
      </c>
      <c r="F28" s="260">
        <f>'HyARC Physical Property Data'!$E$6</f>
        <v>47.141269049911173</v>
      </c>
      <c r="G28" s="260">
        <f>'HyARC Physical Property Data'!$I$6</f>
        <v>52.224661236371581</v>
      </c>
      <c r="H28" s="1050">
        <v>7.4079259090132386</v>
      </c>
      <c r="I28" s="1050">
        <v>7.4079259090132386</v>
      </c>
      <c r="J28" s="1050">
        <v>7.4079259090132386</v>
      </c>
      <c r="K28" s="1050">
        <v>7.3706710915002853</v>
      </c>
      <c r="L28" s="1050">
        <v>9.3158925097981644</v>
      </c>
      <c r="M28" s="1050">
        <v>4.7837623175056114</v>
      </c>
      <c r="N28" s="260">
        <f t="shared" ref="N28:AR28" si="103">((N45/(mmBTU_to_GJ))*($C28))*($G28/$F28)</f>
        <v>5.9546786983922937</v>
      </c>
      <c r="O28" s="260">
        <f t="shared" si="103"/>
        <v>5.4071882009627821</v>
      </c>
      <c r="P28" s="260">
        <f t="shared" si="103"/>
        <v>3.7617666418716023</v>
      </c>
      <c r="Q28" s="260">
        <f t="shared" si="103"/>
        <v>4.2077012311780857</v>
      </c>
      <c r="R28" s="260">
        <f t="shared" si="103"/>
        <v>4.2560449554536968</v>
      </c>
      <c r="S28" s="260">
        <f t="shared" si="103"/>
        <v>4.351004265064101</v>
      </c>
      <c r="T28" s="260">
        <f t="shared" si="103"/>
        <v>4.8499075586162492</v>
      </c>
      <c r="U28" s="260">
        <f t="shared" si="103"/>
        <v>5.0379587459147714</v>
      </c>
      <c r="V28" s="260">
        <f t="shared" si="103"/>
        <v>5.3255342022407595</v>
      </c>
      <c r="W28" s="260">
        <f t="shared" si="103"/>
        <v>5.4610005903401024</v>
      </c>
      <c r="X28" s="260">
        <f t="shared" si="103"/>
        <v>5.5453996800139871</v>
      </c>
      <c r="Y28" s="260">
        <f t="shared" si="103"/>
        <v>5.6707180648048965</v>
      </c>
      <c r="Z28" s="260">
        <f t="shared" si="103"/>
        <v>5.8914702613138141</v>
      </c>
      <c r="AA28" s="260">
        <f t="shared" si="103"/>
        <v>6.1025908577626655</v>
      </c>
      <c r="AB28" s="260">
        <f t="shared" si="103"/>
        <v>6.248858680473754</v>
      </c>
      <c r="AC28" s="260">
        <f t="shared" si="103"/>
        <v>6.3168359203568114</v>
      </c>
      <c r="AD28" s="260">
        <f t="shared" si="103"/>
        <v>6.465015341057482</v>
      </c>
      <c r="AE28" s="260">
        <f t="shared" si="103"/>
        <v>6.5238626621064135</v>
      </c>
      <c r="AF28" s="260">
        <f t="shared" si="103"/>
        <v>6.6439853054422287</v>
      </c>
      <c r="AG28" s="260">
        <f t="shared" si="103"/>
        <v>6.7551648863824747</v>
      </c>
      <c r="AH28" s="260">
        <f t="shared" si="103"/>
        <v>6.8546302673202151</v>
      </c>
      <c r="AI28" s="260">
        <f t="shared" si="103"/>
        <v>7.0027927010719244</v>
      </c>
      <c r="AJ28" s="260">
        <f t="shared" si="103"/>
        <v>7.1267928986235729</v>
      </c>
      <c r="AK28" s="260">
        <f t="shared" si="103"/>
        <v>7.2997143767154569</v>
      </c>
      <c r="AL28" s="260">
        <f t="shared" si="103"/>
        <v>7.5856330392862574</v>
      </c>
      <c r="AM28" s="260">
        <f t="shared" si="103"/>
        <v>7.9050986611256384</v>
      </c>
      <c r="AN28" s="260">
        <f t="shared" si="103"/>
        <v>8.3181385900035885</v>
      </c>
      <c r="AO28" s="260">
        <f t="shared" si="103"/>
        <v>8.6915977953425259</v>
      </c>
      <c r="AP28" s="260">
        <f t="shared" si="103"/>
        <v>9.0845976543012643</v>
      </c>
      <c r="AQ28" s="260">
        <f t="shared" si="103"/>
        <v>9.2352243281153736</v>
      </c>
      <c r="AR28" s="260">
        <f t="shared" si="103"/>
        <v>9.4875314810115476</v>
      </c>
      <c r="AS28" s="260">
        <f t="shared" ref="AS28:BA28" si="104">($BB28-$AR28)/10+AR28</f>
        <v>9.4282819947225889</v>
      </c>
      <c r="AT28" s="260">
        <f t="shared" si="104"/>
        <v>9.3690325084336301</v>
      </c>
      <c r="AU28" s="260">
        <f t="shared" si="104"/>
        <v>9.3097830221446713</v>
      </c>
      <c r="AV28" s="260">
        <f t="shared" si="104"/>
        <v>9.2505335358557126</v>
      </c>
      <c r="AW28" s="260">
        <f t="shared" si="104"/>
        <v>9.1912840495667538</v>
      </c>
      <c r="AX28" s="260">
        <f t="shared" si="104"/>
        <v>9.1320345632777951</v>
      </c>
      <c r="AY28" s="260">
        <f t="shared" si="104"/>
        <v>9.0727850769888363</v>
      </c>
      <c r="AZ28" s="260">
        <f t="shared" si="104"/>
        <v>9.0135355906998775</v>
      </c>
      <c r="BA28" s="260">
        <f t="shared" si="104"/>
        <v>8.9542861044109188</v>
      </c>
      <c r="BB28" s="920">
        <f>'AEO Data'!$B$30*AM28</f>
        <v>8.8950366181219671</v>
      </c>
      <c r="BC28" s="260">
        <f t="shared" si="96"/>
        <v>8.967516319557248</v>
      </c>
      <c r="BD28" s="260">
        <f t="shared" si="96"/>
        <v>9.039996020992529</v>
      </c>
      <c r="BE28" s="260">
        <f t="shared" si="96"/>
        <v>9.1124757224278099</v>
      </c>
      <c r="BF28" s="260">
        <f t="shared" si="96"/>
        <v>9.1849554238630908</v>
      </c>
      <c r="BG28" s="260">
        <f t="shared" si="96"/>
        <v>9.2574351252983718</v>
      </c>
      <c r="BH28" s="260">
        <f t="shared" si="96"/>
        <v>9.3299148267336527</v>
      </c>
      <c r="BI28" s="260">
        <f t="shared" si="96"/>
        <v>9.4023945281689336</v>
      </c>
      <c r="BJ28" s="260">
        <f t="shared" si="96"/>
        <v>9.4748742296042145</v>
      </c>
      <c r="BK28" s="260">
        <f t="shared" si="96"/>
        <v>9.5473539310394955</v>
      </c>
      <c r="BL28" s="260">
        <f t="shared" si="96"/>
        <v>9.6198336324747764</v>
      </c>
      <c r="BM28" s="260">
        <f t="shared" si="96"/>
        <v>9.6923133339100573</v>
      </c>
      <c r="BN28" s="260">
        <f t="shared" si="96"/>
        <v>9.7647930353453383</v>
      </c>
      <c r="BO28" s="260">
        <f t="shared" si="96"/>
        <v>9.8372727367806192</v>
      </c>
      <c r="BP28" s="260">
        <f t="shared" si="96"/>
        <v>9.9097524382159001</v>
      </c>
      <c r="BQ28" s="920">
        <f>'AEO Data'!$C$30*BB28</f>
        <v>9.9822321396511793</v>
      </c>
      <c r="BR28" s="260">
        <f t="shared" si="97"/>
        <v>10.039289274861693</v>
      </c>
      <c r="BS28" s="260">
        <f t="shared" si="97"/>
        <v>10.096346410072206</v>
      </c>
      <c r="BT28" s="260">
        <f t="shared" si="97"/>
        <v>10.153403545282719</v>
      </c>
      <c r="BU28" s="260">
        <f t="shared" si="97"/>
        <v>10.210460680493233</v>
      </c>
      <c r="BV28" s="944">
        <f>'AEO Data'!$D$30*BQ28</f>
        <v>10.26751781570375</v>
      </c>
      <c r="BW28" s="1384">
        <f>+BV28*BW$136/BV$136</f>
        <v>10.301608993916805</v>
      </c>
      <c r="BX28" s="1384">
        <f t="shared" ref="BX28:CZ28" si="105">+BW28*BX$136/BW$136</f>
        <v>10.335813364865709</v>
      </c>
      <c r="BY28" s="1384">
        <f t="shared" si="105"/>
        <v>10.37013130438363</v>
      </c>
      <c r="BZ28" s="1384">
        <f t="shared" si="105"/>
        <v>10.404563189551611</v>
      </c>
      <c r="CA28" s="1384">
        <f t="shared" si="105"/>
        <v>10.439109398702717</v>
      </c>
      <c r="CB28" s="1384">
        <f t="shared" si="105"/>
        <v>10.461385709057588</v>
      </c>
      <c r="CC28" s="1384">
        <f t="shared" si="105"/>
        <v>10.483709555460226</v>
      </c>
      <c r="CD28" s="1384">
        <f t="shared" si="105"/>
        <v>10.506081039349146</v>
      </c>
      <c r="CE28" s="1384">
        <f t="shared" si="105"/>
        <v>10.528500262379325</v>
      </c>
      <c r="CF28" s="1384">
        <f t="shared" si="105"/>
        <v>10.550967326422667</v>
      </c>
      <c r="CG28" s="1384">
        <f t="shared" si="105"/>
        <v>10.558262239599943</v>
      </c>
      <c r="CH28" s="1384">
        <f t="shared" si="105"/>
        <v>10.565562196462466</v>
      </c>
      <c r="CI28" s="1384">
        <f t="shared" si="105"/>
        <v>10.572867200497431</v>
      </c>
      <c r="CJ28" s="1384">
        <f t="shared" si="105"/>
        <v>10.580177255194439</v>
      </c>
      <c r="CK28" s="1384">
        <f t="shared" si="105"/>
        <v>10.587492364045506</v>
      </c>
      <c r="CL28" s="1384">
        <f t="shared" si="105"/>
        <v>10.589971861226042</v>
      </c>
      <c r="CM28" s="1384">
        <f t="shared" si="105"/>
        <v>10.592451939082915</v>
      </c>
      <c r="CN28" s="1384">
        <f t="shared" si="105"/>
        <v>10.594932597752113</v>
      </c>
      <c r="CO28" s="1384">
        <f t="shared" si="105"/>
        <v>10.597413837369656</v>
      </c>
      <c r="CP28" s="1384">
        <f t="shared" si="105"/>
        <v>10.599895658071597</v>
      </c>
      <c r="CQ28" s="1384">
        <f t="shared" si="105"/>
        <v>10.603657095629963</v>
      </c>
      <c r="CR28" s="1384">
        <f t="shared" si="105"/>
        <v>10.607419867957365</v>
      </c>
      <c r="CS28" s="1384">
        <f t="shared" si="105"/>
        <v>10.611183975527453</v>
      </c>
      <c r="CT28" s="1384">
        <f t="shared" si="105"/>
        <v>10.614949418814046</v>
      </c>
      <c r="CU28" s="1384">
        <f t="shared" si="105"/>
        <v>10.618716198291134</v>
      </c>
      <c r="CV28" s="1384">
        <f t="shared" si="105"/>
        <v>10.624513287853858</v>
      </c>
      <c r="CW28" s="1384">
        <f t="shared" si="105"/>
        <v>10.630313542229239</v>
      </c>
      <c r="CX28" s="1384">
        <f t="shared" si="105"/>
        <v>10.636116963145044</v>
      </c>
      <c r="CY28" s="1384">
        <f t="shared" si="105"/>
        <v>10.641923552329986</v>
      </c>
      <c r="CZ28" s="1384">
        <f t="shared" si="105"/>
        <v>10.647733311513726</v>
      </c>
    </row>
    <row r="29" spans="1:104" x14ac:dyDescent="0.2">
      <c r="A29" s="856" t="str">
        <f>'HyARC Physical Property Data'!A75</f>
        <v>Bio Methane</v>
      </c>
      <c r="B29" s="260">
        <v>2007</v>
      </c>
      <c r="C29" s="855">
        <f t="shared" si="99"/>
        <v>1.1446359956438654</v>
      </c>
      <c r="D29" s="1241" t="str">
        <f>'HyARC Physical Property Data'!H75</f>
        <v>mmBtu</v>
      </c>
      <c r="E29" s="855" t="s">
        <v>1059</v>
      </c>
      <c r="F29" s="260">
        <f>'HyARC Physical Property Data'!$E$6</f>
        <v>47.141269049911173</v>
      </c>
      <c r="G29" s="260">
        <f>'HyARC Physical Property Data'!$I$6</f>
        <v>52.224661236371581</v>
      </c>
      <c r="H29" s="1050">
        <v>12.42654028436019</v>
      </c>
      <c r="I29" s="1050">
        <v>12.42654028436019</v>
      </c>
      <c r="J29" s="1050">
        <v>12.42654028436019</v>
      </c>
      <c r="K29" s="1050">
        <v>12.42654028436019</v>
      </c>
      <c r="L29" s="1050">
        <v>12.42654028436019</v>
      </c>
      <c r="M29" s="1050">
        <v>12.42654028436019</v>
      </c>
      <c r="N29" s="260">
        <f t="shared" ref="N29:AM29" si="106">13.11*($C$29/mmBTU_to_GJ)</f>
        <v>14.223865310797228</v>
      </c>
      <c r="O29" s="260">
        <f t="shared" si="106"/>
        <v>14.223865310797228</v>
      </c>
      <c r="P29" s="260">
        <f t="shared" si="106"/>
        <v>14.223865310797228</v>
      </c>
      <c r="Q29" s="260">
        <f t="shared" si="106"/>
        <v>14.223865310797228</v>
      </c>
      <c r="R29" s="260">
        <f t="shared" si="106"/>
        <v>14.223865310797228</v>
      </c>
      <c r="S29" s="260">
        <f t="shared" si="106"/>
        <v>14.223865310797228</v>
      </c>
      <c r="T29" s="260">
        <f t="shared" si="106"/>
        <v>14.223865310797228</v>
      </c>
      <c r="U29" s="260">
        <f t="shared" si="106"/>
        <v>14.223865310797228</v>
      </c>
      <c r="V29" s="260">
        <f t="shared" si="106"/>
        <v>14.223865310797228</v>
      </c>
      <c r="W29" s="260">
        <f t="shared" si="106"/>
        <v>14.223865310797228</v>
      </c>
      <c r="X29" s="260">
        <f t="shared" si="106"/>
        <v>14.223865310797228</v>
      </c>
      <c r="Y29" s="260">
        <f t="shared" si="106"/>
        <v>14.223865310797228</v>
      </c>
      <c r="Z29" s="260">
        <f t="shared" si="106"/>
        <v>14.223865310797228</v>
      </c>
      <c r="AA29" s="260">
        <f t="shared" si="106"/>
        <v>14.223865310797228</v>
      </c>
      <c r="AB29" s="260">
        <f t="shared" si="106"/>
        <v>14.223865310797228</v>
      </c>
      <c r="AC29" s="260">
        <f t="shared" si="106"/>
        <v>14.223865310797228</v>
      </c>
      <c r="AD29" s="260">
        <f t="shared" si="106"/>
        <v>14.223865310797228</v>
      </c>
      <c r="AE29" s="260">
        <f t="shared" si="106"/>
        <v>14.223865310797228</v>
      </c>
      <c r="AF29" s="260">
        <f t="shared" si="106"/>
        <v>14.223865310797228</v>
      </c>
      <c r="AG29" s="260">
        <f t="shared" si="106"/>
        <v>14.223865310797228</v>
      </c>
      <c r="AH29" s="260">
        <f t="shared" si="106"/>
        <v>14.223865310797228</v>
      </c>
      <c r="AI29" s="260">
        <f t="shared" si="106"/>
        <v>14.223865310797228</v>
      </c>
      <c r="AJ29" s="260">
        <f t="shared" si="106"/>
        <v>14.223865310797228</v>
      </c>
      <c r="AK29" s="260">
        <f t="shared" si="106"/>
        <v>14.223865310797228</v>
      </c>
      <c r="AL29" s="260">
        <f t="shared" si="106"/>
        <v>14.223865310797228</v>
      </c>
      <c r="AM29" s="260">
        <f t="shared" si="106"/>
        <v>14.223865310797228</v>
      </c>
      <c r="AN29" s="260">
        <f t="shared" ref="AN29:BV29" si="107">13.11*($C$29/mmBTU_to_GJ)</f>
        <v>14.223865310797228</v>
      </c>
      <c r="AO29" s="260">
        <f t="shared" si="107"/>
        <v>14.223865310797228</v>
      </c>
      <c r="AP29" s="260">
        <f t="shared" si="107"/>
        <v>14.223865310797228</v>
      </c>
      <c r="AQ29" s="260">
        <f t="shared" si="107"/>
        <v>14.223865310797228</v>
      </c>
      <c r="AR29" s="260">
        <f t="shared" si="107"/>
        <v>14.223865310797228</v>
      </c>
      <c r="AS29" s="260">
        <f t="shared" si="107"/>
        <v>14.223865310797228</v>
      </c>
      <c r="AT29" s="260">
        <f t="shared" si="107"/>
        <v>14.223865310797228</v>
      </c>
      <c r="AU29" s="260">
        <f t="shared" si="107"/>
        <v>14.223865310797228</v>
      </c>
      <c r="AV29" s="260">
        <f t="shared" si="107"/>
        <v>14.223865310797228</v>
      </c>
      <c r="AW29" s="260">
        <f t="shared" si="107"/>
        <v>14.223865310797228</v>
      </c>
      <c r="AX29" s="260">
        <f t="shared" si="107"/>
        <v>14.223865310797228</v>
      </c>
      <c r="AY29" s="260">
        <f t="shared" si="107"/>
        <v>14.223865310797228</v>
      </c>
      <c r="AZ29" s="260">
        <f t="shared" si="107"/>
        <v>14.223865310797228</v>
      </c>
      <c r="BA29" s="260">
        <f t="shared" si="107"/>
        <v>14.223865310797228</v>
      </c>
      <c r="BB29" s="260">
        <f t="shared" si="107"/>
        <v>14.223865310797228</v>
      </c>
      <c r="BC29" s="260">
        <f t="shared" si="107"/>
        <v>14.223865310797228</v>
      </c>
      <c r="BD29" s="260">
        <f t="shared" si="107"/>
        <v>14.223865310797228</v>
      </c>
      <c r="BE29" s="260">
        <f t="shared" si="107"/>
        <v>14.223865310797228</v>
      </c>
      <c r="BF29" s="260">
        <f t="shared" si="107"/>
        <v>14.223865310797228</v>
      </c>
      <c r="BG29" s="260">
        <f t="shared" si="107"/>
        <v>14.223865310797228</v>
      </c>
      <c r="BH29" s="260">
        <f t="shared" si="107"/>
        <v>14.223865310797228</v>
      </c>
      <c r="BI29" s="260">
        <f t="shared" si="107"/>
        <v>14.223865310797228</v>
      </c>
      <c r="BJ29" s="260">
        <f t="shared" si="107"/>
        <v>14.223865310797228</v>
      </c>
      <c r="BK29" s="260">
        <f t="shared" si="107"/>
        <v>14.223865310797228</v>
      </c>
      <c r="BL29" s="260">
        <f t="shared" si="107"/>
        <v>14.223865310797228</v>
      </c>
      <c r="BM29" s="260">
        <f t="shared" si="107"/>
        <v>14.223865310797228</v>
      </c>
      <c r="BN29" s="260">
        <f t="shared" si="107"/>
        <v>14.223865310797228</v>
      </c>
      <c r="BO29" s="260">
        <f t="shared" si="107"/>
        <v>14.223865310797228</v>
      </c>
      <c r="BP29" s="260">
        <f t="shared" si="107"/>
        <v>14.223865310797228</v>
      </c>
      <c r="BQ29" s="260">
        <f t="shared" si="107"/>
        <v>14.223865310797228</v>
      </c>
      <c r="BR29" s="260">
        <f t="shared" si="107"/>
        <v>14.223865310797228</v>
      </c>
      <c r="BS29" s="260">
        <f t="shared" si="107"/>
        <v>14.223865310797228</v>
      </c>
      <c r="BT29" s="260">
        <f t="shared" si="107"/>
        <v>14.223865310797228</v>
      </c>
      <c r="BU29" s="260">
        <f t="shared" si="107"/>
        <v>14.223865310797228</v>
      </c>
      <c r="BV29" s="260">
        <f t="shared" si="107"/>
        <v>14.223865310797228</v>
      </c>
      <c r="BW29" s="1384">
        <f>+BV29*BW$136/BV$136</f>
        <v>14.271092726019944</v>
      </c>
      <c r="BX29" s="1384">
        <f t="shared" ref="BX29:CZ29" si="108">+BW29*BX$136/BW$136</f>
        <v>14.318476950147966</v>
      </c>
      <c r="BY29" s="1384">
        <f t="shared" si="108"/>
        <v>14.366018503832969</v>
      </c>
      <c r="BZ29" s="1384">
        <f t="shared" si="108"/>
        <v>14.413717909455341</v>
      </c>
      <c r="CA29" s="1384">
        <f t="shared" si="108"/>
        <v>14.461575691129934</v>
      </c>
      <c r="CB29" s="1384">
        <f t="shared" si="108"/>
        <v>14.49243565590395</v>
      </c>
      <c r="CC29" s="1384">
        <f t="shared" si="108"/>
        <v>14.523361473628309</v>
      </c>
      <c r="CD29" s="1384">
        <f t="shared" si="108"/>
        <v>14.554353284828478</v>
      </c>
      <c r="CE29" s="1384">
        <f t="shared" si="108"/>
        <v>14.585411230329802</v>
      </c>
      <c r="CF29" s="1384">
        <f t="shared" si="108"/>
        <v>14.616535451258134</v>
      </c>
      <c r="CG29" s="1384">
        <f t="shared" si="108"/>
        <v>14.626641288360148</v>
      </c>
      <c r="CH29" s="1384">
        <f t="shared" si="108"/>
        <v>14.636754112613382</v>
      </c>
      <c r="CI29" s="1384">
        <f t="shared" si="108"/>
        <v>14.646873928848736</v>
      </c>
      <c r="CJ29" s="1384">
        <f t="shared" si="108"/>
        <v>14.657000741900452</v>
      </c>
      <c r="CK29" s="1384">
        <f t="shared" si="108"/>
        <v>14.667134556606111</v>
      </c>
      <c r="CL29" s="1384">
        <f t="shared" si="108"/>
        <v>14.670569469948116</v>
      </c>
      <c r="CM29" s="1384">
        <f t="shared" si="108"/>
        <v>14.674005187716483</v>
      </c>
      <c r="CN29" s="1384">
        <f t="shared" si="108"/>
        <v>14.6774417100996</v>
      </c>
      <c r="CO29" s="1384">
        <f t="shared" si="108"/>
        <v>14.6808790372859</v>
      </c>
      <c r="CP29" s="1384">
        <f t="shared" si="108"/>
        <v>14.684317169463862</v>
      </c>
      <c r="CQ29" s="1384">
        <f t="shared" si="108"/>
        <v>14.689527988881515</v>
      </c>
      <c r="CR29" s="1384">
        <f t="shared" si="108"/>
        <v>14.69474065739019</v>
      </c>
      <c r="CS29" s="1384">
        <f t="shared" si="108"/>
        <v>14.699955175646044</v>
      </c>
      <c r="CT29" s="1384">
        <f t="shared" si="108"/>
        <v>14.705171544305472</v>
      </c>
      <c r="CU29" s="1384">
        <f t="shared" si="108"/>
        <v>14.710389764025104</v>
      </c>
      <c r="CV29" s="1384">
        <f t="shared" si="108"/>
        <v>14.718420626266095</v>
      </c>
      <c r="CW29" s="1384">
        <f t="shared" si="108"/>
        <v>14.726455872806168</v>
      </c>
      <c r="CX29" s="1384">
        <f t="shared" si="108"/>
        <v>14.734495506038849</v>
      </c>
      <c r="CY29" s="1384">
        <f t="shared" si="108"/>
        <v>14.74253952835897</v>
      </c>
      <c r="CZ29" s="1384">
        <f t="shared" si="108"/>
        <v>14.750587942162673</v>
      </c>
    </row>
    <row r="30" spans="1:104" x14ac:dyDescent="0.2">
      <c r="A30" s="945" t="str">
        <f>'HyARC Physical Property Data'!A85</f>
        <v>Woody Biomass</v>
      </c>
      <c r="B30" s="260">
        <v>2005</v>
      </c>
      <c r="C30" s="855">
        <f>VLOOKUP(ref_year,DeflatorTable,2,FALSE)/VLOOKUP(B30,DeflatorTable,2,FALSE)</f>
        <v>1.2112501494873942</v>
      </c>
      <c r="D30" s="1241" t="str">
        <f>+'HyARC Physical Property Data'!$H$85</f>
        <v>kg</v>
      </c>
      <c r="E30" s="882" t="s">
        <v>1053</v>
      </c>
      <c r="F30" s="260">
        <f>'HyARC Physical Property Data'!$E$45</f>
        <v>19.551069237418005</v>
      </c>
      <c r="G30" s="260">
        <f>'HyARC Physical Property Data'!$I$45</f>
        <v>20.588656379262464</v>
      </c>
      <c r="H30" s="1051">
        <v>1.3438238843289665</v>
      </c>
      <c r="I30" s="1051">
        <v>1.3438238843289665</v>
      </c>
      <c r="J30" s="1051">
        <v>1.3438238843289665</v>
      </c>
      <c r="K30" s="1051">
        <v>1.3438238843289665</v>
      </c>
      <c r="L30" s="1051">
        <v>1.3438238843289665</v>
      </c>
      <c r="M30" s="1051">
        <v>1.3438238843289665</v>
      </c>
      <c r="N30" s="946">
        <f>1.27*($C$30)</f>
        <v>1.5382876898489906</v>
      </c>
      <c r="O30" s="946">
        <f>1.27*($C$30)</f>
        <v>1.5382876898489906</v>
      </c>
      <c r="P30" s="946">
        <f>1.28*($C$30)</f>
        <v>1.5504001913438645</v>
      </c>
      <c r="Q30" s="946">
        <f>1.32*($C$30)</f>
        <v>1.5988501973233604</v>
      </c>
      <c r="R30" s="946">
        <f>1.32*($C$30)</f>
        <v>1.5988501973233604</v>
      </c>
      <c r="S30" s="946">
        <f>1.34*($C$30)</f>
        <v>1.6230752003131084</v>
      </c>
      <c r="T30" s="946">
        <f>1.34*($C$30)</f>
        <v>1.6230752003131084</v>
      </c>
      <c r="U30" s="946">
        <f>1.36*($C$30)</f>
        <v>1.6473002033028561</v>
      </c>
      <c r="V30" s="946">
        <f>1.36*($C$30)</f>
        <v>1.6473002033028561</v>
      </c>
      <c r="W30" s="946">
        <f>1.38*($C$30)</f>
        <v>1.6715252062926038</v>
      </c>
      <c r="X30" s="946">
        <f>1.4*($C$30)</f>
        <v>1.6957502092823518</v>
      </c>
      <c r="Y30" s="946">
        <f>1.46*($C$30)</f>
        <v>1.7684252182515954</v>
      </c>
      <c r="Z30" s="946">
        <f>1.48*($C$30)</f>
        <v>1.7926502212413433</v>
      </c>
      <c r="AA30" s="946">
        <f>1.48*($C$30)</f>
        <v>1.7926502212413433</v>
      </c>
      <c r="AB30" s="946">
        <f>1.51*($C$30)</f>
        <v>1.8289877257259652</v>
      </c>
      <c r="AC30" s="946">
        <f>1.52*($C$30)</f>
        <v>1.8411002272208392</v>
      </c>
      <c r="AD30" s="946">
        <f>1.62*($C$30)</f>
        <v>1.9622252421695787</v>
      </c>
      <c r="AE30" s="946">
        <f>1.72*($C$30)</f>
        <v>2.083350257118318</v>
      </c>
      <c r="AF30" s="946">
        <f>1.82*($C$30)</f>
        <v>2.2044752720670573</v>
      </c>
      <c r="AG30" s="946">
        <f>1.91*($C$30)</f>
        <v>2.3134877855209228</v>
      </c>
      <c r="AH30" s="946">
        <f>2.01*($C$30)</f>
        <v>2.4346128004696621</v>
      </c>
      <c r="AI30" s="946">
        <f>2.11*($C$30)</f>
        <v>2.5557378154184014</v>
      </c>
      <c r="AJ30" s="946">
        <f>2.2*($C$30)</f>
        <v>2.6647503288722674</v>
      </c>
      <c r="AK30" s="946">
        <f>2.3*($C$30)</f>
        <v>2.7858753438210062</v>
      </c>
      <c r="AL30" s="946">
        <f>2.4*($C$30)</f>
        <v>2.9070003587697459</v>
      </c>
      <c r="AM30" s="946">
        <f>2.5*($C$30)</f>
        <v>3.0281253737184857</v>
      </c>
      <c r="AN30" s="946">
        <f>2.57*($C$30)</f>
        <v>3.1129128841826028</v>
      </c>
      <c r="AO30" s="946">
        <f>2.64*($C$30)</f>
        <v>3.1977003946467208</v>
      </c>
      <c r="AP30" s="946">
        <f>2.71*($C$30)</f>
        <v>3.282487905110838</v>
      </c>
      <c r="AQ30" s="946">
        <f>2.78*($C$30)</f>
        <v>3.3672754155749556</v>
      </c>
      <c r="AR30" s="946">
        <f>2.85*($C$30)</f>
        <v>3.4520629260390736</v>
      </c>
      <c r="AS30" s="946">
        <f>2.92*($C$30)</f>
        <v>3.5368504365031908</v>
      </c>
      <c r="AT30" s="946">
        <f>2.99*($C$30)</f>
        <v>3.6216379469673088</v>
      </c>
      <c r="AU30" s="946">
        <f>3.07*($C$30)</f>
        <v>3.7185379589263001</v>
      </c>
      <c r="AV30" s="946">
        <f>3.14*($C$30)</f>
        <v>3.8033254693904177</v>
      </c>
      <c r="AW30" s="946">
        <f>3.21*($C$30)</f>
        <v>3.8881129798545353</v>
      </c>
      <c r="AX30" s="946">
        <f>3.28*($C$30)</f>
        <v>3.9729004903186529</v>
      </c>
      <c r="AY30" s="946">
        <f>3.35*($C$30)</f>
        <v>4.0576880007827709</v>
      </c>
      <c r="AZ30" s="946">
        <f>3.42*($C$30)</f>
        <v>4.1424755112468876</v>
      </c>
      <c r="BA30" s="946">
        <f>3.49*($C$30)</f>
        <v>4.2272630217110061</v>
      </c>
      <c r="BB30" s="946">
        <f>3.56*($C$30)</f>
        <v>4.3120505321751237</v>
      </c>
      <c r="BC30" s="946">
        <f>3.64*($C$30)</f>
        <v>4.4089505441341146</v>
      </c>
      <c r="BD30" s="946">
        <f>3.71*($C$30)</f>
        <v>4.4937380545982322</v>
      </c>
      <c r="BE30" s="946">
        <f>3.78*($C$30)</f>
        <v>4.5785255650623498</v>
      </c>
      <c r="BF30" s="946">
        <f>3.85*($C$30)</f>
        <v>4.6633130755264673</v>
      </c>
      <c r="BG30" s="946">
        <f>3.92*($C$30)</f>
        <v>4.7481005859905849</v>
      </c>
      <c r="BH30" s="946">
        <f>3.99*($C$30)</f>
        <v>4.8328880964547034</v>
      </c>
      <c r="BI30" s="946">
        <f>4.06*($C$30)</f>
        <v>4.9176756069188201</v>
      </c>
      <c r="BJ30" s="946">
        <f>4.14*($C$30)</f>
        <v>5.0145756188778119</v>
      </c>
      <c r="BK30" s="946">
        <f>4.21*($C$30)</f>
        <v>5.0993631293419295</v>
      </c>
      <c r="BL30" s="946">
        <f>4.28*($C$30)</f>
        <v>5.1841506398060471</v>
      </c>
      <c r="BM30" s="946">
        <f>4.35*($C$30)</f>
        <v>5.2689381502701647</v>
      </c>
      <c r="BN30" s="946">
        <f>4.42*($C$30)</f>
        <v>5.3537256607342822</v>
      </c>
      <c r="BO30" s="946">
        <f>4.49*($C$30)</f>
        <v>5.4385131711983998</v>
      </c>
      <c r="BP30" s="946">
        <f>4.56*($C$30)</f>
        <v>5.5233006816625174</v>
      </c>
      <c r="BQ30" s="946">
        <f>4.63*($C$30)</f>
        <v>5.608088192126635</v>
      </c>
      <c r="BR30" s="946">
        <f>4.71*($C$30)</f>
        <v>5.7049882040856268</v>
      </c>
      <c r="BS30" s="946">
        <f>4.78*($C$30)</f>
        <v>5.7897757145497444</v>
      </c>
      <c r="BT30" s="946">
        <f>4.85*($C$30)</f>
        <v>5.8745632250138611</v>
      </c>
      <c r="BU30" s="946">
        <f>4.92*($C$30)</f>
        <v>5.9593507354779796</v>
      </c>
      <c r="BV30" s="947">
        <f>4.99*($C$30)</f>
        <v>6.0441382459420971</v>
      </c>
      <c r="BW30" s="1384">
        <f>+BV30*BW$137/BV$137</f>
        <v>6.0586659764672328</v>
      </c>
      <c r="BX30" s="1384">
        <f t="shared" ref="BX30:CZ30" si="109">+BW30*BX$137/BW$137</f>
        <v>6.0732286259412112</v>
      </c>
      <c r="BY30" s="1384">
        <f t="shared" si="109"/>
        <v>6.0878262782954495</v>
      </c>
      <c r="BZ30" s="1384">
        <f t="shared" si="109"/>
        <v>6.1024590176630999</v>
      </c>
      <c r="CA30" s="1384">
        <f t="shared" si="109"/>
        <v>6.1171269283795393</v>
      </c>
      <c r="CB30" s="1384">
        <f t="shared" si="109"/>
        <v>6.1299667153690152</v>
      </c>
      <c r="CC30" s="1384">
        <f t="shared" si="109"/>
        <v>6.1428334529403346</v>
      </c>
      <c r="CD30" s="1384">
        <f t="shared" si="109"/>
        <v>6.155727197662495</v>
      </c>
      <c r="CE30" s="1384">
        <f t="shared" si="109"/>
        <v>6.1686480062232301</v>
      </c>
      <c r="CF30" s="1384">
        <f t="shared" si="109"/>
        <v>6.18159593542926</v>
      </c>
      <c r="CG30" s="1384">
        <f t="shared" si="109"/>
        <v>6.197524392005751</v>
      </c>
      <c r="CH30" s="1384">
        <f t="shared" si="109"/>
        <v>6.2134938923080965</v>
      </c>
      <c r="CI30" s="1384">
        <f t="shared" si="109"/>
        <v>6.229504542095909</v>
      </c>
      <c r="CJ30" s="1384">
        <f t="shared" si="109"/>
        <v>6.245556447401321</v>
      </c>
      <c r="CK30" s="1384">
        <f t="shared" si="109"/>
        <v>6.2616497145296828</v>
      </c>
      <c r="CL30" s="1384">
        <f t="shared" si="109"/>
        <v>6.2750522655841658</v>
      </c>
      <c r="CM30" s="1384">
        <f t="shared" si="109"/>
        <v>6.2884835037072264</v>
      </c>
      <c r="CN30" s="1384">
        <f t="shared" si="109"/>
        <v>6.3019434903011975</v>
      </c>
      <c r="CO30" s="1384">
        <f t="shared" si="109"/>
        <v>6.3154322868998385</v>
      </c>
      <c r="CP30" s="1384">
        <f t="shared" si="109"/>
        <v>6.3289499551686168</v>
      </c>
      <c r="CQ30" s="1384">
        <f t="shared" si="109"/>
        <v>6.3413225489579119</v>
      </c>
      <c r="CR30" s="1384">
        <f t="shared" si="109"/>
        <v>6.3537193301840116</v>
      </c>
      <c r="CS30" s="1384">
        <f t="shared" si="109"/>
        <v>6.3661403461314299</v>
      </c>
      <c r="CT30" s="1384">
        <f t="shared" si="109"/>
        <v>6.3785856441771198</v>
      </c>
      <c r="CU30" s="1384">
        <f t="shared" si="109"/>
        <v>6.3910552717906537</v>
      </c>
      <c r="CV30" s="1384">
        <f t="shared" si="109"/>
        <v>6.4057772391562917</v>
      </c>
      <c r="CW30" s="1384">
        <f t="shared" si="109"/>
        <v>6.4205331189689208</v>
      </c>
      <c r="CX30" s="1384">
        <f t="shared" si="109"/>
        <v>6.4353229893467718</v>
      </c>
      <c r="CY30" s="1384">
        <f t="shared" si="109"/>
        <v>6.4501469285880244</v>
      </c>
      <c r="CZ30" s="1384">
        <f t="shared" si="109"/>
        <v>6.4650050151712186</v>
      </c>
    </row>
    <row r="31" spans="1:104" x14ac:dyDescent="0.2">
      <c r="A31" s="945" t="str">
        <f>'HyARC Physical Property Data'!$A$87</f>
        <v>Woody Biomass MYPP</v>
      </c>
      <c r="B31" s="260">
        <v>2007</v>
      </c>
      <c r="C31" s="855">
        <f>VLOOKUP(ref_year,DeflatorTable,2,FALSE)/VLOOKUP(B31,DeflatorTable,2,FALSE)</f>
        <v>1.1446359956438654</v>
      </c>
      <c r="D31" s="1241" t="str">
        <f>+'HyARC Physical Property Data'!$H$87</f>
        <v>kg</v>
      </c>
      <c r="E31" s="882" t="s">
        <v>1053</v>
      </c>
      <c r="F31" s="260">
        <v>18.608000000000001</v>
      </c>
      <c r="G31" s="260"/>
      <c r="H31" s="1050">
        <v>4.4443250214961303</v>
      </c>
      <c r="I31" s="1050">
        <v>4.4443250214961303</v>
      </c>
      <c r="J31" s="1050">
        <v>4.4443250214961303</v>
      </c>
      <c r="K31" s="1050">
        <v>4.4443250214961303</v>
      </c>
      <c r="L31" s="1050">
        <v>4.4443250214961303</v>
      </c>
      <c r="M31" s="1050">
        <v>4.4443250214961303</v>
      </c>
      <c r="N31" s="260">
        <f>4.44432502149613*$C$31</f>
        <v>5.0871343959451663</v>
      </c>
      <c r="O31" s="946">
        <f t="shared" ref="O31:T31" si="110">N31-($N$31-$U$31)/7</f>
        <v>4.9664808197552768</v>
      </c>
      <c r="P31" s="946">
        <f t="shared" si="110"/>
        <v>4.8458272435653873</v>
      </c>
      <c r="Q31" s="946">
        <f t="shared" si="110"/>
        <v>4.7251736673754978</v>
      </c>
      <c r="R31" s="946">
        <f t="shared" si="110"/>
        <v>4.6045200911856083</v>
      </c>
      <c r="S31" s="946">
        <f t="shared" si="110"/>
        <v>4.4838665149957189</v>
      </c>
      <c r="T31" s="946">
        <f t="shared" si="110"/>
        <v>4.3632129388058294</v>
      </c>
      <c r="U31" s="946">
        <f>3.70647033533964*$C$31</f>
        <v>4.2425593626159408</v>
      </c>
      <c r="V31" s="946">
        <f t="shared" ref="V31:BV31" si="111">3.70647033533964*$C$31</f>
        <v>4.2425593626159408</v>
      </c>
      <c r="W31" s="946">
        <f t="shared" si="111"/>
        <v>4.2425593626159408</v>
      </c>
      <c r="X31" s="946">
        <f t="shared" si="111"/>
        <v>4.2425593626159408</v>
      </c>
      <c r="Y31" s="946">
        <f t="shared" si="111"/>
        <v>4.2425593626159408</v>
      </c>
      <c r="Z31" s="946">
        <f t="shared" si="111"/>
        <v>4.2425593626159408</v>
      </c>
      <c r="AA31" s="946">
        <f t="shared" si="111"/>
        <v>4.2425593626159408</v>
      </c>
      <c r="AB31" s="946">
        <f t="shared" si="111"/>
        <v>4.2425593626159408</v>
      </c>
      <c r="AC31" s="946">
        <f t="shared" si="111"/>
        <v>4.2425593626159408</v>
      </c>
      <c r="AD31" s="946">
        <f t="shared" si="111"/>
        <v>4.2425593626159408</v>
      </c>
      <c r="AE31" s="946">
        <f t="shared" si="111"/>
        <v>4.2425593626159408</v>
      </c>
      <c r="AF31" s="946">
        <f t="shared" si="111"/>
        <v>4.2425593626159408</v>
      </c>
      <c r="AG31" s="946">
        <f t="shared" si="111"/>
        <v>4.2425593626159408</v>
      </c>
      <c r="AH31" s="946">
        <f t="shared" si="111"/>
        <v>4.2425593626159408</v>
      </c>
      <c r="AI31" s="946">
        <f t="shared" si="111"/>
        <v>4.2425593626159408</v>
      </c>
      <c r="AJ31" s="946">
        <f t="shared" si="111"/>
        <v>4.2425593626159408</v>
      </c>
      <c r="AK31" s="946">
        <f t="shared" si="111"/>
        <v>4.2425593626159408</v>
      </c>
      <c r="AL31" s="946">
        <f t="shared" si="111"/>
        <v>4.2425593626159408</v>
      </c>
      <c r="AM31" s="946">
        <f t="shared" si="111"/>
        <v>4.2425593626159408</v>
      </c>
      <c r="AN31" s="946">
        <f t="shared" si="111"/>
        <v>4.2425593626159408</v>
      </c>
      <c r="AO31" s="946">
        <f t="shared" si="111"/>
        <v>4.2425593626159408</v>
      </c>
      <c r="AP31" s="946">
        <f t="shared" si="111"/>
        <v>4.2425593626159408</v>
      </c>
      <c r="AQ31" s="946">
        <f t="shared" si="111"/>
        <v>4.2425593626159408</v>
      </c>
      <c r="AR31" s="946">
        <f t="shared" si="111"/>
        <v>4.2425593626159408</v>
      </c>
      <c r="AS31" s="946">
        <f t="shared" si="111"/>
        <v>4.2425593626159408</v>
      </c>
      <c r="AT31" s="946">
        <f t="shared" si="111"/>
        <v>4.2425593626159408</v>
      </c>
      <c r="AU31" s="946">
        <f t="shared" si="111"/>
        <v>4.2425593626159408</v>
      </c>
      <c r="AV31" s="946">
        <f t="shared" si="111"/>
        <v>4.2425593626159408</v>
      </c>
      <c r="AW31" s="946">
        <f t="shared" si="111"/>
        <v>4.2425593626159408</v>
      </c>
      <c r="AX31" s="946">
        <f t="shared" si="111"/>
        <v>4.2425593626159408</v>
      </c>
      <c r="AY31" s="946">
        <f t="shared" si="111"/>
        <v>4.2425593626159408</v>
      </c>
      <c r="AZ31" s="946">
        <f t="shared" si="111"/>
        <v>4.2425593626159408</v>
      </c>
      <c r="BA31" s="946">
        <f t="shared" si="111"/>
        <v>4.2425593626159408</v>
      </c>
      <c r="BB31" s="946">
        <f t="shared" si="111"/>
        <v>4.2425593626159408</v>
      </c>
      <c r="BC31" s="946">
        <f t="shared" si="111"/>
        <v>4.2425593626159408</v>
      </c>
      <c r="BD31" s="946">
        <f t="shared" si="111"/>
        <v>4.2425593626159408</v>
      </c>
      <c r="BE31" s="946">
        <f t="shared" si="111"/>
        <v>4.2425593626159408</v>
      </c>
      <c r="BF31" s="946">
        <f t="shared" si="111"/>
        <v>4.2425593626159408</v>
      </c>
      <c r="BG31" s="946">
        <f t="shared" si="111"/>
        <v>4.2425593626159408</v>
      </c>
      <c r="BH31" s="946">
        <f t="shared" si="111"/>
        <v>4.2425593626159408</v>
      </c>
      <c r="BI31" s="946">
        <f t="shared" si="111"/>
        <v>4.2425593626159408</v>
      </c>
      <c r="BJ31" s="946">
        <f t="shared" si="111"/>
        <v>4.2425593626159408</v>
      </c>
      <c r="BK31" s="946">
        <f t="shared" si="111"/>
        <v>4.2425593626159408</v>
      </c>
      <c r="BL31" s="946">
        <f t="shared" si="111"/>
        <v>4.2425593626159408</v>
      </c>
      <c r="BM31" s="946">
        <f t="shared" si="111"/>
        <v>4.2425593626159408</v>
      </c>
      <c r="BN31" s="946">
        <f t="shared" si="111"/>
        <v>4.2425593626159408</v>
      </c>
      <c r="BO31" s="946">
        <f t="shared" si="111"/>
        <v>4.2425593626159408</v>
      </c>
      <c r="BP31" s="946">
        <f t="shared" si="111"/>
        <v>4.2425593626159408</v>
      </c>
      <c r="BQ31" s="946">
        <f t="shared" si="111"/>
        <v>4.2425593626159408</v>
      </c>
      <c r="BR31" s="946">
        <f t="shared" si="111"/>
        <v>4.2425593626159408</v>
      </c>
      <c r="BS31" s="946">
        <f t="shared" si="111"/>
        <v>4.2425593626159408</v>
      </c>
      <c r="BT31" s="946">
        <f t="shared" si="111"/>
        <v>4.2425593626159408</v>
      </c>
      <c r="BU31" s="946">
        <f t="shared" si="111"/>
        <v>4.2425593626159408</v>
      </c>
      <c r="BV31" s="946">
        <f t="shared" si="111"/>
        <v>4.2425593626159408</v>
      </c>
      <c r="BW31" s="1384">
        <f>+BV31*BW$137/BV$137</f>
        <v>4.2527568062628252</v>
      </c>
      <c r="BX31" s="1384">
        <f t="shared" ref="BX31:CZ31" si="112">+BW31*BX$137/BW$137</f>
        <v>4.2629787605524712</v>
      </c>
      <c r="BY31" s="1384">
        <f t="shared" si="112"/>
        <v>4.2732252843988219</v>
      </c>
      <c r="BZ31" s="1384">
        <f t="shared" si="112"/>
        <v>4.2834964368574244</v>
      </c>
      <c r="CA31" s="1384">
        <f t="shared" si="112"/>
        <v>4.2937922771257746</v>
      </c>
      <c r="CB31" s="1384">
        <f t="shared" si="112"/>
        <v>4.302804903291757</v>
      </c>
      <c r="CC31" s="1384">
        <f t="shared" si="112"/>
        <v>4.3118364468680763</v>
      </c>
      <c r="CD31" s="1384">
        <f t="shared" si="112"/>
        <v>4.3208869475621841</v>
      </c>
      <c r="CE31" s="1384">
        <f t="shared" si="112"/>
        <v>4.3299564451648767</v>
      </c>
      <c r="CF31" s="1384">
        <f t="shared" si="112"/>
        <v>4.3390449795504713</v>
      </c>
      <c r="CG31" s="1384">
        <f t="shared" si="112"/>
        <v>4.3502256342328796</v>
      </c>
      <c r="CH31" s="1384">
        <f t="shared" si="112"/>
        <v>4.361435098720146</v>
      </c>
      <c r="CI31" s="1384">
        <f t="shared" si="112"/>
        <v>4.3726734472480695</v>
      </c>
      <c r="CJ31" s="1384">
        <f t="shared" si="112"/>
        <v>4.3839407542437394</v>
      </c>
      <c r="CK31" s="1384">
        <f t="shared" si="112"/>
        <v>4.3952370943260251</v>
      </c>
      <c r="CL31" s="1384">
        <f t="shared" si="112"/>
        <v>4.4046447412304142</v>
      </c>
      <c r="CM31" s="1384">
        <f t="shared" si="112"/>
        <v>4.4140725244365262</v>
      </c>
      <c r="CN31" s="1384">
        <f t="shared" si="112"/>
        <v>4.4235204870444758</v>
      </c>
      <c r="CO31" s="1384">
        <f t="shared" si="112"/>
        <v>4.4329886722466272</v>
      </c>
      <c r="CP31" s="1384">
        <f t="shared" si="112"/>
        <v>4.4424771233277953</v>
      </c>
      <c r="CQ31" s="1384">
        <f t="shared" si="112"/>
        <v>4.4511618127714661</v>
      </c>
      <c r="CR31" s="1384">
        <f t="shared" si="112"/>
        <v>4.4598634800922632</v>
      </c>
      <c r="CS31" s="1384">
        <f t="shared" si="112"/>
        <v>4.4685821584805847</v>
      </c>
      <c r="CT31" s="1384">
        <f t="shared" si="112"/>
        <v>4.4773178811917154</v>
      </c>
      <c r="CU31" s="1384">
        <f t="shared" si="112"/>
        <v>4.486070681545951</v>
      </c>
      <c r="CV31" s="1384">
        <f t="shared" si="112"/>
        <v>4.4964044657748525</v>
      </c>
      <c r="CW31" s="1384">
        <f t="shared" si="112"/>
        <v>4.5067620541531026</v>
      </c>
      <c r="CX31" s="1384">
        <f t="shared" si="112"/>
        <v>4.5171435015141972</v>
      </c>
      <c r="CY31" s="1384">
        <f t="shared" si="112"/>
        <v>4.5275488628179446</v>
      </c>
      <c r="CZ31" s="1384">
        <f t="shared" si="112"/>
        <v>4.537978193150753</v>
      </c>
    </row>
    <row r="32" spans="1:104" x14ac:dyDescent="0.2">
      <c r="A32" s="951" t="str">
        <f>'HyARC Physical Property Data'!A79</f>
        <v>Electric Utility Steam Coal</v>
      </c>
      <c r="B32" s="260">
        <v>2011</v>
      </c>
      <c r="C32" s="855">
        <f>VLOOKUP(ref_year,DeflatorTable,2,FALSE)/VLOOKUP(B32,DeflatorTable,2,FALSE)</f>
        <v>1.0784554773635862</v>
      </c>
      <c r="D32" s="1241" t="str">
        <f>+'HyARC Physical Property Data'!$H$79</f>
        <v>kg</v>
      </c>
      <c r="E32" s="882" t="s">
        <v>1053</v>
      </c>
      <c r="F32" s="260">
        <f>'HyARC Physical Property Data'!E42</f>
        <v>22.7322030001394</v>
      </c>
      <c r="G32" s="260">
        <f>'HyARC Physical Property Data'!I42</f>
        <v>23.967615189707661</v>
      </c>
      <c r="H32" s="1050">
        <v>1.7344499599167666</v>
      </c>
      <c r="I32" s="1050">
        <v>1.7344499599167666</v>
      </c>
      <c r="J32" s="1050">
        <v>1.7344499599167666</v>
      </c>
      <c r="K32" s="1050">
        <v>1.7788973636542149</v>
      </c>
      <c r="L32" s="1050">
        <v>1.9298772179141501</v>
      </c>
      <c r="M32" s="1050">
        <v>1.9810774561110811</v>
      </c>
      <c r="N32" s="260">
        <f t="shared" ref="N32:AR32" si="113">N50*($C32/mmBTU_to_GJ*$G32/$F32)</f>
        <v>2.4767433408545654</v>
      </c>
      <c r="O32" s="260">
        <f t="shared" si="113"/>
        <v>2.5651337544408896</v>
      </c>
      <c r="P32" s="260">
        <f t="shared" si="113"/>
        <v>2.592373750453385</v>
      </c>
      <c r="Q32" s="260">
        <f t="shared" si="113"/>
        <v>2.5186929778253004</v>
      </c>
      <c r="R32" s="260">
        <f t="shared" si="113"/>
        <v>2.5813167306269946</v>
      </c>
      <c r="S32" s="260">
        <f t="shared" si="113"/>
        <v>2.582493674349621</v>
      </c>
      <c r="T32" s="260">
        <f t="shared" si="113"/>
        <v>2.6495298883238707</v>
      </c>
      <c r="U32" s="260">
        <f t="shared" si="113"/>
        <v>2.6645951990883976</v>
      </c>
      <c r="V32" s="260">
        <f t="shared" si="113"/>
        <v>2.6731948638895253</v>
      </c>
      <c r="W32" s="260">
        <f t="shared" si="113"/>
        <v>2.6770339422228524</v>
      </c>
      <c r="X32" s="260">
        <f t="shared" si="113"/>
        <v>2.7117742599988581</v>
      </c>
      <c r="Y32" s="260">
        <f t="shared" si="113"/>
        <v>2.7445379158817356</v>
      </c>
      <c r="Z32" s="260">
        <f t="shared" si="113"/>
        <v>2.7930415773737955</v>
      </c>
      <c r="AA32" s="260">
        <f t="shared" si="113"/>
        <v>2.8325090702115565</v>
      </c>
      <c r="AB32" s="260">
        <f t="shared" si="113"/>
        <v>2.8662642904028734</v>
      </c>
      <c r="AC32" s="260">
        <f t="shared" si="113"/>
        <v>2.9010186194136725</v>
      </c>
      <c r="AD32" s="260">
        <f t="shared" si="113"/>
        <v>2.940829926397512</v>
      </c>
      <c r="AE32" s="260">
        <f t="shared" si="113"/>
        <v>2.9767170098519729</v>
      </c>
      <c r="AF32" s="260">
        <f t="shared" si="113"/>
        <v>3.0091724185694009</v>
      </c>
      <c r="AG32" s="260">
        <f t="shared" si="113"/>
        <v>3.0482659192169139</v>
      </c>
      <c r="AH32" s="260">
        <f t="shared" si="113"/>
        <v>3.0901131663949291</v>
      </c>
      <c r="AI32" s="260">
        <f t="shared" si="113"/>
        <v>3.1223497842921248</v>
      </c>
      <c r="AJ32" s="260">
        <f t="shared" si="113"/>
        <v>3.1512808285654264</v>
      </c>
      <c r="AK32" s="260">
        <f t="shared" si="113"/>
        <v>3.1840250842770517</v>
      </c>
      <c r="AL32" s="260">
        <f t="shared" si="113"/>
        <v>3.2199865350546464</v>
      </c>
      <c r="AM32" s="260">
        <f t="shared" si="113"/>
        <v>3.2659164404939314</v>
      </c>
      <c r="AN32" s="260">
        <f t="shared" si="113"/>
        <v>3.3055854795552553</v>
      </c>
      <c r="AO32" s="260">
        <f t="shared" si="113"/>
        <v>3.3425050832352436</v>
      </c>
      <c r="AP32" s="260">
        <f t="shared" si="113"/>
        <v>3.3788577707997551</v>
      </c>
      <c r="AQ32" s="260">
        <f t="shared" si="113"/>
        <v>3.4165792482248296</v>
      </c>
      <c r="AR32" s="260">
        <f t="shared" si="113"/>
        <v>3.4505834372805482</v>
      </c>
      <c r="AS32" s="260">
        <f t="shared" ref="AS32:BA32" si="114">($BB32-$AR32)/10+AR32</f>
        <v>3.4478678685678643</v>
      </c>
      <c r="AT32" s="260">
        <f t="shared" si="114"/>
        <v>3.44515229985518</v>
      </c>
      <c r="AU32" s="260">
        <f t="shared" si="114"/>
        <v>3.4424367311424957</v>
      </c>
      <c r="AV32" s="260">
        <f t="shared" si="114"/>
        <v>3.4397211624298114</v>
      </c>
      <c r="AW32" s="260">
        <f t="shared" si="114"/>
        <v>3.4370055937171271</v>
      </c>
      <c r="AX32" s="260">
        <f t="shared" si="114"/>
        <v>3.4342900250044428</v>
      </c>
      <c r="AY32" s="260">
        <f t="shared" si="114"/>
        <v>3.4315744562917585</v>
      </c>
      <c r="AZ32" s="260">
        <f t="shared" si="114"/>
        <v>3.4288588875790742</v>
      </c>
      <c r="BA32" s="260">
        <f t="shared" si="114"/>
        <v>3.4261433188663899</v>
      </c>
      <c r="BB32" s="920">
        <f>('AEO Data'!$B$28*AM32)</f>
        <v>3.4234277501537074</v>
      </c>
      <c r="BC32" s="260">
        <f>(($BQ$32-$BB$32)/15+BB32)</f>
        <v>3.435442052510095</v>
      </c>
      <c r="BD32" s="260">
        <f t="shared" ref="BD32:BP32" si="115">(($BQ$32-$BB$32)/15+BC32)</f>
        <v>3.4474563548664827</v>
      </c>
      <c r="BE32" s="260">
        <f t="shared" si="115"/>
        <v>3.4594706572228704</v>
      </c>
      <c r="BF32" s="260">
        <f t="shared" si="115"/>
        <v>3.4714849595792581</v>
      </c>
      <c r="BG32" s="260">
        <f t="shared" si="115"/>
        <v>3.4834992619356457</v>
      </c>
      <c r="BH32" s="260">
        <f t="shared" si="115"/>
        <v>3.4955135642920334</v>
      </c>
      <c r="BI32" s="260">
        <f t="shared" si="115"/>
        <v>3.5075278666484211</v>
      </c>
      <c r="BJ32" s="260">
        <f t="shared" si="115"/>
        <v>3.5195421690048088</v>
      </c>
      <c r="BK32" s="260">
        <f t="shared" si="115"/>
        <v>3.5315564713611964</v>
      </c>
      <c r="BL32" s="260">
        <f t="shared" si="115"/>
        <v>3.5435707737175841</v>
      </c>
      <c r="BM32" s="260">
        <f t="shared" si="115"/>
        <v>3.5555850760739718</v>
      </c>
      <c r="BN32" s="260">
        <f t="shared" si="115"/>
        <v>3.5675993784303595</v>
      </c>
      <c r="BO32" s="260">
        <f t="shared" si="115"/>
        <v>3.5796136807867471</v>
      </c>
      <c r="BP32" s="260">
        <f t="shared" si="115"/>
        <v>3.5916279831431348</v>
      </c>
      <c r="BQ32" s="920">
        <f>('AEO Data'!$C$28*BB32)</f>
        <v>3.6036422854995251</v>
      </c>
      <c r="BR32" s="260">
        <f>(($BV$32-$BQ$32)/5+BQ32)</f>
        <v>3.6151952056451568</v>
      </c>
      <c r="BS32" s="260">
        <f>(($BV$32-$BQ$32)/5+BR32)</f>
        <v>3.6267481257907885</v>
      </c>
      <c r="BT32" s="260">
        <f>(($BV$32-$BQ$32)/5+BS32)</f>
        <v>3.6383010459364202</v>
      </c>
      <c r="BU32" s="260">
        <f>(($BV$32-$BQ$32)/5+BT32)</f>
        <v>3.6498539660820519</v>
      </c>
      <c r="BV32" s="944">
        <f>('AEO Data'!$D$28*BQ32)</f>
        <v>3.6614068862276832</v>
      </c>
      <c r="BW32" s="1384">
        <f>+BV32*BW$138/BV$138</f>
        <v>3.6737859390461725</v>
      </c>
      <c r="BX32" s="1384">
        <f t="shared" ref="BX32:CZ32" si="116">+BW32*BX$138/BW$138</f>
        <v>3.6862068448882255</v>
      </c>
      <c r="BY32" s="1384">
        <f t="shared" si="116"/>
        <v>3.6986697452570407</v>
      </c>
      <c r="BZ32" s="1384">
        <f t="shared" si="116"/>
        <v>3.7111747821342336</v>
      </c>
      <c r="CA32" s="1384">
        <f t="shared" si="116"/>
        <v>3.7237220979814545</v>
      </c>
      <c r="CB32" s="1384">
        <f t="shared" si="116"/>
        <v>3.7343836989714818</v>
      </c>
      <c r="CC32" s="1384">
        <f t="shared" si="116"/>
        <v>3.7450758257990131</v>
      </c>
      <c r="CD32" s="1384">
        <f t="shared" si="116"/>
        <v>3.7557985658643127</v>
      </c>
      <c r="CE32" s="1384">
        <f t="shared" si="116"/>
        <v>3.766552006817887</v>
      </c>
      <c r="CF32" s="1384">
        <f t="shared" si="116"/>
        <v>3.7773362365611991</v>
      </c>
      <c r="CG32" s="1384">
        <f t="shared" si="116"/>
        <v>3.7855700072018039</v>
      </c>
      <c r="CH32" s="1384">
        <f t="shared" si="116"/>
        <v>3.7938217256698499</v>
      </c>
      <c r="CI32" s="1384">
        <f t="shared" si="116"/>
        <v>3.8020914310876934</v>
      </c>
      <c r="CJ32" s="1384">
        <f t="shared" si="116"/>
        <v>3.8103791626629699</v>
      </c>
      <c r="CK32" s="1384">
        <f t="shared" si="116"/>
        <v>3.818684959688778</v>
      </c>
      <c r="CL32" s="1384">
        <f t="shared" si="116"/>
        <v>3.8243155975254672</v>
      </c>
      <c r="CM32" s="1384">
        <f t="shared" si="116"/>
        <v>3.8299545377182778</v>
      </c>
      <c r="CN32" s="1384">
        <f t="shared" si="116"/>
        <v>3.8356017925090047</v>
      </c>
      <c r="CO32" s="1384">
        <f t="shared" si="116"/>
        <v>3.841257374157494</v>
      </c>
      <c r="CP32" s="1384">
        <f t="shared" si="116"/>
        <v>3.846921294941668</v>
      </c>
      <c r="CQ32" s="1384">
        <f t="shared" si="116"/>
        <v>3.8488180534393406</v>
      </c>
      <c r="CR32" s="1384">
        <f t="shared" si="116"/>
        <v>3.8507157471505309</v>
      </c>
      <c r="CS32" s="1384">
        <f t="shared" si="116"/>
        <v>3.852614376536355</v>
      </c>
      <c r="CT32" s="1384">
        <f t="shared" si="116"/>
        <v>3.8545139420581549</v>
      </c>
      <c r="CU32" s="1384">
        <f t="shared" si="116"/>
        <v>3.8564144441775015</v>
      </c>
      <c r="CV32" s="1384">
        <f t="shared" si="116"/>
        <v>3.853683012772128</v>
      </c>
      <c r="CW32" s="1384">
        <f t="shared" si="116"/>
        <v>3.8509535159922028</v>
      </c>
      <c r="CX32" s="1384">
        <f t="shared" si="116"/>
        <v>3.8482259524674642</v>
      </c>
      <c r="CY32" s="1384">
        <f t="shared" si="116"/>
        <v>3.8455003208286209</v>
      </c>
      <c r="CZ32" s="1384">
        <f t="shared" si="116"/>
        <v>3.8427766197073518</v>
      </c>
    </row>
    <row r="33" spans="1:106" x14ac:dyDescent="0.2">
      <c r="A33" s="945" t="str">
        <f>'HyARC Physical Property Data'!A76</f>
        <v>Commercial Electricity</v>
      </c>
      <c r="B33" s="260">
        <v>2011</v>
      </c>
      <c r="C33" s="855">
        <f t="shared" si="99"/>
        <v>1.0784554773635862</v>
      </c>
      <c r="D33" s="1241" t="str">
        <f>'HyARC Physical Property Data'!$H$76</f>
        <v>kWh</v>
      </c>
      <c r="E33" s="855" t="s">
        <v>1072</v>
      </c>
      <c r="F33" s="855"/>
      <c r="G33" s="855"/>
      <c r="H33" s="1050">
        <v>26.896922396257633</v>
      </c>
      <c r="I33" s="1050">
        <v>26.896922396257633</v>
      </c>
      <c r="J33" s="1050">
        <v>26.896922396257633</v>
      </c>
      <c r="K33" s="1050">
        <v>26.568469730033652</v>
      </c>
      <c r="L33" s="1050">
        <v>27.542479456318485</v>
      </c>
      <c r="M33" s="1050">
        <v>26.167555894896875</v>
      </c>
      <c r="N33" s="260">
        <f t="shared" ref="N33:AR33" si="117">(N51/(mmBTU_to_GJ))*($C33)</f>
        <v>31.170510750229255</v>
      </c>
      <c r="O33" s="260">
        <f t="shared" si="117"/>
        <v>30.647202241072566</v>
      </c>
      <c r="P33" s="260">
        <f t="shared" si="117"/>
        <v>29.096288196984492</v>
      </c>
      <c r="Q33" s="260">
        <f t="shared" si="117"/>
        <v>28.387905483352725</v>
      </c>
      <c r="R33" s="260">
        <f t="shared" si="117"/>
        <v>28.463304343594306</v>
      </c>
      <c r="S33" s="260">
        <f t="shared" si="117"/>
        <v>28.350595012766668</v>
      </c>
      <c r="T33" s="260">
        <f t="shared" si="117"/>
        <v>28.857908647179944</v>
      </c>
      <c r="U33" s="260">
        <f t="shared" si="117"/>
        <v>29.151791342575894</v>
      </c>
      <c r="V33" s="260">
        <f t="shared" si="117"/>
        <v>29.281852050913265</v>
      </c>
      <c r="W33" s="260">
        <f t="shared" si="117"/>
        <v>29.2121521378625</v>
      </c>
      <c r="X33" s="260">
        <f t="shared" si="117"/>
        <v>29.201670163962135</v>
      </c>
      <c r="Y33" s="260">
        <f t="shared" si="117"/>
        <v>29.313283661356845</v>
      </c>
      <c r="Z33" s="260">
        <f t="shared" si="117"/>
        <v>29.301901100465429</v>
      </c>
      <c r="AA33" s="260">
        <f t="shared" si="117"/>
        <v>29.26493001112912</v>
      </c>
      <c r="AB33" s="260">
        <f t="shared" si="117"/>
        <v>29.269341967375848</v>
      </c>
      <c r="AC33" s="260">
        <f t="shared" si="117"/>
        <v>29.119158608733361</v>
      </c>
      <c r="AD33" s="260">
        <f t="shared" si="117"/>
        <v>29.009605932421458</v>
      </c>
      <c r="AE33" s="260">
        <f t="shared" si="117"/>
        <v>29.000424238490005</v>
      </c>
      <c r="AF33" s="260">
        <f t="shared" si="117"/>
        <v>29.116216623080415</v>
      </c>
      <c r="AG33" s="260">
        <f t="shared" si="117"/>
        <v>29.212683698856079</v>
      </c>
      <c r="AH33" s="260">
        <f t="shared" si="117"/>
        <v>29.289319460640414</v>
      </c>
      <c r="AI33" s="260">
        <f t="shared" si="117"/>
        <v>29.420953385072249</v>
      </c>
      <c r="AJ33" s="260">
        <f t="shared" si="117"/>
        <v>29.555370849091627</v>
      </c>
      <c r="AK33" s="260">
        <f t="shared" si="117"/>
        <v>29.728290707001914</v>
      </c>
      <c r="AL33" s="260">
        <f t="shared" si="117"/>
        <v>29.921887265329854</v>
      </c>
      <c r="AM33" s="260">
        <f t="shared" si="117"/>
        <v>30.317863405172005</v>
      </c>
      <c r="AN33" s="260">
        <f t="shared" si="117"/>
        <v>30.770945551447749</v>
      </c>
      <c r="AO33" s="260">
        <f t="shared" si="117"/>
        <v>31.181233971042094</v>
      </c>
      <c r="AP33" s="260">
        <f t="shared" si="117"/>
        <v>31.632038582906873</v>
      </c>
      <c r="AQ33" s="260">
        <f t="shared" si="117"/>
        <v>32.176370329359735</v>
      </c>
      <c r="AR33" s="260">
        <f t="shared" si="117"/>
        <v>32.452971159068191</v>
      </c>
      <c r="AS33" s="260">
        <f t="shared" ref="AS33:BA33" si="118">($BB33-$AR33)/10+AR33</f>
        <v>32.16388259843756</v>
      </c>
      <c r="AT33" s="260">
        <f t="shared" si="118"/>
        <v>31.874794037806929</v>
      </c>
      <c r="AU33" s="260">
        <f t="shared" si="118"/>
        <v>31.585705477176298</v>
      </c>
      <c r="AV33" s="260">
        <f t="shared" si="118"/>
        <v>31.296616916545666</v>
      </c>
      <c r="AW33" s="260">
        <f t="shared" si="118"/>
        <v>31.007528355915035</v>
      </c>
      <c r="AX33" s="260">
        <f t="shared" si="118"/>
        <v>30.718439795284404</v>
      </c>
      <c r="AY33" s="260">
        <f t="shared" si="118"/>
        <v>30.429351234653772</v>
      </c>
      <c r="AZ33" s="260">
        <f t="shared" si="118"/>
        <v>30.140262674023141</v>
      </c>
      <c r="BA33" s="260">
        <f t="shared" si="118"/>
        <v>29.85117411339251</v>
      </c>
      <c r="BB33" s="920">
        <f>'AEO Data'!$B$33*AM33</f>
        <v>29.562085552761868</v>
      </c>
      <c r="BC33" s="260">
        <f t="shared" ref="BC33:BP33" si="119">($BQ33-$BB33)/15+BB33</f>
        <v>29.579309127727463</v>
      </c>
      <c r="BD33" s="260">
        <f t="shared" si="119"/>
        <v>29.596532702693057</v>
      </c>
      <c r="BE33" s="260">
        <f t="shared" si="119"/>
        <v>29.613756277658652</v>
      </c>
      <c r="BF33" s="260">
        <f t="shared" si="119"/>
        <v>29.630979852624247</v>
      </c>
      <c r="BG33" s="260">
        <f t="shared" si="119"/>
        <v>29.648203427589841</v>
      </c>
      <c r="BH33" s="260">
        <f t="shared" si="119"/>
        <v>29.665427002555436</v>
      </c>
      <c r="BI33" s="260">
        <f t="shared" si="119"/>
        <v>29.682650577521031</v>
      </c>
      <c r="BJ33" s="260">
        <f t="shared" si="119"/>
        <v>29.699874152486625</v>
      </c>
      <c r="BK33" s="260">
        <f t="shared" si="119"/>
        <v>29.71709772745222</v>
      </c>
      <c r="BL33" s="260">
        <f t="shared" si="119"/>
        <v>29.734321302417815</v>
      </c>
      <c r="BM33" s="260">
        <f t="shared" si="119"/>
        <v>29.751544877383409</v>
      </c>
      <c r="BN33" s="260">
        <f t="shared" si="119"/>
        <v>29.768768452349004</v>
      </c>
      <c r="BO33" s="260">
        <f t="shared" si="119"/>
        <v>29.785992027314599</v>
      </c>
      <c r="BP33" s="260">
        <f t="shared" si="119"/>
        <v>29.803215602280194</v>
      </c>
      <c r="BQ33" s="920">
        <f>'AEO Data'!$C$33*BB33</f>
        <v>29.82043917724577</v>
      </c>
      <c r="BR33" s="260">
        <f t="shared" ref="BR33:BU35" si="120">($BV33-$BQ33)/5+BQ33</f>
        <v>29.800359578005001</v>
      </c>
      <c r="BS33" s="260">
        <f t="shared" si="120"/>
        <v>29.780279978764231</v>
      </c>
      <c r="BT33" s="260">
        <f t="shared" si="120"/>
        <v>29.760200379523461</v>
      </c>
      <c r="BU33" s="260">
        <f t="shared" si="120"/>
        <v>29.740120780282691</v>
      </c>
      <c r="BV33" s="944">
        <f>'AEO Data'!$D$33*BQ33</f>
        <v>29.720041181041928</v>
      </c>
      <c r="BW33" s="1384">
        <f>+BV33*BW$139/BV$139</f>
        <v>29.706955334848292</v>
      </c>
      <c r="BX33" s="1384">
        <f t="shared" ref="BX33:CZ33" si="121">+BW33*BX$139/BW$139</f>
        <v>29.693875250402076</v>
      </c>
      <c r="BY33" s="1384">
        <f t="shared" si="121"/>
        <v>29.680800925166359</v>
      </c>
      <c r="BZ33" s="1384">
        <f t="shared" si="121"/>
        <v>29.667732356605345</v>
      </c>
      <c r="CA33" s="1384">
        <f t="shared" si="121"/>
        <v>29.654669542184347</v>
      </c>
      <c r="CB33" s="1384">
        <f t="shared" si="121"/>
        <v>29.630916614985676</v>
      </c>
      <c r="CC33" s="1384">
        <f t="shared" si="121"/>
        <v>29.607182713510749</v>
      </c>
      <c r="CD33" s="1384">
        <f t="shared" si="121"/>
        <v>29.583467822520262</v>
      </c>
      <c r="CE33" s="1384">
        <f t="shared" si="121"/>
        <v>29.559771926787111</v>
      </c>
      <c r="CF33" s="1384">
        <f t="shared" si="121"/>
        <v>29.536095011096396</v>
      </c>
      <c r="CG33" s="1384">
        <f t="shared" si="121"/>
        <v>29.503478732865982</v>
      </c>
      <c r="CH33" s="1384">
        <f t="shared" si="121"/>
        <v>29.470898472315131</v>
      </c>
      <c r="CI33" s="1384">
        <f t="shared" si="121"/>
        <v>29.438354189670047</v>
      </c>
      <c r="CJ33" s="1384">
        <f t="shared" si="121"/>
        <v>29.405845845200851</v>
      </c>
      <c r="CK33" s="1384">
        <f t="shared" si="121"/>
        <v>29.373373399221538</v>
      </c>
      <c r="CL33" s="1384">
        <f t="shared" si="121"/>
        <v>29.33797049714088</v>
      </c>
      <c r="CM33" s="1384">
        <f t="shared" si="121"/>
        <v>29.302610265183901</v>
      </c>
      <c r="CN33" s="1384">
        <f t="shared" si="121"/>
        <v>29.267292651921498</v>
      </c>
      <c r="CO33" s="1384">
        <f t="shared" si="121"/>
        <v>29.232017605986552</v>
      </c>
      <c r="CP33" s="1384">
        <f t="shared" si="121"/>
        <v>29.196785076073859</v>
      </c>
      <c r="CQ33" s="1384">
        <f t="shared" si="121"/>
        <v>29.155976606392862</v>
      </c>
      <c r="CR33" s="1384">
        <f t="shared" si="121"/>
        <v>29.115225174882106</v>
      </c>
      <c r="CS33" s="1384">
        <f t="shared" si="121"/>
        <v>29.074530701819103</v>
      </c>
      <c r="CT33" s="1384">
        <f t="shared" si="121"/>
        <v>29.033893107592792</v>
      </c>
      <c r="CU33" s="1384">
        <f t="shared" si="121"/>
        <v>28.993312312703377</v>
      </c>
      <c r="CV33" s="1384">
        <f t="shared" si="121"/>
        <v>28.95369823223389</v>
      </c>
      <c r="CW33" s="1384">
        <f t="shared" si="121"/>
        <v>28.914138277190098</v>
      </c>
      <c r="CX33" s="1384">
        <f t="shared" si="121"/>
        <v>28.874632373619477</v>
      </c>
      <c r="CY33" s="1384">
        <f t="shared" si="121"/>
        <v>28.835180447670528</v>
      </c>
      <c r="CZ33" s="1384">
        <f t="shared" si="121"/>
        <v>28.795782425592659</v>
      </c>
    </row>
    <row r="34" spans="1:106" x14ac:dyDescent="0.2">
      <c r="A34" s="945" t="str">
        <f>'HyARC Physical Property Data'!A77</f>
        <v>Industrial Electricity</v>
      </c>
      <c r="B34" s="260">
        <v>2011</v>
      </c>
      <c r="C34" s="855">
        <f t="shared" si="99"/>
        <v>1.0784554773635862</v>
      </c>
      <c r="D34" s="1229" t="str">
        <f>'HyARC Physical Property Data'!$H$77</f>
        <v>kWh</v>
      </c>
      <c r="E34" s="855" t="s">
        <v>1072</v>
      </c>
      <c r="F34" s="855"/>
      <c r="G34" s="855"/>
      <c r="H34" s="1050">
        <v>17.44160584363896</v>
      </c>
      <c r="I34" s="1050">
        <v>17.44160584363896</v>
      </c>
      <c r="J34" s="1050">
        <v>17.44160584363896</v>
      </c>
      <c r="K34" s="1050">
        <v>17.651840860809763</v>
      </c>
      <c r="L34" s="1050">
        <v>19.274322003549859</v>
      </c>
      <c r="M34" s="1050">
        <v>18.160650967421709</v>
      </c>
      <c r="N34" s="260">
        <f t="shared" ref="N34:AR34" si="122">(N52/(mmBTU_to_GJ))*($C34)</f>
        <v>20.71088694517794</v>
      </c>
      <c r="O34" s="260">
        <f t="shared" si="122"/>
        <v>20.419854234493727</v>
      </c>
      <c r="P34" s="260">
        <f t="shared" si="122"/>
        <v>18.84589804356655</v>
      </c>
      <c r="Q34" s="260">
        <f t="shared" si="122"/>
        <v>18.546331734469991</v>
      </c>
      <c r="R34" s="260">
        <f t="shared" si="122"/>
        <v>18.447325432717289</v>
      </c>
      <c r="S34" s="260">
        <f t="shared" si="122"/>
        <v>18.282111164748592</v>
      </c>
      <c r="T34" s="260">
        <f t="shared" si="122"/>
        <v>18.776485377898855</v>
      </c>
      <c r="U34" s="260">
        <f t="shared" si="122"/>
        <v>19.0506124045218</v>
      </c>
      <c r="V34" s="260">
        <f t="shared" si="122"/>
        <v>19.200702739990415</v>
      </c>
      <c r="W34" s="260">
        <f t="shared" si="122"/>
        <v>19.143487354660063</v>
      </c>
      <c r="X34" s="260">
        <f t="shared" si="122"/>
        <v>19.136493238663739</v>
      </c>
      <c r="Y34" s="260">
        <f t="shared" si="122"/>
        <v>19.273625752681113</v>
      </c>
      <c r="Z34" s="260">
        <f t="shared" si="122"/>
        <v>19.383161051037455</v>
      </c>
      <c r="AA34" s="260">
        <f t="shared" si="122"/>
        <v>19.514271592337145</v>
      </c>
      <c r="AB34" s="260">
        <f t="shared" si="122"/>
        <v>19.584716713011606</v>
      </c>
      <c r="AC34" s="260">
        <f t="shared" si="122"/>
        <v>19.608427400023405</v>
      </c>
      <c r="AD34" s="260">
        <f t="shared" si="122"/>
        <v>19.702865343929336</v>
      </c>
      <c r="AE34" s="260">
        <f t="shared" si="122"/>
        <v>19.792952665549336</v>
      </c>
      <c r="AF34" s="260">
        <f t="shared" si="122"/>
        <v>19.899804603120767</v>
      </c>
      <c r="AG34" s="260">
        <f t="shared" si="122"/>
        <v>20.04636516914546</v>
      </c>
      <c r="AH34" s="260">
        <f t="shared" si="122"/>
        <v>20.164927804298578</v>
      </c>
      <c r="AI34" s="260">
        <f t="shared" si="122"/>
        <v>20.308580118348768</v>
      </c>
      <c r="AJ34" s="260">
        <f t="shared" si="122"/>
        <v>20.474707240100674</v>
      </c>
      <c r="AK34" s="260">
        <f t="shared" si="122"/>
        <v>20.654018096726102</v>
      </c>
      <c r="AL34" s="260">
        <f t="shared" si="122"/>
        <v>20.882864304557295</v>
      </c>
      <c r="AM34" s="260">
        <f t="shared" si="122"/>
        <v>21.257348002303171</v>
      </c>
      <c r="AN34" s="260">
        <f t="shared" si="122"/>
        <v>21.736726062038347</v>
      </c>
      <c r="AO34" s="260">
        <f t="shared" si="122"/>
        <v>22.152611205555505</v>
      </c>
      <c r="AP34" s="260">
        <f t="shared" si="122"/>
        <v>22.558073664667731</v>
      </c>
      <c r="AQ34" s="260">
        <f t="shared" si="122"/>
        <v>22.988629891607754</v>
      </c>
      <c r="AR34" s="260">
        <f t="shared" si="122"/>
        <v>23.250100655420045</v>
      </c>
      <c r="AS34" s="260">
        <f t="shared" ref="AS34:BA34" si="123">($BB34-$AR34)/10+AR34</f>
        <v>22.997834080640374</v>
      </c>
      <c r="AT34" s="260">
        <f t="shared" si="123"/>
        <v>22.745567505860702</v>
      </c>
      <c r="AU34" s="260">
        <f t="shared" si="123"/>
        <v>22.493300931081031</v>
      </c>
      <c r="AV34" s="260">
        <f t="shared" si="123"/>
        <v>22.241034356301359</v>
      </c>
      <c r="AW34" s="260">
        <f t="shared" si="123"/>
        <v>21.988767781521688</v>
      </c>
      <c r="AX34" s="260">
        <f t="shared" si="123"/>
        <v>21.736501206742016</v>
      </c>
      <c r="AY34" s="260">
        <f t="shared" si="123"/>
        <v>21.484234631962345</v>
      </c>
      <c r="AZ34" s="260">
        <f t="shared" si="123"/>
        <v>21.231968057182673</v>
      </c>
      <c r="BA34" s="260">
        <f t="shared" si="123"/>
        <v>20.979701482403001</v>
      </c>
      <c r="BB34" s="920">
        <f>'AEO Data'!$B$33*AM34</f>
        <v>20.727434907623323</v>
      </c>
      <c r="BC34" s="260">
        <f t="shared" ref="BC34:BP34" si="124">($BQ34-$BB34)/15+BB34</f>
        <v>20.739511204755296</v>
      </c>
      <c r="BD34" s="260">
        <f t="shared" si="124"/>
        <v>20.751587501887268</v>
      </c>
      <c r="BE34" s="260">
        <f t="shared" si="124"/>
        <v>20.763663799019241</v>
      </c>
      <c r="BF34" s="260">
        <f t="shared" si="124"/>
        <v>20.775740096151214</v>
      </c>
      <c r="BG34" s="260">
        <f t="shared" si="124"/>
        <v>20.787816393283187</v>
      </c>
      <c r="BH34" s="260">
        <f t="shared" si="124"/>
        <v>20.79989269041516</v>
      </c>
      <c r="BI34" s="260">
        <f t="shared" si="124"/>
        <v>20.811968987547132</v>
      </c>
      <c r="BJ34" s="260">
        <f t="shared" si="124"/>
        <v>20.824045284679105</v>
      </c>
      <c r="BK34" s="260">
        <f t="shared" si="124"/>
        <v>20.836121581811078</v>
      </c>
      <c r="BL34" s="260">
        <f t="shared" si="124"/>
        <v>20.848197878943051</v>
      </c>
      <c r="BM34" s="260">
        <f t="shared" si="124"/>
        <v>20.860274176075023</v>
      </c>
      <c r="BN34" s="260">
        <f t="shared" si="124"/>
        <v>20.872350473206996</v>
      </c>
      <c r="BO34" s="260">
        <f t="shared" si="124"/>
        <v>20.884426770338969</v>
      </c>
      <c r="BP34" s="260">
        <f t="shared" si="124"/>
        <v>20.896503067470942</v>
      </c>
      <c r="BQ34" s="920">
        <f>'AEO Data'!$C$33*BB34</f>
        <v>20.908579364602893</v>
      </c>
      <c r="BR34" s="260">
        <f t="shared" si="120"/>
        <v>20.894500568115706</v>
      </c>
      <c r="BS34" s="260">
        <f t="shared" si="120"/>
        <v>20.880421771628519</v>
      </c>
      <c r="BT34" s="260">
        <f t="shared" si="120"/>
        <v>20.866342975141333</v>
      </c>
      <c r="BU34" s="260">
        <f t="shared" si="120"/>
        <v>20.852264178654146</v>
      </c>
      <c r="BV34" s="944">
        <f>'AEO Data'!$D$33*BQ34</f>
        <v>20.838185382166952</v>
      </c>
      <c r="BW34" s="1384">
        <f>+BV34*BW$140/BV$140</f>
        <v>20.844481841022439</v>
      </c>
      <c r="BX34" s="1384">
        <f t="shared" ref="BX34:CZ34" si="125">+BW34*BX$140/BW$140</f>
        <v>20.850780202413748</v>
      </c>
      <c r="BY34" s="1384">
        <f t="shared" si="125"/>
        <v>20.857080466915747</v>
      </c>
      <c r="BZ34" s="1384">
        <f t="shared" si="125"/>
        <v>20.863382635103481</v>
      </c>
      <c r="CA34" s="1384">
        <f t="shared" si="125"/>
        <v>20.869686707552159</v>
      </c>
      <c r="CB34" s="1384">
        <f t="shared" si="125"/>
        <v>20.867326506359717</v>
      </c>
      <c r="CC34" s="1384">
        <f t="shared" si="125"/>
        <v>20.864966572087891</v>
      </c>
      <c r="CD34" s="1384">
        <f t="shared" si="125"/>
        <v>20.862606904706492</v>
      </c>
      <c r="CE34" s="1384">
        <f t="shared" si="125"/>
        <v>20.860247504185345</v>
      </c>
      <c r="CF34" s="1384">
        <f t="shared" si="125"/>
        <v>20.857888370494265</v>
      </c>
      <c r="CG34" s="1384">
        <f t="shared" si="125"/>
        <v>20.848427047697971</v>
      </c>
      <c r="CH34" s="1384">
        <f t="shared" si="125"/>
        <v>20.838970016641447</v>
      </c>
      <c r="CI34" s="1384">
        <f t="shared" si="125"/>
        <v>20.829517275377921</v>
      </c>
      <c r="CJ34" s="1384">
        <f t="shared" si="125"/>
        <v>20.82006882196151</v>
      </c>
      <c r="CK34" s="1384">
        <f t="shared" si="125"/>
        <v>20.810624654447203</v>
      </c>
      <c r="CL34" s="1384">
        <f t="shared" si="125"/>
        <v>20.799038600799683</v>
      </c>
      <c r="CM34" s="1384">
        <f t="shared" si="125"/>
        <v>20.787458997541872</v>
      </c>
      <c r="CN34" s="1384">
        <f t="shared" si="125"/>
        <v>20.775885841082598</v>
      </c>
      <c r="CO34" s="1384">
        <f t="shared" si="125"/>
        <v>20.764319127832685</v>
      </c>
      <c r="CP34" s="1384">
        <f t="shared" si="125"/>
        <v>20.752758854204956</v>
      </c>
      <c r="CQ34" s="1384">
        <f t="shared" si="125"/>
        <v>20.736920704111466</v>
      </c>
      <c r="CR34" s="1384">
        <f t="shared" si="125"/>
        <v>20.721094641422845</v>
      </c>
      <c r="CS34" s="1384">
        <f t="shared" si="125"/>
        <v>20.705280656914191</v>
      </c>
      <c r="CT34" s="1384">
        <f t="shared" si="125"/>
        <v>20.689478741367644</v>
      </c>
      <c r="CU34" s="1384">
        <f t="shared" si="125"/>
        <v>20.673688885572378</v>
      </c>
      <c r="CV34" s="1384">
        <f t="shared" si="125"/>
        <v>20.658843427163145</v>
      </c>
      <c r="CW34" s="1384">
        <f t="shared" si="125"/>
        <v>20.644008629049544</v>
      </c>
      <c r="CX34" s="1384">
        <f t="shared" si="125"/>
        <v>20.629184483576587</v>
      </c>
      <c r="CY34" s="1384">
        <f t="shared" si="125"/>
        <v>20.614370983094769</v>
      </c>
      <c r="CZ34" s="1384">
        <f t="shared" si="125"/>
        <v>20.59956811996009</v>
      </c>
    </row>
    <row r="35" spans="1:106" ht="13.5" thickBot="1" x14ac:dyDescent="0.25">
      <c r="A35" s="948" t="str">
        <f>'HyARC Physical Property Data'!A78</f>
        <v>Residential Electricity</v>
      </c>
      <c r="B35" s="861">
        <v>2011</v>
      </c>
      <c r="C35" s="862">
        <f t="shared" si="99"/>
        <v>1.0784554773635862</v>
      </c>
      <c r="D35" s="1230" t="str">
        <f>'HyARC Physical Property Data'!$H$78</f>
        <v>kWh</v>
      </c>
      <c r="E35" s="862" t="s">
        <v>1072</v>
      </c>
      <c r="F35" s="861"/>
      <c r="G35" s="861"/>
      <c r="H35" s="1052">
        <v>29.579885763014694</v>
      </c>
      <c r="I35" s="1052">
        <v>29.579885763014694</v>
      </c>
      <c r="J35" s="1052">
        <v>29.579885763014694</v>
      </c>
      <c r="K35" s="1052">
        <v>29.556357578078675</v>
      </c>
      <c r="L35" s="1052">
        <v>30.116416605727963</v>
      </c>
      <c r="M35" s="1052">
        <v>29.134443020933652</v>
      </c>
      <c r="N35" s="861">
        <f t="shared" ref="N35:AR35" si="126">(N53/(mmBTU_to_GJ))*($C35)</f>
        <v>35.290357875264071</v>
      </c>
      <c r="O35" s="861">
        <f t="shared" si="126"/>
        <v>35.099254542442559</v>
      </c>
      <c r="P35" s="861">
        <f t="shared" si="126"/>
        <v>34.006324250330664</v>
      </c>
      <c r="Q35" s="861">
        <f t="shared" si="126"/>
        <v>33.273068571129983</v>
      </c>
      <c r="R35" s="861">
        <f t="shared" si="126"/>
        <v>33.741332917168577</v>
      </c>
      <c r="S35" s="861">
        <f t="shared" si="126"/>
        <v>33.797427935481679</v>
      </c>
      <c r="T35" s="861">
        <f t="shared" si="126"/>
        <v>34.324839686615753</v>
      </c>
      <c r="U35" s="861">
        <f t="shared" si="126"/>
        <v>34.578308413009267</v>
      </c>
      <c r="V35" s="861">
        <f t="shared" si="126"/>
        <v>34.586867567238613</v>
      </c>
      <c r="W35" s="861">
        <f t="shared" si="126"/>
        <v>34.390554936680012</v>
      </c>
      <c r="X35" s="861">
        <f t="shared" si="126"/>
        <v>34.362805408349665</v>
      </c>
      <c r="Y35" s="861">
        <f t="shared" si="126"/>
        <v>34.407138617447096</v>
      </c>
      <c r="Z35" s="861">
        <f t="shared" si="126"/>
        <v>34.440296778887124</v>
      </c>
      <c r="AA35" s="861">
        <f t="shared" si="126"/>
        <v>34.452805840191871</v>
      </c>
      <c r="AB35" s="861">
        <f t="shared" si="126"/>
        <v>34.592323223051601</v>
      </c>
      <c r="AC35" s="861">
        <f t="shared" si="126"/>
        <v>34.714384960668241</v>
      </c>
      <c r="AD35" s="861">
        <f t="shared" si="126"/>
        <v>34.884790126185806</v>
      </c>
      <c r="AE35" s="861">
        <f t="shared" si="126"/>
        <v>35.027523453056702</v>
      </c>
      <c r="AF35" s="861">
        <f t="shared" si="126"/>
        <v>35.17875868912688</v>
      </c>
      <c r="AG35" s="861">
        <f t="shared" si="126"/>
        <v>35.278238284610403</v>
      </c>
      <c r="AH35" s="861">
        <f t="shared" si="126"/>
        <v>35.329988814033648</v>
      </c>
      <c r="AI35" s="861">
        <f t="shared" si="126"/>
        <v>35.457572652587459</v>
      </c>
      <c r="AJ35" s="861">
        <f t="shared" si="126"/>
        <v>35.581268940259363</v>
      </c>
      <c r="AK35" s="861">
        <f t="shared" si="126"/>
        <v>35.700168912196872</v>
      </c>
      <c r="AL35" s="861">
        <f t="shared" si="126"/>
        <v>35.86250559517147</v>
      </c>
      <c r="AM35" s="861">
        <f t="shared" si="126"/>
        <v>36.208798160069257</v>
      </c>
      <c r="AN35" s="861">
        <f t="shared" si="126"/>
        <v>36.632705785658793</v>
      </c>
      <c r="AO35" s="861">
        <f t="shared" si="126"/>
        <v>36.980264896847054</v>
      </c>
      <c r="AP35" s="861">
        <f t="shared" si="126"/>
        <v>37.31435507024409</v>
      </c>
      <c r="AQ35" s="861">
        <f t="shared" si="126"/>
        <v>37.726607198816652</v>
      </c>
      <c r="AR35" s="861">
        <f t="shared" si="126"/>
        <v>37.92339618980413</v>
      </c>
      <c r="AS35" s="861">
        <f t="shared" ref="AS35:BA35" si="127">($BB35-$AR35)/10+AR35</f>
        <v>37.661673404423048</v>
      </c>
      <c r="AT35" s="861">
        <f t="shared" si="127"/>
        <v>37.399950619041967</v>
      </c>
      <c r="AU35" s="861">
        <f t="shared" si="127"/>
        <v>37.138227833660885</v>
      </c>
      <c r="AV35" s="861">
        <f t="shared" si="127"/>
        <v>36.876505048279803</v>
      </c>
      <c r="AW35" s="861">
        <f t="shared" si="127"/>
        <v>36.614782262898721</v>
      </c>
      <c r="AX35" s="861">
        <f t="shared" si="127"/>
        <v>36.35305947751764</v>
      </c>
      <c r="AY35" s="861">
        <f t="shared" si="127"/>
        <v>36.091336692136558</v>
      </c>
      <c r="AZ35" s="861">
        <f t="shared" si="127"/>
        <v>35.829613906755476</v>
      </c>
      <c r="BA35" s="861">
        <f t="shared" si="127"/>
        <v>35.567891121374394</v>
      </c>
      <c r="BB35" s="949">
        <f>'AEO Data'!$B$33*AM35</f>
        <v>35.306168335993306</v>
      </c>
      <c r="BC35" s="861">
        <f t="shared" ref="BC35:BP35" si="128">($BQ35-$BB35)/15+BB35</f>
        <v>35.326738550364603</v>
      </c>
      <c r="BD35" s="861">
        <f t="shared" si="128"/>
        <v>35.347308764735899</v>
      </c>
      <c r="BE35" s="861">
        <f t="shared" si="128"/>
        <v>35.367878979107196</v>
      </c>
      <c r="BF35" s="861">
        <f t="shared" si="128"/>
        <v>35.388449193478493</v>
      </c>
      <c r="BG35" s="861">
        <f t="shared" si="128"/>
        <v>35.40901940784979</v>
      </c>
      <c r="BH35" s="861">
        <f t="shared" si="128"/>
        <v>35.429589622221087</v>
      </c>
      <c r="BI35" s="861">
        <f t="shared" si="128"/>
        <v>35.450159836592384</v>
      </c>
      <c r="BJ35" s="861">
        <f t="shared" si="128"/>
        <v>35.470730050963681</v>
      </c>
      <c r="BK35" s="861">
        <f t="shared" si="128"/>
        <v>35.491300265334978</v>
      </c>
      <c r="BL35" s="861">
        <f t="shared" si="128"/>
        <v>35.511870479706275</v>
      </c>
      <c r="BM35" s="861">
        <f t="shared" si="128"/>
        <v>35.532440694077572</v>
      </c>
      <c r="BN35" s="861">
        <f t="shared" si="128"/>
        <v>35.553010908448869</v>
      </c>
      <c r="BO35" s="861">
        <f t="shared" si="128"/>
        <v>35.573581122820165</v>
      </c>
      <c r="BP35" s="861">
        <f t="shared" si="128"/>
        <v>35.594151337191462</v>
      </c>
      <c r="BQ35" s="949">
        <f>'AEO Data'!$C$33*BB35</f>
        <v>35.614721551562717</v>
      </c>
      <c r="BR35" s="861">
        <f t="shared" si="120"/>
        <v>35.590740371018178</v>
      </c>
      <c r="BS35" s="861">
        <f t="shared" si="120"/>
        <v>35.56675919047364</v>
      </c>
      <c r="BT35" s="861">
        <f t="shared" si="120"/>
        <v>35.542778009929101</v>
      </c>
      <c r="BU35" s="861">
        <f t="shared" si="120"/>
        <v>35.518796829384563</v>
      </c>
      <c r="BV35" s="950">
        <f>'AEO Data'!$D$33*BQ35</f>
        <v>35.494815648840024</v>
      </c>
      <c r="BW35" s="1384">
        <f>+BV35*BW$141/BV$141</f>
        <v>35.479187147674004</v>
      </c>
      <c r="BX35" s="1384">
        <f t="shared" ref="BX35:CZ35" si="129">+BW35*BX$141/BW$141</f>
        <v>35.463565527795978</v>
      </c>
      <c r="BY35" s="1384">
        <f t="shared" si="129"/>
        <v>35.447950786176087</v>
      </c>
      <c r="BZ35" s="1384">
        <f t="shared" si="129"/>
        <v>35.432342919785803</v>
      </c>
      <c r="CA35" s="1384">
        <f t="shared" si="129"/>
        <v>35.41674192559794</v>
      </c>
      <c r="CB35" s="1384">
        <f t="shared" si="129"/>
        <v>35.388373668404036</v>
      </c>
      <c r="CC35" s="1384">
        <f t="shared" si="129"/>
        <v>35.360028133741132</v>
      </c>
      <c r="CD35" s="1384">
        <f t="shared" si="129"/>
        <v>35.331705303408839</v>
      </c>
      <c r="CE35" s="1384">
        <f t="shared" si="129"/>
        <v>35.303405159221327</v>
      </c>
      <c r="CF35" s="1384">
        <f t="shared" si="129"/>
        <v>35.275127683007355</v>
      </c>
      <c r="CG35" s="1384">
        <f t="shared" si="129"/>
        <v>35.236173874838393</v>
      </c>
      <c r="CH35" s="1384">
        <f t="shared" si="129"/>
        <v>35.197263082790727</v>
      </c>
      <c r="CI35" s="1384">
        <f t="shared" si="129"/>
        <v>35.158395259362273</v>
      </c>
      <c r="CJ35" s="1384">
        <f t="shared" si="129"/>
        <v>35.119570357103413</v>
      </c>
      <c r="CK35" s="1384">
        <f t="shared" si="129"/>
        <v>35.080788328616926</v>
      </c>
      <c r="CL35" s="1384">
        <f t="shared" si="129"/>
        <v>35.03850643960029</v>
      </c>
      <c r="CM35" s="1384">
        <f t="shared" si="129"/>
        <v>34.996275511757105</v>
      </c>
      <c r="CN35" s="1384">
        <f t="shared" si="129"/>
        <v>34.954095483665299</v>
      </c>
      <c r="CO35" s="1384">
        <f t="shared" si="129"/>
        <v>34.911966293976825</v>
      </c>
      <c r="CP35" s="1384">
        <f t="shared" si="129"/>
        <v>34.869887881417597</v>
      </c>
      <c r="CQ35" s="1384">
        <f t="shared" si="129"/>
        <v>34.82115009201096</v>
      </c>
      <c r="CR35" s="1384">
        <f t="shared" si="129"/>
        <v>34.772480423618198</v>
      </c>
      <c r="CS35" s="1384">
        <f t="shared" si="129"/>
        <v>34.723878781026279</v>
      </c>
      <c r="CT35" s="1384">
        <f t="shared" si="129"/>
        <v>34.675345069155263</v>
      </c>
      <c r="CU35" s="1384">
        <f t="shared" si="129"/>
        <v>34.626879193058095</v>
      </c>
      <c r="CV35" s="1384">
        <f t="shared" si="129"/>
        <v>34.579567869537456</v>
      </c>
      <c r="CW35" s="1384">
        <f t="shared" si="129"/>
        <v>34.532321188323188</v>
      </c>
      <c r="CX35" s="1384">
        <f t="shared" si="129"/>
        <v>34.485139061093349</v>
      </c>
      <c r="CY35" s="1384">
        <f t="shared" si="129"/>
        <v>34.438021399646672</v>
      </c>
      <c r="CZ35" s="1384">
        <f t="shared" si="129"/>
        <v>34.39096811590241</v>
      </c>
    </row>
    <row r="36" spans="1:106" ht="13.5" thickTop="1" x14ac:dyDescent="0.2">
      <c r="A36" s="858"/>
      <c r="B36" s="260"/>
      <c r="C36" s="855"/>
      <c r="D36" s="1231"/>
      <c r="E36" s="855"/>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c r="BI36" s="260"/>
      <c r="BJ36" s="260"/>
      <c r="BK36" s="260"/>
      <c r="BL36" s="260"/>
      <c r="BM36" s="260"/>
      <c r="BN36" s="260"/>
      <c r="BO36" s="260"/>
      <c r="BP36" s="260"/>
      <c r="BQ36" s="260"/>
      <c r="BR36" s="260"/>
      <c r="BS36" s="260"/>
      <c r="BT36" s="260"/>
      <c r="BU36" s="260"/>
      <c r="BV36" s="260"/>
      <c r="BW36" s="260"/>
      <c r="BX36" s="260"/>
      <c r="BY36" s="260"/>
      <c r="BZ36" s="260"/>
      <c r="CA36" s="260"/>
      <c r="CB36" s="260"/>
      <c r="CC36" s="260"/>
      <c r="CD36" s="260"/>
      <c r="CE36" s="260"/>
      <c r="CF36" s="260"/>
      <c r="CG36" s="260"/>
      <c r="CH36" s="260"/>
      <c r="CI36" s="260"/>
      <c r="CJ36" s="260"/>
      <c r="CK36" s="260"/>
      <c r="CL36" s="260"/>
      <c r="CM36" s="260"/>
      <c r="CN36" s="260"/>
      <c r="CO36" s="260"/>
      <c r="CP36" s="260"/>
      <c r="CQ36" s="260"/>
      <c r="CR36" s="260"/>
      <c r="CS36" s="260"/>
      <c r="CT36" s="260"/>
      <c r="CU36" s="260"/>
      <c r="CV36" s="260"/>
      <c r="CW36" s="260"/>
      <c r="CX36" s="260"/>
      <c r="CY36" s="260"/>
      <c r="CZ36" s="260"/>
      <c r="DA36" s="260"/>
      <c r="DB36" s="260"/>
    </row>
    <row r="37" spans="1:106" x14ac:dyDescent="0.2">
      <c r="A37" s="858"/>
      <c r="B37" s="260"/>
      <c r="C37" s="855"/>
      <c r="D37" s="1232"/>
      <c r="E37" s="855"/>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row>
    <row r="38" spans="1:106" ht="13.5" thickBot="1" x14ac:dyDescent="0.25">
      <c r="A38" s="958"/>
      <c r="B38" s="260"/>
      <c r="C38" s="855"/>
      <c r="D38" s="1232"/>
      <c r="E38" s="855"/>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row>
    <row r="39" spans="1:106" s="1034" customFormat="1" x14ac:dyDescent="0.2">
      <c r="A39" s="1030" t="s">
        <v>1109</v>
      </c>
      <c r="B39" s="1031"/>
      <c r="C39" s="1032"/>
      <c r="D39" s="1233"/>
      <c r="E39" s="1032"/>
      <c r="F39" s="1031"/>
      <c r="G39" s="1031"/>
      <c r="H39" s="1031"/>
      <c r="I39" s="1031"/>
      <c r="J39" s="1031"/>
      <c r="K39" s="1031"/>
      <c r="L39" s="1031"/>
      <c r="M39" s="1031"/>
      <c r="N39" s="1031"/>
      <c r="O39" s="1031"/>
      <c r="P39" s="1031"/>
      <c r="Q39" s="1031"/>
      <c r="R39" s="1031"/>
      <c r="S39" s="1031"/>
      <c r="T39" s="1031"/>
      <c r="U39" s="1031"/>
      <c r="V39" s="1031"/>
      <c r="W39" s="1031"/>
      <c r="X39" s="1031"/>
      <c r="Y39" s="1031"/>
      <c r="Z39" s="1031"/>
      <c r="AA39" s="1031"/>
      <c r="AB39" s="1031"/>
      <c r="AC39" s="1031"/>
      <c r="AD39" s="1031"/>
      <c r="AE39" s="1031"/>
      <c r="AF39" s="1031"/>
      <c r="AG39" s="1031"/>
      <c r="AH39" s="1031"/>
      <c r="AI39" s="1031"/>
      <c r="AJ39" s="1031"/>
      <c r="AK39" s="1031"/>
      <c r="AL39" s="1031"/>
      <c r="AM39" s="1031"/>
      <c r="AN39" s="1031"/>
      <c r="AO39" s="1031"/>
      <c r="AP39" s="1031"/>
      <c r="AQ39" s="1031"/>
      <c r="AR39" s="1031"/>
      <c r="AS39" s="1031"/>
      <c r="AT39" s="1031"/>
      <c r="AU39" s="1031"/>
      <c r="AV39" s="1031"/>
      <c r="AW39" s="1031"/>
      <c r="AX39" s="1031"/>
      <c r="AY39" s="1031"/>
      <c r="AZ39" s="1031"/>
      <c r="BA39" s="1031"/>
      <c r="BB39" s="1031"/>
      <c r="BC39" s="1031"/>
      <c r="BD39" s="1031"/>
      <c r="BE39" s="1031"/>
      <c r="BF39" s="1031"/>
      <c r="BG39" s="1031"/>
      <c r="BH39" s="1031"/>
      <c r="BI39" s="1031"/>
      <c r="BJ39" s="1031"/>
      <c r="BK39" s="1031"/>
      <c r="BL39" s="1031"/>
      <c r="BM39" s="1031"/>
      <c r="BN39" s="1031"/>
      <c r="BO39" s="1031"/>
      <c r="BP39" s="1031"/>
      <c r="BQ39" s="1031"/>
      <c r="BR39" s="1031"/>
      <c r="BS39" s="1031"/>
      <c r="BT39" s="1031"/>
      <c r="BU39" s="1031"/>
      <c r="BV39" s="1033"/>
    </row>
    <row r="40" spans="1:106" s="1034" customFormat="1" x14ac:dyDescent="0.2">
      <c r="A40" s="1035" t="s">
        <v>1110</v>
      </c>
      <c r="B40" s="1036"/>
      <c r="C40" s="1037"/>
      <c r="D40" s="1234"/>
      <c r="E40" s="1037"/>
      <c r="F40" s="1036"/>
      <c r="G40" s="1036"/>
      <c r="H40" s="1036"/>
      <c r="I40" s="1036"/>
      <c r="J40" s="1036"/>
      <c r="K40" s="1036"/>
      <c r="L40" s="1036"/>
      <c r="M40" s="1036"/>
      <c r="N40" s="1036"/>
      <c r="O40" s="1036"/>
      <c r="P40" s="1036"/>
      <c r="Q40" s="1036"/>
      <c r="R40" s="1036"/>
      <c r="S40" s="1036"/>
      <c r="T40" s="1036"/>
      <c r="U40" s="1036"/>
      <c r="V40" s="1036"/>
      <c r="W40" s="1036"/>
      <c r="X40" s="1036"/>
      <c r="Y40" s="1036"/>
      <c r="Z40" s="1036"/>
      <c r="AA40" s="1036"/>
      <c r="AB40" s="1036"/>
      <c r="AC40" s="1036"/>
      <c r="AD40" s="1036"/>
      <c r="AE40" s="1036"/>
      <c r="AF40" s="1036"/>
      <c r="AG40" s="1036"/>
      <c r="AH40" s="1036"/>
      <c r="AI40" s="1036"/>
      <c r="AJ40" s="1036"/>
      <c r="AK40" s="1036"/>
      <c r="AL40" s="1036"/>
      <c r="AM40" s="1036"/>
      <c r="AN40" s="1036"/>
      <c r="AO40" s="1036"/>
      <c r="AP40" s="1036"/>
      <c r="AQ40" s="1036"/>
      <c r="AR40" s="1036"/>
      <c r="AS40" s="1036"/>
      <c r="AT40" s="1036"/>
      <c r="AU40" s="1036"/>
      <c r="AV40" s="1036"/>
      <c r="AW40" s="1036"/>
      <c r="AX40" s="1036"/>
      <c r="AY40" s="1036"/>
      <c r="AZ40" s="1036"/>
      <c r="BA40" s="1036"/>
      <c r="BB40" s="1036"/>
      <c r="BC40" s="1036"/>
      <c r="BD40" s="1036"/>
      <c r="BE40" s="1036"/>
      <c r="BF40" s="1036"/>
      <c r="BG40" s="1036"/>
      <c r="BH40" s="1036"/>
      <c r="BI40" s="1036"/>
      <c r="BJ40" s="1036"/>
      <c r="BK40" s="1036"/>
      <c r="BL40" s="1036"/>
      <c r="BM40" s="1036"/>
      <c r="BN40" s="1036"/>
      <c r="BO40" s="1036"/>
      <c r="BP40" s="1036"/>
      <c r="BQ40" s="1036"/>
      <c r="BR40" s="1036"/>
      <c r="BS40" s="1036"/>
      <c r="BT40" s="1036"/>
      <c r="BU40" s="1036"/>
      <c r="BV40" s="1038"/>
    </row>
    <row r="41" spans="1:106" s="1034" customFormat="1" x14ac:dyDescent="0.2">
      <c r="A41" s="1039"/>
      <c r="B41" s="1036"/>
      <c r="C41" s="1037"/>
      <c r="D41" s="1234"/>
      <c r="E41" s="1037"/>
      <c r="F41" s="1036"/>
      <c r="G41" s="1036"/>
      <c r="H41" s="1036"/>
      <c r="I41" s="1036"/>
      <c r="J41" s="1036"/>
      <c r="K41" s="1036"/>
      <c r="L41" s="1036"/>
      <c r="M41" s="1036"/>
      <c r="N41" s="1036"/>
      <c r="O41" s="1036"/>
      <c r="P41" s="1036"/>
      <c r="Q41" s="1036"/>
      <c r="R41" s="1036"/>
      <c r="S41" s="1036"/>
      <c r="T41" s="1036"/>
      <c r="U41" s="1036"/>
      <c r="V41" s="1036"/>
      <c r="W41" s="1036"/>
      <c r="X41" s="1036"/>
      <c r="Y41" s="1036"/>
      <c r="Z41" s="1036"/>
      <c r="AA41" s="1036"/>
      <c r="AB41" s="1036"/>
      <c r="AC41" s="1036"/>
      <c r="AD41" s="1036"/>
      <c r="AE41" s="1036"/>
      <c r="AF41" s="1036"/>
      <c r="AG41" s="1036"/>
      <c r="AH41" s="1036"/>
      <c r="AI41" s="1036"/>
      <c r="AJ41" s="1036"/>
      <c r="AK41" s="1036"/>
      <c r="AL41" s="1036"/>
      <c r="AM41" s="1036"/>
      <c r="AN41" s="1036"/>
      <c r="AO41" s="1036"/>
      <c r="AP41" s="1036"/>
      <c r="AQ41" s="1036"/>
      <c r="AR41" s="1036"/>
      <c r="AS41" s="1036"/>
      <c r="AT41" s="1036"/>
      <c r="AU41" s="1036"/>
      <c r="AV41" s="1036"/>
      <c r="AW41" s="1036"/>
      <c r="AX41" s="1036"/>
      <c r="AY41" s="1036"/>
      <c r="AZ41" s="1036"/>
      <c r="BA41" s="1036"/>
      <c r="BB41" s="1036"/>
      <c r="BC41" s="1036"/>
      <c r="BD41" s="1036"/>
      <c r="BE41" s="1036"/>
      <c r="BF41" s="1036"/>
      <c r="BG41" s="1036"/>
      <c r="BH41" s="1036"/>
      <c r="BI41" s="1036"/>
      <c r="BJ41" s="1036"/>
      <c r="BK41" s="1036"/>
      <c r="BL41" s="1036"/>
      <c r="BM41" s="1036"/>
      <c r="BN41" s="1036"/>
      <c r="BO41" s="1036"/>
      <c r="BP41" s="1036"/>
      <c r="BQ41" s="1036"/>
      <c r="BR41" s="1036"/>
      <c r="BS41" s="1036"/>
      <c r="BT41" s="1036"/>
      <c r="BU41" s="1036"/>
      <c r="BV41" s="1038"/>
    </row>
    <row r="42" spans="1:106" s="1034" customFormat="1" x14ac:dyDescent="0.2">
      <c r="A42" s="1039" t="s">
        <v>681</v>
      </c>
      <c r="B42" s="1036"/>
      <c r="C42" s="1037"/>
      <c r="D42" s="1234"/>
      <c r="E42" s="1037"/>
      <c r="F42" s="1036"/>
      <c r="G42" s="1036"/>
      <c r="H42" s="1036"/>
      <c r="I42" s="1036"/>
      <c r="J42" s="1036"/>
      <c r="K42" s="1036"/>
      <c r="L42" s="1036"/>
      <c r="M42" s="1036"/>
      <c r="N42" s="1040">
        <v>11.359373</v>
      </c>
      <c r="O42" s="1040">
        <v>10.802343</v>
      </c>
      <c r="P42" s="1040">
        <v>10.464380999999999</v>
      </c>
      <c r="Q42" s="1040">
        <v>10.477905</v>
      </c>
      <c r="R42" s="1040">
        <v>10.253485</v>
      </c>
      <c r="S42" s="1040">
        <v>10.156079999999999</v>
      </c>
      <c r="T42" s="1040">
        <v>10.662777999999999</v>
      </c>
      <c r="U42" s="1040">
        <v>10.990506</v>
      </c>
      <c r="V42" s="1040">
        <v>11.397518</v>
      </c>
      <c r="W42" s="1040">
        <v>11.624905</v>
      </c>
      <c r="X42" s="1040">
        <v>11.776242999999999</v>
      </c>
      <c r="Y42" s="1040">
        <v>11.960003</v>
      </c>
      <c r="Z42" s="1040">
        <v>12.203179</v>
      </c>
      <c r="AA42" s="1040">
        <v>12.432268000000001</v>
      </c>
      <c r="AB42" s="1040">
        <v>12.584531</v>
      </c>
      <c r="AC42" s="1040">
        <v>12.674325</v>
      </c>
      <c r="AD42" s="1040">
        <v>12.841908</v>
      </c>
      <c r="AE42" s="1040">
        <v>12.933384999999999</v>
      </c>
      <c r="AF42" s="1040">
        <v>13.085578999999999</v>
      </c>
      <c r="AG42" s="1040">
        <v>13.234385</v>
      </c>
      <c r="AH42" s="1040">
        <v>13.368997999999999</v>
      </c>
      <c r="AI42" s="1040">
        <v>13.547089</v>
      </c>
      <c r="AJ42" s="1040">
        <v>13.721807</v>
      </c>
      <c r="AK42" s="1040">
        <v>13.935895</v>
      </c>
      <c r="AL42" s="1040">
        <v>14.248931000000001</v>
      </c>
      <c r="AM42" s="1040">
        <v>14.598827</v>
      </c>
      <c r="AN42" s="1040">
        <v>15.023702999999999</v>
      </c>
      <c r="AO42" s="1040">
        <v>15.415895000000001</v>
      </c>
      <c r="AP42" s="1040">
        <v>15.842275000000001</v>
      </c>
      <c r="AQ42" s="1040">
        <v>16.055761</v>
      </c>
      <c r="AR42" s="1040">
        <v>16.363073</v>
      </c>
      <c r="AS42" s="1036"/>
      <c r="AT42" s="1036"/>
      <c r="AU42" s="1036"/>
      <c r="AV42" s="1036"/>
      <c r="AW42" s="1036"/>
      <c r="AX42" s="1036"/>
      <c r="AY42" s="1036"/>
      <c r="AZ42" s="1036"/>
      <c r="BA42" s="1036"/>
      <c r="BB42" s="1036"/>
      <c r="BC42" s="1036"/>
      <c r="BD42" s="1036"/>
      <c r="BE42" s="1036"/>
      <c r="BF42" s="1036"/>
      <c r="BG42" s="1036"/>
      <c r="BH42" s="1036"/>
      <c r="BI42" s="1036"/>
      <c r="BJ42" s="1036"/>
      <c r="BK42" s="1036"/>
      <c r="BL42" s="1036"/>
      <c r="BM42" s="1036"/>
      <c r="BN42" s="1036"/>
      <c r="BO42" s="1036"/>
      <c r="BP42" s="1036"/>
      <c r="BQ42" s="1036"/>
      <c r="BR42" s="1036"/>
      <c r="BS42" s="1036"/>
      <c r="BT42" s="1036"/>
      <c r="BU42" s="1036"/>
      <c r="BV42" s="1038"/>
    </row>
    <row r="43" spans="1:106" s="1034" customFormat="1" x14ac:dyDescent="0.2">
      <c r="A43" s="1039" t="s">
        <v>1086</v>
      </c>
      <c r="B43" s="1036"/>
      <c r="C43" s="1037"/>
      <c r="D43" s="1234"/>
      <c r="E43" s="1037"/>
      <c r="F43" s="1036"/>
      <c r="G43" s="1036"/>
      <c r="H43" s="1036"/>
      <c r="I43" s="1036"/>
      <c r="J43" s="1036"/>
      <c r="K43" s="1036"/>
      <c r="L43" s="1036"/>
      <c r="M43" s="1036"/>
      <c r="N43" s="1040">
        <v>9.3969749999999994</v>
      </c>
      <c r="O43" s="1040">
        <v>8.8368610000000007</v>
      </c>
      <c r="P43" s="1040">
        <v>8.0727960000000003</v>
      </c>
      <c r="Q43" s="1040">
        <v>8.4627339999999993</v>
      </c>
      <c r="R43" s="1040">
        <v>8.2352620000000005</v>
      </c>
      <c r="S43" s="1040">
        <v>8.1043620000000001</v>
      </c>
      <c r="T43" s="1040">
        <v>8.5610389999999992</v>
      </c>
      <c r="U43" s="1040">
        <v>8.8247909999999994</v>
      </c>
      <c r="V43" s="1040">
        <v>9.1722800000000007</v>
      </c>
      <c r="W43" s="1040">
        <v>9.3508150000000008</v>
      </c>
      <c r="X43" s="1040">
        <v>9.4680210000000002</v>
      </c>
      <c r="Y43" s="1040">
        <v>9.6109419999999997</v>
      </c>
      <c r="Z43" s="1040">
        <v>9.8191819999999996</v>
      </c>
      <c r="AA43" s="1040">
        <v>10.011597999999999</v>
      </c>
      <c r="AB43" s="1040">
        <v>10.133018</v>
      </c>
      <c r="AC43" s="1040">
        <v>10.193654</v>
      </c>
      <c r="AD43" s="1040">
        <v>10.33554</v>
      </c>
      <c r="AE43" s="1040">
        <v>10.388019</v>
      </c>
      <c r="AF43" s="1040">
        <v>10.500005</v>
      </c>
      <c r="AG43" s="1040">
        <v>10.605323</v>
      </c>
      <c r="AH43" s="1040">
        <v>10.697221000000001</v>
      </c>
      <c r="AI43" s="1040">
        <v>10.832411</v>
      </c>
      <c r="AJ43" s="1040">
        <v>10.954602</v>
      </c>
      <c r="AK43" s="1040">
        <v>11.11848</v>
      </c>
      <c r="AL43" s="1040">
        <v>11.383407</v>
      </c>
      <c r="AM43" s="1040">
        <v>11.681657</v>
      </c>
      <c r="AN43" s="1040">
        <v>12.061093</v>
      </c>
      <c r="AO43" s="1040">
        <v>12.401303</v>
      </c>
      <c r="AP43" s="1040">
        <v>12.781521</v>
      </c>
      <c r="AQ43" s="1040">
        <v>12.948893999999999</v>
      </c>
      <c r="AR43" s="1040">
        <v>13.212922000000001</v>
      </c>
      <c r="AS43" s="1036"/>
      <c r="AT43" s="1036"/>
      <c r="AU43" s="1036"/>
      <c r="AV43" s="1036"/>
      <c r="AW43" s="1036"/>
      <c r="AX43" s="1036"/>
      <c r="AY43" s="1036"/>
      <c r="AZ43" s="1036"/>
      <c r="BA43" s="1036"/>
      <c r="BB43" s="1036"/>
      <c r="BC43" s="1036"/>
      <c r="BD43" s="1036"/>
      <c r="BE43" s="1036"/>
      <c r="BF43" s="1036"/>
      <c r="BG43" s="1036"/>
      <c r="BH43" s="1036"/>
      <c r="BI43" s="1036"/>
      <c r="BJ43" s="1036"/>
      <c r="BK43" s="1036"/>
      <c r="BL43" s="1036"/>
      <c r="BM43" s="1036"/>
      <c r="BN43" s="1036"/>
      <c r="BO43" s="1036"/>
      <c r="BP43" s="1036"/>
      <c r="BQ43" s="1036"/>
      <c r="BR43" s="1036"/>
      <c r="BS43" s="1036"/>
      <c r="BT43" s="1036"/>
      <c r="BU43" s="1036"/>
      <c r="BV43" s="1038"/>
    </row>
    <row r="44" spans="1:106" s="1034" customFormat="1" x14ac:dyDescent="0.2">
      <c r="A44" s="1039" t="s">
        <v>283</v>
      </c>
      <c r="B44" s="1036"/>
      <c r="C44" s="1037"/>
      <c r="D44" s="1234"/>
      <c r="E44" s="1037"/>
      <c r="F44" s="1036"/>
      <c r="G44" s="1036"/>
      <c r="H44" s="1036"/>
      <c r="I44" s="1036"/>
      <c r="J44" s="1036"/>
      <c r="K44" s="1036"/>
      <c r="L44" s="1036"/>
      <c r="M44" s="1036"/>
      <c r="N44" s="1040">
        <v>5.4839599999999997</v>
      </c>
      <c r="O44" s="1040">
        <v>4.8898130000000002</v>
      </c>
      <c r="P44" s="1040">
        <v>3.7596859999999999</v>
      </c>
      <c r="Q44" s="1040">
        <v>4.3339879999999997</v>
      </c>
      <c r="R44" s="1040">
        <v>4.3750520000000002</v>
      </c>
      <c r="S44" s="1040">
        <v>4.4225349999999999</v>
      </c>
      <c r="T44" s="1040">
        <v>4.8660360000000003</v>
      </c>
      <c r="U44" s="1040">
        <v>5.0679410000000003</v>
      </c>
      <c r="V44" s="1040">
        <v>5.3212570000000001</v>
      </c>
      <c r="W44" s="1040">
        <v>5.4497980000000004</v>
      </c>
      <c r="X44" s="1040">
        <v>5.5294119999999998</v>
      </c>
      <c r="Y44" s="1040">
        <v>5.6406840000000003</v>
      </c>
      <c r="Z44" s="1040">
        <v>5.8277749999999999</v>
      </c>
      <c r="AA44" s="1040">
        <v>6.0107049999999997</v>
      </c>
      <c r="AB44" s="1040">
        <v>6.1100089999999998</v>
      </c>
      <c r="AC44" s="1040">
        <v>6.1511990000000001</v>
      </c>
      <c r="AD44" s="1040">
        <v>6.2557600000000004</v>
      </c>
      <c r="AE44" s="1040">
        <v>6.2949159999999997</v>
      </c>
      <c r="AF44" s="1040">
        <v>6.396782</v>
      </c>
      <c r="AG44" s="1040">
        <v>6.4862520000000004</v>
      </c>
      <c r="AH44" s="1040">
        <v>6.561483</v>
      </c>
      <c r="AI44" s="1040">
        <v>6.6766310000000004</v>
      </c>
      <c r="AJ44" s="1040">
        <v>6.771134</v>
      </c>
      <c r="AK44" s="1040">
        <v>6.9159920000000001</v>
      </c>
      <c r="AL44" s="1040">
        <v>7.1687539999999998</v>
      </c>
      <c r="AM44" s="1040">
        <v>7.4454149999999997</v>
      </c>
      <c r="AN44" s="1040">
        <v>7.813205</v>
      </c>
      <c r="AO44" s="1040">
        <v>8.1536600000000004</v>
      </c>
      <c r="AP44" s="1040">
        <v>8.4989190000000008</v>
      </c>
      <c r="AQ44" s="1040">
        <v>8.6393810000000002</v>
      </c>
      <c r="AR44" s="1040">
        <v>8.8810929999999999</v>
      </c>
      <c r="AS44" s="1036"/>
      <c r="AT44" s="1036"/>
      <c r="AU44" s="1036"/>
      <c r="AV44" s="1036"/>
      <c r="AW44" s="1036"/>
      <c r="AX44" s="1036"/>
      <c r="AY44" s="1036"/>
      <c r="AZ44" s="1036"/>
      <c r="BA44" s="1036"/>
      <c r="BB44" s="1036"/>
      <c r="BC44" s="1036"/>
      <c r="BD44" s="1036"/>
      <c r="BE44" s="1036"/>
      <c r="BF44" s="1036"/>
      <c r="BG44" s="1036"/>
      <c r="BH44" s="1036"/>
      <c r="BI44" s="1036"/>
      <c r="BJ44" s="1036"/>
      <c r="BK44" s="1036"/>
      <c r="BL44" s="1036"/>
      <c r="BM44" s="1036"/>
      <c r="BN44" s="1036"/>
      <c r="BO44" s="1036"/>
      <c r="BP44" s="1036"/>
      <c r="BQ44" s="1036"/>
      <c r="BR44" s="1036"/>
      <c r="BS44" s="1036"/>
      <c r="BT44" s="1036"/>
      <c r="BU44" s="1036"/>
      <c r="BV44" s="1038"/>
    </row>
    <row r="45" spans="1:106" s="1034" customFormat="1" x14ac:dyDescent="0.2">
      <c r="A45" s="1041" t="str">
        <f>'HyARC Physical Property Data'!$A$74</f>
        <v>Electric Utility Natural Gas</v>
      </c>
      <c r="B45" s="1036"/>
      <c r="C45" s="1037"/>
      <c r="D45" s="1234"/>
      <c r="E45" s="1037"/>
      <c r="F45" s="1036"/>
      <c r="G45" s="1036"/>
      <c r="H45" s="1036"/>
      <c r="I45" s="1036"/>
      <c r="J45" s="1036"/>
      <c r="K45" s="1036"/>
      <c r="L45" s="1036"/>
      <c r="M45" s="1036"/>
      <c r="N45" s="1040">
        <v>5.258165</v>
      </c>
      <c r="O45" s="1040">
        <v>4.7747140000000003</v>
      </c>
      <c r="P45" s="1040">
        <v>3.3217560000000002</v>
      </c>
      <c r="Q45" s="1040">
        <v>3.7155300000000002</v>
      </c>
      <c r="R45" s="1040">
        <v>3.758219</v>
      </c>
      <c r="S45" s="1040">
        <v>3.8420709999999998</v>
      </c>
      <c r="T45" s="1040">
        <v>4.2826180000000003</v>
      </c>
      <c r="U45" s="1040">
        <v>4.4486730000000003</v>
      </c>
      <c r="V45" s="1040">
        <v>4.7026110000000001</v>
      </c>
      <c r="W45" s="1040">
        <v>4.8222319999999996</v>
      </c>
      <c r="X45" s="1040">
        <v>4.8967590000000003</v>
      </c>
      <c r="Y45" s="1040">
        <v>5.0074189999999996</v>
      </c>
      <c r="Z45" s="1040">
        <v>5.20235</v>
      </c>
      <c r="AA45" s="1040">
        <v>5.388776</v>
      </c>
      <c r="AB45" s="1040">
        <v>5.5179349999999996</v>
      </c>
      <c r="AC45" s="1040">
        <v>5.5779610000000002</v>
      </c>
      <c r="AD45" s="1040">
        <v>5.7088080000000003</v>
      </c>
      <c r="AE45" s="1040">
        <v>5.7607720000000002</v>
      </c>
      <c r="AF45" s="1040">
        <v>5.8668440000000004</v>
      </c>
      <c r="AG45" s="1040">
        <v>5.9650189999999998</v>
      </c>
      <c r="AH45" s="1040">
        <v>6.0528500000000003</v>
      </c>
      <c r="AI45" s="1040">
        <v>6.1836820000000001</v>
      </c>
      <c r="AJ45" s="1040">
        <v>6.2931780000000002</v>
      </c>
      <c r="AK45" s="1040">
        <v>6.4458729999999997</v>
      </c>
      <c r="AL45" s="1040">
        <v>6.6983480000000002</v>
      </c>
      <c r="AM45" s="1040">
        <v>6.9804459999999997</v>
      </c>
      <c r="AN45" s="1040">
        <v>7.345173</v>
      </c>
      <c r="AO45" s="1040">
        <v>7.6749489999999998</v>
      </c>
      <c r="AP45" s="1040">
        <v>8.0219799999999992</v>
      </c>
      <c r="AQ45" s="1040">
        <v>8.1549879999999995</v>
      </c>
      <c r="AR45" s="1040">
        <v>8.3777830000000009</v>
      </c>
      <c r="AS45" s="1036"/>
      <c r="AT45" s="1036"/>
      <c r="AU45" s="1036"/>
      <c r="AV45" s="1036"/>
      <c r="AW45" s="1036"/>
      <c r="AX45" s="1036"/>
      <c r="AY45" s="1036"/>
      <c r="AZ45" s="1036"/>
      <c r="BA45" s="1036"/>
      <c r="BB45" s="1036"/>
      <c r="BC45" s="1036"/>
      <c r="BD45" s="1036"/>
      <c r="BE45" s="1036"/>
      <c r="BF45" s="1036"/>
      <c r="BG45" s="1036"/>
      <c r="BH45" s="1036"/>
      <c r="BI45" s="1036"/>
      <c r="BJ45" s="1036"/>
      <c r="BK45" s="1036"/>
      <c r="BL45" s="1036"/>
      <c r="BM45" s="1036"/>
      <c r="BN45" s="1036"/>
      <c r="BO45" s="1036"/>
      <c r="BP45" s="1036"/>
      <c r="BQ45" s="1036"/>
      <c r="BR45" s="1036"/>
      <c r="BS45" s="1036"/>
      <c r="BT45" s="1036"/>
      <c r="BU45" s="1036"/>
      <c r="BV45" s="1038"/>
    </row>
    <row r="46" spans="1:106" s="1034" customFormat="1" x14ac:dyDescent="0.2">
      <c r="A46" s="1039" t="str">
        <f>'HyARC Physical Property Data'!$A$85</f>
        <v>Woody Biomass</v>
      </c>
      <c r="B46" s="1036"/>
      <c r="C46" s="1037"/>
      <c r="D46" s="1234"/>
      <c r="E46" s="1037"/>
      <c r="F46" s="1036"/>
      <c r="G46" s="1036"/>
      <c r="H46" s="1036"/>
      <c r="I46" s="1036"/>
      <c r="J46" s="1036"/>
      <c r="K46" s="1036"/>
      <c r="L46" s="1036"/>
      <c r="M46" s="1036"/>
      <c r="N46" s="1040"/>
      <c r="O46" s="1040"/>
      <c r="P46" s="1040"/>
      <c r="Q46" s="1040"/>
      <c r="R46" s="1040"/>
      <c r="S46" s="1040"/>
      <c r="T46" s="1040"/>
      <c r="U46" s="1040"/>
      <c r="V46" s="1040"/>
      <c r="W46" s="1040"/>
      <c r="X46" s="1040"/>
      <c r="Y46" s="1040"/>
      <c r="Z46" s="1040"/>
      <c r="AA46" s="1040"/>
      <c r="AB46" s="1040"/>
      <c r="AC46" s="1040"/>
      <c r="AD46" s="1040"/>
      <c r="AE46" s="1040"/>
      <c r="AF46" s="1040"/>
      <c r="AG46" s="1040"/>
      <c r="AH46" s="1040"/>
      <c r="AI46" s="1040"/>
      <c r="AJ46" s="1040"/>
      <c r="AK46" s="1040"/>
      <c r="AL46" s="1040"/>
      <c r="AM46" s="1040"/>
      <c r="AN46" s="1040"/>
      <c r="AO46" s="1040"/>
      <c r="AP46" s="1040"/>
      <c r="AQ46" s="1040"/>
      <c r="AR46" s="1040"/>
      <c r="AS46" s="1036"/>
      <c r="AT46" s="1036"/>
      <c r="AU46" s="1036"/>
      <c r="AV46" s="1036"/>
      <c r="AW46" s="1036"/>
      <c r="AX46" s="1036"/>
      <c r="AY46" s="1036"/>
      <c r="AZ46" s="1036"/>
      <c r="BA46" s="1036"/>
      <c r="BB46" s="1036"/>
      <c r="BC46" s="1036"/>
      <c r="BD46" s="1036"/>
      <c r="BE46" s="1036"/>
      <c r="BF46" s="1036"/>
      <c r="BG46" s="1036"/>
      <c r="BH46" s="1036"/>
      <c r="BI46" s="1036"/>
      <c r="BJ46" s="1036"/>
      <c r="BK46" s="1036"/>
      <c r="BL46" s="1036"/>
      <c r="BM46" s="1036"/>
      <c r="BN46" s="1036"/>
      <c r="BO46" s="1036"/>
      <c r="BP46" s="1036"/>
      <c r="BQ46" s="1036"/>
      <c r="BR46" s="1036"/>
      <c r="BS46" s="1036"/>
      <c r="BT46" s="1036"/>
      <c r="BU46" s="1036"/>
      <c r="BV46" s="1038"/>
    </row>
    <row r="47" spans="1:106" s="1034" customFormat="1" x14ac:dyDescent="0.2">
      <c r="A47" s="1039" t="s">
        <v>1111</v>
      </c>
      <c r="B47" s="1036"/>
      <c r="C47" s="1037"/>
      <c r="D47" s="1234"/>
      <c r="E47" s="1037"/>
      <c r="F47" s="1036"/>
      <c r="G47" s="1036"/>
      <c r="H47" s="1036"/>
      <c r="I47" s="1036"/>
      <c r="J47" s="1036"/>
      <c r="K47" s="1036"/>
      <c r="L47" s="1036"/>
      <c r="M47" s="1036"/>
      <c r="N47" s="1040">
        <v>13.6</v>
      </c>
      <c r="O47" s="1040">
        <v>13.6</v>
      </c>
      <c r="P47" s="1040">
        <v>13.6</v>
      </c>
      <c r="Q47" s="1040">
        <v>13.6</v>
      </c>
      <c r="R47" s="1040">
        <v>13.6</v>
      </c>
      <c r="S47" s="1040">
        <v>13.6</v>
      </c>
      <c r="T47" s="1040">
        <v>13.6</v>
      </c>
      <c r="U47" s="1040">
        <v>14.11</v>
      </c>
      <c r="V47" s="1040">
        <v>14.11</v>
      </c>
      <c r="W47" s="1040">
        <v>14.11</v>
      </c>
      <c r="X47" s="1040">
        <v>14.11</v>
      </c>
      <c r="Y47" s="1040">
        <v>14.11</v>
      </c>
      <c r="Z47" s="1040">
        <v>14.11</v>
      </c>
      <c r="AA47" s="1040">
        <v>14.11</v>
      </c>
      <c r="AB47" s="1040">
        <v>14.11</v>
      </c>
      <c r="AC47" s="1040">
        <v>14.11</v>
      </c>
      <c r="AD47" s="1040">
        <v>14.11</v>
      </c>
      <c r="AE47" s="1040">
        <v>14.11</v>
      </c>
      <c r="AF47" s="1040">
        <v>14.11</v>
      </c>
      <c r="AG47" s="1040">
        <v>14.11</v>
      </c>
      <c r="AH47" s="1040">
        <v>14.11</v>
      </c>
      <c r="AI47" s="1040">
        <v>14.11</v>
      </c>
      <c r="AJ47" s="1040">
        <v>14.11</v>
      </c>
      <c r="AK47" s="1040">
        <v>14.11</v>
      </c>
      <c r="AL47" s="1040">
        <v>14.11</v>
      </c>
      <c r="AM47" s="1040">
        <v>14.11</v>
      </c>
      <c r="AN47" s="1040">
        <v>14.11</v>
      </c>
      <c r="AO47" s="1040">
        <v>14.11</v>
      </c>
      <c r="AP47" s="1040">
        <v>14.11</v>
      </c>
      <c r="AQ47" s="1040">
        <v>14.11</v>
      </c>
      <c r="AR47" s="1040">
        <v>14.11</v>
      </c>
      <c r="AS47" s="1040">
        <v>14.11</v>
      </c>
      <c r="AT47" s="1040">
        <v>14.11</v>
      </c>
      <c r="AU47" s="1040">
        <v>14.11</v>
      </c>
      <c r="AV47" s="1040">
        <v>14.11</v>
      </c>
      <c r="AW47" s="1040">
        <v>14.11</v>
      </c>
      <c r="AX47" s="1040">
        <v>14.11</v>
      </c>
      <c r="AY47" s="1040">
        <v>14.11</v>
      </c>
      <c r="AZ47" s="1040">
        <v>14.11</v>
      </c>
      <c r="BA47" s="1040">
        <v>14.11</v>
      </c>
      <c r="BB47" s="1040">
        <v>14.11</v>
      </c>
      <c r="BC47" s="1040">
        <v>14.11</v>
      </c>
      <c r="BD47" s="1040">
        <v>14.11</v>
      </c>
      <c r="BE47" s="1040">
        <v>14.11</v>
      </c>
      <c r="BF47" s="1040">
        <v>14.11</v>
      </c>
      <c r="BG47" s="1040">
        <v>14.11</v>
      </c>
      <c r="BH47" s="1040">
        <v>14.11</v>
      </c>
      <c r="BI47" s="1040">
        <v>14.11</v>
      </c>
      <c r="BJ47" s="1040">
        <v>14.11</v>
      </c>
      <c r="BK47" s="1040">
        <v>14.11</v>
      </c>
      <c r="BL47" s="1040">
        <v>14.11</v>
      </c>
      <c r="BM47" s="1040">
        <v>14.11</v>
      </c>
      <c r="BN47" s="1040">
        <v>14.11</v>
      </c>
      <c r="BO47" s="1040">
        <v>14.11</v>
      </c>
      <c r="BP47" s="1040">
        <v>14.11</v>
      </c>
      <c r="BQ47" s="1040">
        <v>14.11</v>
      </c>
      <c r="BR47" s="1040">
        <v>14.11</v>
      </c>
      <c r="BS47" s="1040">
        <v>14.11</v>
      </c>
      <c r="BT47" s="1040">
        <v>14.11</v>
      </c>
      <c r="BU47" s="1040">
        <v>14.11</v>
      </c>
      <c r="BV47" s="1042">
        <v>14.11</v>
      </c>
    </row>
    <row r="48" spans="1:106" s="1034" customFormat="1" x14ac:dyDescent="0.2">
      <c r="A48" s="1039" t="s">
        <v>311</v>
      </c>
      <c r="B48" s="1036"/>
      <c r="C48" s="1037"/>
      <c r="D48" s="1234"/>
      <c r="E48" s="1037"/>
      <c r="F48" s="1036"/>
      <c r="G48" s="1036"/>
      <c r="H48" s="1036"/>
      <c r="I48" s="1036"/>
      <c r="J48" s="1036"/>
      <c r="K48" s="1036"/>
      <c r="L48" s="1036"/>
      <c r="M48" s="1036"/>
      <c r="N48" s="1040">
        <v>23.6</v>
      </c>
      <c r="O48" s="1040">
        <v>23.6</v>
      </c>
      <c r="P48" s="1040">
        <v>23.6</v>
      </c>
      <c r="Q48" s="1040">
        <v>23.6</v>
      </c>
      <c r="R48" s="1040">
        <v>23.6</v>
      </c>
      <c r="S48" s="1040">
        <v>23.6</v>
      </c>
      <c r="T48" s="1040">
        <v>23.6</v>
      </c>
      <c r="U48" s="1040">
        <v>23.6</v>
      </c>
      <c r="V48" s="1040">
        <v>23.6</v>
      </c>
      <c r="W48" s="1040">
        <v>23.6</v>
      </c>
      <c r="X48" s="1040">
        <v>23.6</v>
      </c>
      <c r="Y48" s="1040">
        <v>23.6</v>
      </c>
      <c r="Z48" s="1040">
        <v>23.6</v>
      </c>
      <c r="AA48" s="1040">
        <v>23.6</v>
      </c>
      <c r="AB48" s="1040">
        <v>23.6</v>
      </c>
      <c r="AC48" s="1040">
        <v>23.6</v>
      </c>
      <c r="AD48" s="1040">
        <v>23.6</v>
      </c>
      <c r="AE48" s="1040">
        <v>23.6</v>
      </c>
      <c r="AF48" s="1040">
        <v>23.6</v>
      </c>
      <c r="AG48" s="1040">
        <v>23.6</v>
      </c>
      <c r="AH48" s="1040">
        <v>23.6</v>
      </c>
      <c r="AI48" s="1040">
        <v>23.6</v>
      </c>
      <c r="AJ48" s="1040">
        <v>23.6</v>
      </c>
      <c r="AK48" s="1040">
        <v>23.6</v>
      </c>
      <c r="AL48" s="1040">
        <v>23.6</v>
      </c>
      <c r="AM48" s="1040">
        <v>23.6</v>
      </c>
      <c r="AN48" s="1040">
        <v>23.6</v>
      </c>
      <c r="AO48" s="1040">
        <v>23.6</v>
      </c>
      <c r="AP48" s="1040">
        <v>23.6</v>
      </c>
      <c r="AQ48" s="1040">
        <v>23.6</v>
      </c>
      <c r="AR48" s="1040">
        <v>23.6</v>
      </c>
      <c r="AS48" s="1040">
        <v>23.6</v>
      </c>
      <c r="AT48" s="1040">
        <v>23.6</v>
      </c>
      <c r="AU48" s="1040">
        <v>23.6</v>
      </c>
      <c r="AV48" s="1040">
        <v>23.6</v>
      </c>
      <c r="AW48" s="1040">
        <v>23.6</v>
      </c>
      <c r="AX48" s="1040">
        <v>23.6</v>
      </c>
      <c r="AY48" s="1040">
        <v>23.6</v>
      </c>
      <c r="AZ48" s="1040">
        <v>23.6</v>
      </c>
      <c r="BA48" s="1040">
        <v>23.6</v>
      </c>
      <c r="BB48" s="1040">
        <v>23.6</v>
      </c>
      <c r="BC48" s="1040">
        <v>23.6</v>
      </c>
      <c r="BD48" s="1040">
        <v>23.6</v>
      </c>
      <c r="BE48" s="1040">
        <v>23.6</v>
      </c>
      <c r="BF48" s="1040">
        <v>23.6</v>
      </c>
      <c r="BG48" s="1040">
        <v>23.6</v>
      </c>
      <c r="BH48" s="1040">
        <v>23.6</v>
      </c>
      <c r="BI48" s="1040">
        <v>23.6</v>
      </c>
      <c r="BJ48" s="1040">
        <v>23.6</v>
      </c>
      <c r="BK48" s="1040">
        <v>23.6</v>
      </c>
      <c r="BL48" s="1040">
        <v>23.6</v>
      </c>
      <c r="BM48" s="1040">
        <v>23.6</v>
      </c>
      <c r="BN48" s="1040">
        <v>23.6</v>
      </c>
      <c r="BO48" s="1040">
        <v>23.6</v>
      </c>
      <c r="BP48" s="1040">
        <v>23.6</v>
      </c>
      <c r="BQ48" s="1040">
        <v>23.6</v>
      </c>
      <c r="BR48" s="1040">
        <v>23.6</v>
      </c>
      <c r="BS48" s="1040">
        <v>23.6</v>
      </c>
      <c r="BT48" s="1040">
        <v>23.6</v>
      </c>
      <c r="BU48" s="1040">
        <v>23.6</v>
      </c>
      <c r="BV48" s="1042">
        <v>23.6</v>
      </c>
    </row>
    <row r="49" spans="1:104" s="1034" customFormat="1" x14ac:dyDescent="0.2">
      <c r="A49" s="1041" t="s">
        <v>1112</v>
      </c>
      <c r="B49" s="1036"/>
      <c r="C49" s="1037"/>
      <c r="D49" s="1234"/>
      <c r="E49" s="1037"/>
      <c r="F49" s="1036"/>
      <c r="G49" s="1036"/>
      <c r="H49" s="1036"/>
      <c r="I49" s="1036"/>
      <c r="J49" s="1036"/>
      <c r="K49" s="1036"/>
      <c r="L49" s="1036"/>
      <c r="M49" s="1036"/>
      <c r="N49" s="1040">
        <v>25.561684</v>
      </c>
      <c r="O49" s="1040">
        <v>25.303816000000001</v>
      </c>
      <c r="P49" s="1040">
        <v>33.642014000000003</v>
      </c>
      <c r="Q49" s="1040">
        <v>31.120284999999999</v>
      </c>
      <c r="R49" s="1040">
        <v>24.805427999999999</v>
      </c>
      <c r="S49" s="1040">
        <v>24.941547</v>
      </c>
      <c r="T49" s="1040">
        <v>24.510408000000002</v>
      </c>
      <c r="U49" s="1040">
        <v>24.773121</v>
      </c>
      <c r="V49" s="1040">
        <v>25.840997999999999</v>
      </c>
      <c r="W49" s="1040">
        <v>26.808551999999999</v>
      </c>
      <c r="X49" s="1040">
        <v>29.644617</v>
      </c>
      <c r="Y49" s="1040">
        <v>29.383793000000001</v>
      </c>
      <c r="Z49" s="1040">
        <v>28.224442</v>
      </c>
      <c r="AA49" s="1040">
        <v>28.253482999999999</v>
      </c>
      <c r="AB49" s="1040">
        <v>27.145426</v>
      </c>
      <c r="AC49" s="1040">
        <v>27.272445999999999</v>
      </c>
      <c r="AD49" s="1040">
        <v>27.519344</v>
      </c>
      <c r="AE49" s="1040">
        <v>26.363682000000001</v>
      </c>
      <c r="AF49" s="1040">
        <v>26.241467</v>
      </c>
      <c r="AG49" s="1040">
        <v>26.599018000000001</v>
      </c>
      <c r="AH49" s="1040">
        <v>26.941008</v>
      </c>
      <c r="AI49" s="1040">
        <v>27.294556</v>
      </c>
      <c r="AJ49" s="1040">
        <v>27.667862</v>
      </c>
      <c r="AK49" s="1040">
        <v>28.194492</v>
      </c>
      <c r="AL49" s="1040">
        <v>28.632065000000001</v>
      </c>
      <c r="AM49" s="1040">
        <v>29.186733</v>
      </c>
      <c r="AN49" s="1040">
        <v>29.790071000000001</v>
      </c>
      <c r="AO49" s="1040">
        <v>30.397635000000001</v>
      </c>
      <c r="AP49" s="1040">
        <v>30.990224999999999</v>
      </c>
      <c r="AQ49" s="1040">
        <v>31.671036000000001</v>
      </c>
      <c r="AR49" s="1040">
        <v>30.576360999999999</v>
      </c>
      <c r="AS49" s="1036"/>
      <c r="AT49" s="1036"/>
      <c r="AU49" s="1036"/>
      <c r="AV49" s="1036"/>
      <c r="AW49" s="1036"/>
      <c r="AX49" s="1036"/>
      <c r="AY49" s="1036"/>
      <c r="AZ49" s="1036"/>
      <c r="BA49" s="1036"/>
      <c r="BB49" s="1036"/>
      <c r="BC49" s="1036"/>
      <c r="BD49" s="1036"/>
      <c r="BE49" s="1036"/>
      <c r="BF49" s="1036"/>
      <c r="BG49" s="1036"/>
      <c r="BH49" s="1036"/>
      <c r="BI49" s="1036"/>
      <c r="BJ49" s="1036"/>
      <c r="BK49" s="1036"/>
      <c r="BL49" s="1036"/>
      <c r="BM49" s="1036"/>
      <c r="BN49" s="1036"/>
      <c r="BO49" s="1036"/>
      <c r="BP49" s="1036"/>
      <c r="BQ49" s="1036"/>
      <c r="BR49" s="1036"/>
      <c r="BS49" s="1036"/>
      <c r="BT49" s="1036"/>
      <c r="BU49" s="1036"/>
      <c r="BV49" s="1038"/>
    </row>
    <row r="50" spans="1:104" s="1034" customFormat="1" x14ac:dyDescent="0.2">
      <c r="A50" s="1039" t="s">
        <v>1088</v>
      </c>
      <c r="B50" s="1036"/>
      <c r="C50" s="1037"/>
      <c r="D50" s="1234"/>
      <c r="E50" s="1037"/>
      <c r="F50" s="1036"/>
      <c r="G50" s="1036"/>
      <c r="H50" s="1036"/>
      <c r="I50" s="1036"/>
      <c r="J50" s="1036"/>
      <c r="K50" s="1036"/>
      <c r="L50" s="1036"/>
      <c r="M50" s="1036"/>
      <c r="N50" s="1040">
        <v>2.2979889999999998</v>
      </c>
      <c r="O50" s="1040">
        <v>2.38</v>
      </c>
      <c r="P50" s="1040">
        <v>2.4052739999999999</v>
      </c>
      <c r="Q50" s="1040">
        <v>2.3369110000000002</v>
      </c>
      <c r="R50" s="1040">
        <v>2.3950149999999999</v>
      </c>
      <c r="S50" s="1040">
        <v>2.3961070000000002</v>
      </c>
      <c r="T50" s="1040">
        <v>2.4583050000000002</v>
      </c>
      <c r="U50" s="1040">
        <v>2.472283</v>
      </c>
      <c r="V50" s="1040">
        <v>2.4802620000000002</v>
      </c>
      <c r="W50" s="1040">
        <v>2.4838239999999998</v>
      </c>
      <c r="X50" s="1040">
        <v>2.516057</v>
      </c>
      <c r="Y50" s="1040">
        <v>2.5464560000000001</v>
      </c>
      <c r="Z50" s="1040">
        <v>2.591459</v>
      </c>
      <c r="AA50" s="1040">
        <v>2.6280779999999999</v>
      </c>
      <c r="AB50" s="1040">
        <v>2.6593969999999998</v>
      </c>
      <c r="AC50" s="1040">
        <v>2.691643</v>
      </c>
      <c r="AD50" s="1040">
        <v>2.7285810000000001</v>
      </c>
      <c r="AE50" s="1040">
        <v>2.7618779999999998</v>
      </c>
      <c r="AF50" s="1040">
        <v>2.7919909999999999</v>
      </c>
      <c r="AG50" s="1040">
        <v>2.8282630000000002</v>
      </c>
      <c r="AH50" s="1040">
        <v>2.8670900000000001</v>
      </c>
      <c r="AI50" s="1040">
        <v>2.8969999999999998</v>
      </c>
      <c r="AJ50" s="1040">
        <v>2.9238430000000002</v>
      </c>
      <c r="AK50" s="1040">
        <v>2.954224</v>
      </c>
      <c r="AL50" s="1040">
        <v>2.98759</v>
      </c>
      <c r="AM50" s="1040">
        <v>3.030205</v>
      </c>
      <c r="AN50" s="1040">
        <v>3.0670109999999999</v>
      </c>
      <c r="AO50" s="1040">
        <v>3.1012659999999999</v>
      </c>
      <c r="AP50" s="1040">
        <v>3.134995</v>
      </c>
      <c r="AQ50" s="1040">
        <v>3.169994</v>
      </c>
      <c r="AR50" s="1040">
        <v>3.2015440000000002</v>
      </c>
      <c r="AS50" s="1036"/>
      <c r="AT50" s="1036"/>
      <c r="AU50" s="1036"/>
      <c r="AV50" s="1036"/>
      <c r="AW50" s="1036"/>
      <c r="AX50" s="1036"/>
      <c r="AY50" s="1036"/>
      <c r="AZ50" s="1036"/>
      <c r="BA50" s="1036"/>
      <c r="BB50" s="1036"/>
      <c r="BC50" s="1036"/>
      <c r="BD50" s="1036"/>
      <c r="BE50" s="1036"/>
      <c r="BF50" s="1036"/>
      <c r="BG50" s="1036"/>
      <c r="BH50" s="1036"/>
      <c r="BI50" s="1036"/>
      <c r="BJ50" s="1036"/>
      <c r="BK50" s="1036"/>
      <c r="BL50" s="1036"/>
      <c r="BM50" s="1036"/>
      <c r="BN50" s="1036"/>
      <c r="BO50" s="1036"/>
      <c r="BP50" s="1036"/>
      <c r="BQ50" s="1036"/>
      <c r="BR50" s="1036"/>
      <c r="BS50" s="1036"/>
      <c r="BT50" s="1036"/>
      <c r="BU50" s="1036"/>
      <c r="BV50" s="1038"/>
    </row>
    <row r="51" spans="1:104" s="1034" customFormat="1" x14ac:dyDescent="0.2">
      <c r="A51" s="1039" t="s">
        <v>683</v>
      </c>
      <c r="B51" s="1036"/>
      <c r="C51" s="1037"/>
      <c r="D51" s="1234"/>
      <c r="E51" s="1037"/>
      <c r="F51" s="1036"/>
      <c r="G51" s="1036"/>
      <c r="H51" s="1036"/>
      <c r="I51" s="1036"/>
      <c r="J51" s="1036"/>
      <c r="K51" s="1036"/>
      <c r="L51" s="1036"/>
      <c r="M51" s="1036"/>
      <c r="N51" s="1040">
        <v>30.492578999999999</v>
      </c>
      <c r="O51" s="1040">
        <v>29.980651999999999</v>
      </c>
      <c r="P51" s="1040">
        <v>28.463469</v>
      </c>
      <c r="Q51" s="1040">
        <v>27.770492999999998</v>
      </c>
      <c r="R51" s="1040">
        <v>27.844252000000001</v>
      </c>
      <c r="S51" s="1040">
        <v>27.733993999999999</v>
      </c>
      <c r="T51" s="1040">
        <v>28.230274000000001</v>
      </c>
      <c r="U51" s="1040">
        <v>28.517765000000001</v>
      </c>
      <c r="V51" s="1040">
        <v>28.644997</v>
      </c>
      <c r="W51" s="1040">
        <v>28.576813000000001</v>
      </c>
      <c r="X51" s="1040">
        <v>28.566559000000002</v>
      </c>
      <c r="Y51" s="1040">
        <v>28.675744999999999</v>
      </c>
      <c r="Z51" s="1040">
        <v>28.66461</v>
      </c>
      <c r="AA51" s="1040">
        <v>28.628443000000001</v>
      </c>
      <c r="AB51" s="1040">
        <v>28.632759</v>
      </c>
      <c r="AC51" s="1040">
        <v>28.485842000000002</v>
      </c>
      <c r="AD51" s="1040">
        <v>28.378672000000002</v>
      </c>
      <c r="AE51" s="1040">
        <v>28.369689999999999</v>
      </c>
      <c r="AF51" s="1040">
        <v>28.482963999999999</v>
      </c>
      <c r="AG51" s="1040">
        <v>28.577332999999999</v>
      </c>
      <c r="AH51" s="1040">
        <v>28.652301999999999</v>
      </c>
      <c r="AI51" s="1040">
        <v>28.781072999999999</v>
      </c>
      <c r="AJ51" s="1040">
        <v>28.912566999999999</v>
      </c>
      <c r="AK51" s="1040">
        <v>29.081726</v>
      </c>
      <c r="AL51" s="1040">
        <v>29.271111999999999</v>
      </c>
      <c r="AM51" s="1040">
        <v>29.658476</v>
      </c>
      <c r="AN51" s="1040">
        <v>30.101704000000002</v>
      </c>
      <c r="AO51" s="1040">
        <v>30.503069</v>
      </c>
      <c r="AP51" s="1040">
        <v>30.944068999999999</v>
      </c>
      <c r="AQ51" s="1040">
        <v>31.476562000000001</v>
      </c>
      <c r="AR51" s="1040">
        <v>31.747146999999998</v>
      </c>
      <c r="AS51" s="1036"/>
      <c r="AT51" s="1036"/>
      <c r="AU51" s="1036"/>
      <c r="AV51" s="1036"/>
      <c r="AW51" s="1036"/>
      <c r="AX51" s="1036"/>
      <c r="AY51" s="1036"/>
      <c r="AZ51" s="1036"/>
      <c r="BA51" s="1036"/>
      <c r="BB51" s="1036"/>
      <c r="BC51" s="1036"/>
      <c r="BD51" s="1036"/>
      <c r="BE51" s="1036"/>
      <c r="BF51" s="1036"/>
      <c r="BG51" s="1036"/>
      <c r="BH51" s="1036"/>
      <c r="BI51" s="1036"/>
      <c r="BJ51" s="1036"/>
      <c r="BK51" s="1036"/>
      <c r="BL51" s="1036"/>
      <c r="BM51" s="1036"/>
      <c r="BN51" s="1036"/>
      <c r="BO51" s="1036"/>
      <c r="BP51" s="1036"/>
      <c r="BQ51" s="1036"/>
      <c r="BR51" s="1036"/>
      <c r="BS51" s="1036"/>
      <c r="BT51" s="1036"/>
      <c r="BU51" s="1036"/>
      <c r="BV51" s="1038"/>
    </row>
    <row r="52" spans="1:104" s="1034" customFormat="1" x14ac:dyDescent="0.2">
      <c r="A52" s="1039" t="s">
        <v>698</v>
      </c>
      <c r="B52" s="1036"/>
      <c r="C52" s="1037"/>
      <c r="D52" s="1234"/>
      <c r="E52" s="1037"/>
      <c r="F52" s="1036"/>
      <c r="G52" s="1036"/>
      <c r="H52" s="1036"/>
      <c r="I52" s="1036"/>
      <c r="J52" s="1036"/>
      <c r="K52" s="1036"/>
      <c r="L52" s="1036"/>
      <c r="M52" s="1036"/>
      <c r="N52" s="1040">
        <v>20.260442999999999</v>
      </c>
      <c r="O52" s="1040">
        <v>19.975739999999998</v>
      </c>
      <c r="P52" s="1040">
        <v>18.436015999999999</v>
      </c>
      <c r="Q52" s="1040">
        <v>18.142965</v>
      </c>
      <c r="R52" s="1040">
        <v>18.046112000000001</v>
      </c>
      <c r="S52" s="1040">
        <v>17.884491000000001</v>
      </c>
      <c r="T52" s="1040">
        <v>18.368113000000001</v>
      </c>
      <c r="U52" s="1040">
        <v>18.636278000000001</v>
      </c>
      <c r="V52" s="1040">
        <v>18.783104000000002</v>
      </c>
      <c r="W52" s="1040">
        <v>18.727132999999998</v>
      </c>
      <c r="X52" s="1040">
        <v>18.720291</v>
      </c>
      <c r="Y52" s="1040">
        <v>18.854441000000001</v>
      </c>
      <c r="Z52" s="1040">
        <v>18.961594000000002</v>
      </c>
      <c r="AA52" s="1040">
        <v>19.089853000000002</v>
      </c>
      <c r="AB52" s="1040">
        <v>19.158766</v>
      </c>
      <c r="AC52" s="1040">
        <v>19.181961000000001</v>
      </c>
      <c r="AD52" s="1040">
        <v>19.274345</v>
      </c>
      <c r="AE52" s="1040">
        <v>19.362473000000001</v>
      </c>
      <c r="AF52" s="1040">
        <v>19.467001</v>
      </c>
      <c r="AG52" s="1040">
        <v>19.610374</v>
      </c>
      <c r="AH52" s="1040">
        <v>19.726358000000001</v>
      </c>
      <c r="AI52" s="1040">
        <v>19.866886000000001</v>
      </c>
      <c r="AJ52" s="1040">
        <v>20.029399999999999</v>
      </c>
      <c r="AK52" s="1040">
        <v>20.204810999999999</v>
      </c>
      <c r="AL52" s="1040">
        <v>20.42868</v>
      </c>
      <c r="AM52" s="1040">
        <v>20.795019</v>
      </c>
      <c r="AN52" s="1040">
        <v>21.263971000000002</v>
      </c>
      <c r="AO52" s="1040">
        <v>21.670811</v>
      </c>
      <c r="AP52" s="1040">
        <v>22.067454999999999</v>
      </c>
      <c r="AQ52" s="1040">
        <v>22.488647</v>
      </c>
      <c r="AR52" s="1040">
        <v>22.744430999999999</v>
      </c>
      <c r="AS52" s="1036"/>
      <c r="AT52" s="1036"/>
      <c r="AU52" s="1036"/>
      <c r="AV52" s="1036"/>
      <c r="AW52" s="1036"/>
      <c r="AX52" s="1036"/>
      <c r="AY52" s="1036"/>
      <c r="AZ52" s="1036"/>
      <c r="BA52" s="1036"/>
      <c r="BB52" s="1036"/>
      <c r="BC52" s="1036"/>
      <c r="BD52" s="1036"/>
      <c r="BE52" s="1036"/>
      <c r="BF52" s="1036"/>
      <c r="BG52" s="1036"/>
      <c r="BH52" s="1036"/>
      <c r="BI52" s="1036"/>
      <c r="BJ52" s="1036"/>
      <c r="BK52" s="1036"/>
      <c r="BL52" s="1036"/>
      <c r="BM52" s="1036"/>
      <c r="BN52" s="1036"/>
      <c r="BO52" s="1036"/>
      <c r="BP52" s="1036"/>
      <c r="BQ52" s="1036"/>
      <c r="BR52" s="1036"/>
      <c r="BS52" s="1036"/>
      <c r="BT52" s="1036"/>
      <c r="BU52" s="1036"/>
      <c r="BV52" s="1038"/>
    </row>
    <row r="53" spans="1:104" s="1034" customFormat="1" ht="13.5" thickBot="1" x14ac:dyDescent="0.25">
      <c r="A53" s="1043" t="s">
        <v>684</v>
      </c>
      <c r="B53" s="1044"/>
      <c r="C53" s="1045"/>
      <c r="D53" s="1235"/>
      <c r="E53" s="1045"/>
      <c r="F53" s="1044"/>
      <c r="G53" s="1044"/>
      <c r="H53" s="1044"/>
      <c r="I53" s="1044"/>
      <c r="J53" s="1044"/>
      <c r="K53" s="1044"/>
      <c r="L53" s="1044"/>
      <c r="M53" s="1044"/>
      <c r="N53" s="1046">
        <v>34.522823000000002</v>
      </c>
      <c r="O53" s="1046">
        <v>34.335875999999999</v>
      </c>
      <c r="P53" s="1046">
        <v>33.266716000000002</v>
      </c>
      <c r="Q53" s="1046">
        <v>32.549408</v>
      </c>
      <c r="R53" s="1046">
        <v>33.007488000000002</v>
      </c>
      <c r="S53" s="1046">
        <v>33.062362999999998</v>
      </c>
      <c r="T53" s="1046">
        <v>33.578304000000003</v>
      </c>
      <c r="U53" s="1046">
        <v>33.826259999999998</v>
      </c>
      <c r="V53" s="1046">
        <v>33.834632999999997</v>
      </c>
      <c r="W53" s="1046">
        <v>33.642589999999998</v>
      </c>
      <c r="X53" s="1046">
        <v>33.615443999999997</v>
      </c>
      <c r="Y53" s="1046">
        <v>33.658813000000002</v>
      </c>
      <c r="Z53" s="1046">
        <v>33.691249999999997</v>
      </c>
      <c r="AA53" s="1046">
        <v>33.703487000000003</v>
      </c>
      <c r="AB53" s="1046">
        <v>33.839970000000001</v>
      </c>
      <c r="AC53" s="1046">
        <v>33.959377000000003</v>
      </c>
      <c r="AD53" s="1046">
        <v>34.126075999999998</v>
      </c>
      <c r="AE53" s="1046">
        <v>34.265704999999997</v>
      </c>
      <c r="AF53" s="1046">
        <v>34.413651000000002</v>
      </c>
      <c r="AG53" s="1046">
        <v>34.510967000000001</v>
      </c>
      <c r="AH53" s="1046">
        <v>34.561591999999997</v>
      </c>
      <c r="AI53" s="1046">
        <v>34.686400999999996</v>
      </c>
      <c r="AJ53" s="1046">
        <v>34.807406999999998</v>
      </c>
      <c r="AK53" s="1046">
        <v>34.923721</v>
      </c>
      <c r="AL53" s="1046">
        <v>35.082526999999999</v>
      </c>
      <c r="AM53" s="1046">
        <v>35.421287999999997</v>
      </c>
      <c r="AN53" s="1046">
        <v>35.835976000000002</v>
      </c>
      <c r="AO53" s="1046">
        <v>36.175975999999999</v>
      </c>
      <c r="AP53" s="1046">
        <v>36.502800000000001</v>
      </c>
      <c r="AQ53" s="1046">
        <v>36.906086000000002</v>
      </c>
      <c r="AR53" s="1046">
        <v>37.098595000000003</v>
      </c>
      <c r="AS53" s="1044"/>
      <c r="AT53" s="1044"/>
      <c r="AU53" s="1044"/>
      <c r="AV53" s="1044"/>
      <c r="AW53" s="1044"/>
      <c r="AX53" s="1044"/>
      <c r="AY53" s="1044"/>
      <c r="AZ53" s="1044"/>
      <c r="BA53" s="1044"/>
      <c r="BB53" s="1044"/>
      <c r="BC53" s="1044"/>
      <c r="BD53" s="1044"/>
      <c r="BE53" s="1044"/>
      <c r="BF53" s="1044"/>
      <c r="BG53" s="1044"/>
      <c r="BH53" s="1044"/>
      <c r="BI53" s="1044"/>
      <c r="BJ53" s="1044"/>
      <c r="BK53" s="1044"/>
      <c r="BL53" s="1044"/>
      <c r="BM53" s="1044"/>
      <c r="BN53" s="1044"/>
      <c r="BO53" s="1044"/>
      <c r="BP53" s="1044"/>
      <c r="BQ53" s="1044"/>
      <c r="BR53" s="1044"/>
      <c r="BS53" s="1044"/>
      <c r="BT53" s="1044"/>
      <c r="BU53" s="1044"/>
      <c r="BV53" s="1047"/>
    </row>
    <row r="54" spans="1:104" x14ac:dyDescent="0.2">
      <c r="A54" s="858"/>
      <c r="B54" s="260"/>
      <c r="C54" s="855"/>
      <c r="D54" s="1232"/>
      <c r="E54" s="855"/>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0"/>
      <c r="BH54" s="260"/>
      <c r="BI54" s="260"/>
      <c r="BJ54" s="260"/>
      <c r="BK54" s="260"/>
      <c r="BL54" s="260"/>
      <c r="BM54" s="260"/>
      <c r="BN54" s="260"/>
      <c r="BO54" s="260"/>
      <c r="BP54" s="260"/>
      <c r="BQ54" s="260"/>
      <c r="BR54" s="260"/>
      <c r="BS54" s="260"/>
      <c r="BT54" s="260"/>
      <c r="BU54" s="260"/>
      <c r="BV54" s="857"/>
    </row>
    <row r="55" spans="1:104" ht="13.5" thickBot="1" x14ac:dyDescent="0.25">
      <c r="A55" s="858"/>
      <c r="B55" s="260"/>
      <c r="C55" s="855"/>
      <c r="D55" s="1232"/>
      <c r="E55" s="862"/>
      <c r="F55" s="861"/>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c r="AM55" s="260"/>
      <c r="AN55" s="260"/>
      <c r="AO55" s="260"/>
      <c r="AP55" s="260"/>
      <c r="AQ55" s="260"/>
      <c r="AR55" s="260"/>
      <c r="AS55" s="260"/>
      <c r="AT55" s="260"/>
      <c r="AU55" s="260"/>
      <c r="AV55" s="260"/>
      <c r="AW55" s="260"/>
      <c r="AX55" s="260"/>
      <c r="AY55" s="260"/>
      <c r="AZ55" s="260"/>
      <c r="BA55" s="260"/>
      <c r="BB55" s="260"/>
      <c r="BC55" s="260"/>
      <c r="BD55" s="260"/>
      <c r="BE55" s="260"/>
      <c r="BF55" s="260"/>
      <c r="BG55" s="260"/>
      <c r="BH55" s="260"/>
      <c r="BI55" s="260"/>
      <c r="BJ55" s="260"/>
      <c r="BK55" s="260"/>
      <c r="BL55" s="260"/>
      <c r="BM55" s="260"/>
      <c r="BN55" s="260"/>
      <c r="BO55" s="260"/>
      <c r="BP55" s="260"/>
      <c r="BQ55" s="260"/>
      <c r="BR55" s="260"/>
      <c r="BS55" s="260"/>
      <c r="BT55" s="260"/>
      <c r="BU55" s="260"/>
      <c r="BV55" s="857"/>
    </row>
    <row r="56" spans="1:104" ht="13.5" thickTop="1" x14ac:dyDescent="0.2">
      <c r="A56" s="848" t="s">
        <v>1107</v>
      </c>
      <c r="B56" s="849" t="str">
        <f>"Prices are in $(" &amp; ref_year&amp;")/GJ LHV"</f>
        <v>Prices are in $(2016)/GJ LHV</v>
      </c>
      <c r="C56" s="849"/>
      <c r="D56" s="1236"/>
      <c r="E56" s="849"/>
      <c r="F56" s="850"/>
      <c r="G56" s="850"/>
      <c r="H56" s="850"/>
      <c r="I56" s="850"/>
      <c r="J56" s="850"/>
      <c r="K56" s="850"/>
      <c r="L56" s="850"/>
      <c r="M56" s="850"/>
      <c r="N56" s="850"/>
      <c r="O56" s="850"/>
      <c r="P56" s="850"/>
      <c r="Q56" s="850"/>
      <c r="R56" s="850"/>
      <c r="S56" s="850"/>
      <c r="T56" s="850"/>
      <c r="U56" s="850"/>
      <c r="V56" s="850"/>
      <c r="W56" s="850"/>
      <c r="X56" s="850"/>
      <c r="Y56" s="850"/>
      <c r="Z56" s="850"/>
      <c r="AA56" s="850"/>
      <c r="AB56" s="850"/>
      <c r="AC56" s="850"/>
      <c r="AD56" s="850"/>
      <c r="AE56" s="850"/>
      <c r="AF56" s="850"/>
      <c r="AG56" s="850"/>
      <c r="AH56" s="850"/>
      <c r="AI56" s="850"/>
      <c r="AJ56" s="850"/>
      <c r="AK56" s="850"/>
      <c r="AL56" s="850"/>
      <c r="AM56" s="850"/>
      <c r="AN56" s="850"/>
      <c r="AO56" s="850"/>
      <c r="AP56" s="850"/>
      <c r="AQ56" s="850"/>
      <c r="AR56" s="850"/>
      <c r="AS56" s="863" t="s">
        <v>772</v>
      </c>
      <c r="AT56" s="864"/>
      <c r="AU56" s="864"/>
      <c r="AV56" s="864"/>
      <c r="AW56" s="864"/>
      <c r="AX56" s="864"/>
      <c r="AY56" s="864"/>
      <c r="AZ56" s="864"/>
      <c r="BA56" s="864"/>
      <c r="BB56" s="864"/>
      <c r="BC56" s="864"/>
      <c r="BD56" s="864"/>
      <c r="BE56" s="864"/>
      <c r="BF56" s="864"/>
      <c r="BG56" s="864"/>
      <c r="BH56" s="864"/>
      <c r="BI56" s="864"/>
      <c r="BJ56" s="864"/>
      <c r="BK56" s="864"/>
      <c r="BL56" s="864"/>
      <c r="BM56" s="864"/>
      <c r="BN56" s="864"/>
      <c r="BO56" s="864"/>
      <c r="BP56" s="864"/>
      <c r="BQ56" s="864"/>
      <c r="BR56" s="864"/>
      <c r="BS56" s="864"/>
      <c r="BT56" s="864"/>
      <c r="BU56" s="864"/>
      <c r="BV56" s="865"/>
    </row>
    <row r="57" spans="1:104" ht="51.75" thickBot="1" x14ac:dyDescent="0.25">
      <c r="A57" s="1103" t="s">
        <v>1085</v>
      </c>
      <c r="B57" s="1104" t="s">
        <v>678</v>
      </c>
      <c r="C57" s="1104" t="s">
        <v>679</v>
      </c>
      <c r="D57" s="1237" t="s">
        <v>690</v>
      </c>
      <c r="E57" s="1104" t="s">
        <v>691</v>
      </c>
      <c r="F57" s="1105" t="s">
        <v>680</v>
      </c>
      <c r="G57" s="1105" t="s">
        <v>692</v>
      </c>
      <c r="H57" s="1048">
        <v>2004</v>
      </c>
      <c r="I57" s="1048">
        <v>2005</v>
      </c>
      <c r="J57" s="1048">
        <v>2006</v>
      </c>
      <c r="K57" s="1048">
        <v>2007</v>
      </c>
      <c r="L57" s="1048">
        <v>2008</v>
      </c>
      <c r="M57" s="1048">
        <v>2009</v>
      </c>
      <c r="N57" s="1105">
        <v>2010</v>
      </c>
      <c r="O57" s="1105">
        <v>2011</v>
      </c>
      <c r="P57" s="1105">
        <v>2012</v>
      </c>
      <c r="Q57" s="1105">
        <v>2013</v>
      </c>
      <c r="R57" s="1105">
        <v>2014</v>
      </c>
      <c r="S57" s="1105">
        <v>2015</v>
      </c>
      <c r="T57" s="1105">
        <v>2016</v>
      </c>
      <c r="U57" s="1105">
        <v>2017</v>
      </c>
      <c r="V57" s="1105">
        <v>2018</v>
      </c>
      <c r="W57" s="1105">
        <v>2019</v>
      </c>
      <c r="X57" s="1105">
        <v>2020</v>
      </c>
      <c r="Y57" s="1105">
        <v>2021</v>
      </c>
      <c r="Z57" s="1105">
        <v>2022</v>
      </c>
      <c r="AA57" s="1105">
        <v>2023</v>
      </c>
      <c r="AB57" s="1105">
        <v>2024</v>
      </c>
      <c r="AC57" s="1105">
        <v>2025</v>
      </c>
      <c r="AD57" s="1105">
        <v>2026</v>
      </c>
      <c r="AE57" s="1105">
        <v>2027</v>
      </c>
      <c r="AF57" s="1105">
        <v>2028</v>
      </c>
      <c r="AG57" s="1105">
        <v>2029</v>
      </c>
      <c r="AH57" s="1105">
        <v>2030</v>
      </c>
      <c r="AI57" s="1105">
        <v>2031</v>
      </c>
      <c r="AJ57" s="1105">
        <v>2032</v>
      </c>
      <c r="AK57" s="1105">
        <v>2033</v>
      </c>
      <c r="AL57" s="1105">
        <v>2034</v>
      </c>
      <c r="AM57" s="1105">
        <v>2035</v>
      </c>
      <c r="AN57" s="1105">
        <v>2036</v>
      </c>
      <c r="AO57" s="1105">
        <v>2037</v>
      </c>
      <c r="AP57" s="1105">
        <v>2038</v>
      </c>
      <c r="AQ57" s="1105">
        <v>2039</v>
      </c>
      <c r="AR57" s="1105">
        <v>2040</v>
      </c>
      <c r="AS57" s="1105">
        <v>2041</v>
      </c>
      <c r="AT57" s="1105">
        <v>2042</v>
      </c>
      <c r="AU57" s="1105">
        <v>2043</v>
      </c>
      <c r="AV57" s="1105">
        <v>2044</v>
      </c>
      <c r="AW57" s="1105">
        <v>2045</v>
      </c>
      <c r="AX57" s="1105">
        <v>2046</v>
      </c>
      <c r="AY57" s="1105">
        <v>2047</v>
      </c>
      <c r="AZ57" s="1105">
        <v>2048</v>
      </c>
      <c r="BA57" s="1105">
        <v>2049</v>
      </c>
      <c r="BB57" s="1105">
        <v>2050</v>
      </c>
      <c r="BC57" s="1105">
        <v>2051</v>
      </c>
      <c r="BD57" s="1105">
        <v>2052</v>
      </c>
      <c r="BE57" s="1105">
        <v>2053</v>
      </c>
      <c r="BF57" s="1105">
        <v>2054</v>
      </c>
      <c r="BG57" s="1105">
        <v>2055</v>
      </c>
      <c r="BH57" s="1105">
        <v>2056</v>
      </c>
      <c r="BI57" s="1105">
        <v>2057</v>
      </c>
      <c r="BJ57" s="1105">
        <v>2058</v>
      </c>
      <c r="BK57" s="1105">
        <v>2059</v>
      </c>
      <c r="BL57" s="1105">
        <v>2060</v>
      </c>
      <c r="BM57" s="1105">
        <v>2061</v>
      </c>
      <c r="BN57" s="1105">
        <v>2062</v>
      </c>
      <c r="BO57" s="1105">
        <v>2063</v>
      </c>
      <c r="BP57" s="1105">
        <v>2064</v>
      </c>
      <c r="BQ57" s="1105">
        <v>2065</v>
      </c>
      <c r="BR57" s="1105">
        <v>2066</v>
      </c>
      <c r="BS57" s="1105">
        <v>2067</v>
      </c>
      <c r="BT57" s="1105">
        <v>2068</v>
      </c>
      <c r="BU57" s="1105">
        <v>2069</v>
      </c>
      <c r="BV57" s="1106">
        <v>2070</v>
      </c>
      <c r="BW57" s="1385">
        <f t="shared" ref="BW57" si="130">+BV57+1</f>
        <v>2071</v>
      </c>
      <c r="BX57" s="1385">
        <f t="shared" ref="BX57" si="131">+BW57+1</f>
        <v>2072</v>
      </c>
      <c r="BY57" s="1385">
        <f t="shared" ref="BY57" si="132">+BX57+1</f>
        <v>2073</v>
      </c>
      <c r="BZ57" s="1385">
        <f t="shared" ref="BZ57" si="133">+BY57+1</f>
        <v>2074</v>
      </c>
      <c r="CA57" s="1385">
        <f t="shared" ref="CA57" si="134">+BZ57+1</f>
        <v>2075</v>
      </c>
      <c r="CB57" s="1385">
        <f t="shared" ref="CB57" si="135">+CA57+1</f>
        <v>2076</v>
      </c>
      <c r="CC57" s="1385">
        <f t="shared" ref="CC57" si="136">+CB57+1</f>
        <v>2077</v>
      </c>
      <c r="CD57" s="1385">
        <f t="shared" ref="CD57" si="137">+CC57+1</f>
        <v>2078</v>
      </c>
      <c r="CE57" s="1385">
        <f t="shared" ref="CE57" si="138">+CD57+1</f>
        <v>2079</v>
      </c>
      <c r="CF57" s="1385">
        <f t="shared" ref="CF57" si="139">+CE57+1</f>
        <v>2080</v>
      </c>
      <c r="CG57" s="1385">
        <f t="shared" ref="CG57" si="140">+CF57+1</f>
        <v>2081</v>
      </c>
      <c r="CH57" s="1385">
        <f t="shared" ref="CH57" si="141">+CG57+1</f>
        <v>2082</v>
      </c>
      <c r="CI57" s="1385">
        <f t="shared" ref="CI57" si="142">+CH57+1</f>
        <v>2083</v>
      </c>
      <c r="CJ57" s="1385">
        <f t="shared" ref="CJ57" si="143">+CI57+1</f>
        <v>2084</v>
      </c>
      <c r="CK57" s="1385">
        <f t="shared" ref="CK57" si="144">+CJ57+1</f>
        <v>2085</v>
      </c>
      <c r="CL57" s="1385">
        <f t="shared" ref="CL57" si="145">+CK57+1</f>
        <v>2086</v>
      </c>
      <c r="CM57" s="1385">
        <f t="shared" ref="CM57" si="146">+CL57+1</f>
        <v>2087</v>
      </c>
      <c r="CN57" s="1385">
        <f t="shared" ref="CN57" si="147">+CM57+1</f>
        <v>2088</v>
      </c>
      <c r="CO57" s="1385">
        <f t="shared" ref="CO57" si="148">+CN57+1</f>
        <v>2089</v>
      </c>
      <c r="CP57" s="1385">
        <f t="shared" ref="CP57" si="149">+CO57+1</f>
        <v>2090</v>
      </c>
      <c r="CQ57" s="1385">
        <f t="shared" ref="CQ57" si="150">+CP57+1</f>
        <v>2091</v>
      </c>
      <c r="CR57" s="1385">
        <f t="shared" ref="CR57" si="151">+CQ57+1</f>
        <v>2092</v>
      </c>
      <c r="CS57" s="1385">
        <f t="shared" ref="CS57" si="152">+CR57+1</f>
        <v>2093</v>
      </c>
      <c r="CT57" s="1385">
        <f t="shared" ref="CT57" si="153">+CS57+1</f>
        <v>2094</v>
      </c>
      <c r="CU57" s="1385">
        <f t="shared" ref="CU57" si="154">+CT57+1</f>
        <v>2095</v>
      </c>
      <c r="CV57" s="1385">
        <f t="shared" ref="CV57" si="155">+CU57+1</f>
        <v>2096</v>
      </c>
      <c r="CW57" s="1385">
        <f t="shared" ref="CW57" si="156">+CV57+1</f>
        <v>2097</v>
      </c>
      <c r="CX57" s="1385">
        <f t="shared" ref="CX57" si="157">+CW57+1</f>
        <v>2098</v>
      </c>
      <c r="CY57" s="1385">
        <f t="shared" ref="CY57" si="158">+CX57+1</f>
        <v>2099</v>
      </c>
      <c r="CZ57" s="1385">
        <f t="shared" ref="CZ57" si="159">+CY57+1</f>
        <v>2100</v>
      </c>
    </row>
    <row r="58" spans="1:104" ht="13.5" thickBot="1" x14ac:dyDescent="0.25">
      <c r="A58" s="851" t="s">
        <v>1091</v>
      </c>
      <c r="B58" s="852"/>
      <c r="C58" s="852"/>
      <c r="D58" s="1238"/>
      <c r="E58" s="852"/>
      <c r="F58" s="852"/>
      <c r="G58" s="852"/>
      <c r="H58" s="852"/>
      <c r="I58" s="852"/>
      <c r="J58" s="852"/>
      <c r="K58" s="852"/>
      <c r="L58" s="852"/>
      <c r="M58" s="852"/>
      <c r="N58" s="852"/>
      <c r="O58" s="852"/>
      <c r="P58" s="852"/>
      <c r="Q58" s="852"/>
      <c r="R58" s="852"/>
      <c r="S58" s="852"/>
      <c r="T58" s="852"/>
      <c r="U58" s="852"/>
      <c r="V58" s="852"/>
      <c r="W58" s="852"/>
      <c r="X58" s="852"/>
      <c r="Y58" s="852"/>
      <c r="Z58" s="852"/>
      <c r="AA58" s="852"/>
      <c r="AB58" s="852"/>
      <c r="AC58" s="852"/>
      <c r="AD58" s="852"/>
      <c r="AE58" s="852"/>
      <c r="AF58" s="852"/>
      <c r="AG58" s="852"/>
      <c r="AH58" s="852"/>
      <c r="AI58" s="852"/>
      <c r="AJ58" s="852"/>
      <c r="AK58" s="852"/>
      <c r="AL58" s="852"/>
      <c r="AM58" s="852"/>
      <c r="AN58" s="852"/>
      <c r="AO58" s="852"/>
      <c r="AP58" s="852"/>
      <c r="AQ58" s="852"/>
      <c r="AR58" s="852"/>
      <c r="AS58" s="852"/>
      <c r="AT58" s="852"/>
      <c r="AU58" s="852"/>
      <c r="AV58" s="852"/>
      <c r="AW58" s="852"/>
      <c r="AX58" s="852"/>
      <c r="AY58" s="852"/>
      <c r="AZ58" s="852"/>
      <c r="BA58" s="852"/>
      <c r="BB58" s="852"/>
      <c r="BC58" s="852"/>
      <c r="BD58" s="852"/>
      <c r="BE58" s="852"/>
      <c r="BF58" s="852"/>
      <c r="BG58" s="852"/>
      <c r="BH58" s="852"/>
      <c r="BI58" s="852"/>
      <c r="BJ58" s="852"/>
      <c r="BK58" s="852"/>
      <c r="BL58" s="852"/>
      <c r="BM58" s="852"/>
      <c r="BN58" s="852"/>
      <c r="BO58" s="852"/>
      <c r="BP58" s="852"/>
      <c r="BQ58" s="852"/>
      <c r="BR58" s="852"/>
      <c r="BS58" s="852"/>
      <c r="BT58" s="852"/>
      <c r="BU58" s="852"/>
      <c r="BV58" s="853"/>
    </row>
    <row r="59" spans="1:104" x14ac:dyDescent="0.2">
      <c r="A59" s="854" t="str">
        <f>'HyARC Physical Property Data'!A73</f>
        <v>Residential Natural Gas</v>
      </c>
      <c r="B59" s="260">
        <v>2011</v>
      </c>
      <c r="C59" s="855">
        <f>VLOOKUP(ref_year,DeflatorTable,2,FALSE)/VLOOKUP(B59,DeflatorTable,2,FALSE)</f>
        <v>1.0784554773635862</v>
      </c>
      <c r="D59" s="1239" t="str">
        <f>'HyARC Physical Property Data'!H73</f>
        <v>mmBtu</v>
      </c>
      <c r="E59" s="855" t="s">
        <v>1059</v>
      </c>
      <c r="F59" s="260">
        <f>'HyARC Physical Property Data'!$E$6</f>
        <v>47.141269049911173</v>
      </c>
      <c r="G59" s="260">
        <f>'HyARC Physical Property Data'!$I$6</f>
        <v>52.224661236371581</v>
      </c>
      <c r="H59" s="1050">
        <v>13.568796522291001</v>
      </c>
      <c r="I59" s="1050">
        <v>13.568796522291001</v>
      </c>
      <c r="J59" s="1050">
        <v>13.568796522291001</v>
      </c>
      <c r="K59" s="1050">
        <v>12.569562315288914</v>
      </c>
      <c r="L59" s="1050">
        <v>12.891154499364562</v>
      </c>
      <c r="M59" s="1050">
        <v>11.574514296329017</v>
      </c>
      <c r="N59" s="260">
        <f t="shared" ref="N59:AR59" si="160">N74*(1/mmBTU_to_GJ*$C59*$G59/$F59)</f>
        <v>12.864072624231566</v>
      </c>
      <c r="O59" s="260">
        <f t="shared" si="160"/>
        <v>12.233256612302414</v>
      </c>
      <c r="P59" s="260">
        <f t="shared" si="160"/>
        <v>11.861152965490446</v>
      </c>
      <c r="Q59" s="260">
        <f t="shared" si="160"/>
        <v>11.893055588099742</v>
      </c>
      <c r="R59" s="260">
        <f t="shared" si="160"/>
        <v>11.702900284056764</v>
      </c>
      <c r="S59" s="260">
        <f t="shared" si="160"/>
        <v>11.584863638053182</v>
      </c>
      <c r="T59" s="260">
        <f t="shared" si="160"/>
        <v>12.172704934041207</v>
      </c>
      <c r="U59" s="260">
        <f t="shared" si="160"/>
        <v>12.561660766684307</v>
      </c>
      <c r="V59" s="260">
        <f t="shared" si="160"/>
        <v>13.040849007274005</v>
      </c>
      <c r="W59" s="260">
        <f t="shared" si="160"/>
        <v>13.334636024602869</v>
      </c>
      <c r="X59" s="260">
        <f t="shared" si="160"/>
        <v>13.585497021910953</v>
      </c>
      <c r="Y59" s="260">
        <f t="shared" si="160"/>
        <v>13.826832870705786</v>
      </c>
      <c r="Z59" s="260">
        <f t="shared" si="160"/>
        <v>14.133121150005612</v>
      </c>
      <c r="AA59" s="260">
        <f t="shared" si="160"/>
        <v>14.415523514141789</v>
      </c>
      <c r="AB59" s="260">
        <f t="shared" si="160"/>
        <v>14.555819858061962</v>
      </c>
      <c r="AC59" s="260">
        <f t="shared" si="160"/>
        <v>14.74260268650484</v>
      </c>
      <c r="AD59" s="260">
        <f t="shared" si="160"/>
        <v>14.962909824951016</v>
      </c>
      <c r="AE59" s="260">
        <f t="shared" si="160"/>
        <v>15.13708380741285</v>
      </c>
      <c r="AF59" s="260">
        <f t="shared" si="160"/>
        <v>15.40515937879654</v>
      </c>
      <c r="AG59" s="260">
        <f t="shared" si="160"/>
        <v>15.610444392046157</v>
      </c>
      <c r="AH59" s="260">
        <f t="shared" si="160"/>
        <v>15.844346751976293</v>
      </c>
      <c r="AI59" s="940">
        <f t="shared" si="160"/>
        <v>16.116906877885302</v>
      </c>
      <c r="AJ59" s="940">
        <f t="shared" si="160"/>
        <v>16.508795790382088</v>
      </c>
      <c r="AK59" s="940">
        <f t="shared" si="160"/>
        <v>16.937809113598334</v>
      </c>
      <c r="AL59" s="940">
        <f t="shared" si="160"/>
        <v>17.381004274269273</v>
      </c>
      <c r="AM59" s="940">
        <f t="shared" si="160"/>
        <v>17.788911879634913</v>
      </c>
      <c r="AN59" s="940">
        <f t="shared" si="160"/>
        <v>18.311687498791546</v>
      </c>
      <c r="AO59" s="940">
        <f t="shared" si="160"/>
        <v>18.65334373828842</v>
      </c>
      <c r="AP59" s="940">
        <f t="shared" si="160"/>
        <v>19.195162859691969</v>
      </c>
      <c r="AQ59" s="940">
        <f t="shared" si="160"/>
        <v>19.682735858288098</v>
      </c>
      <c r="AR59" s="940">
        <f t="shared" si="160"/>
        <v>20.015032288908259</v>
      </c>
      <c r="AS59" s="940">
        <f>($BB59-$AR59)/10+AR59</f>
        <v>20.01518684253227</v>
      </c>
      <c r="AT59" s="940">
        <f t="shared" ref="AT59:BA59" si="161">($BB59-$AR59)/10+AS59</f>
        <v>20.01534139615628</v>
      </c>
      <c r="AU59" s="940">
        <f t="shared" si="161"/>
        <v>20.015495949780291</v>
      </c>
      <c r="AV59" s="940">
        <f t="shared" si="161"/>
        <v>20.015650503404302</v>
      </c>
      <c r="AW59" s="940">
        <f t="shared" si="161"/>
        <v>20.015805057028313</v>
      </c>
      <c r="AX59" s="940">
        <f t="shared" si="161"/>
        <v>20.015959610652324</v>
      </c>
      <c r="AY59" s="940">
        <f t="shared" si="161"/>
        <v>20.016114164276335</v>
      </c>
      <c r="AZ59" s="940">
        <f t="shared" si="161"/>
        <v>20.016268717900346</v>
      </c>
      <c r="BA59" s="940">
        <f t="shared" si="161"/>
        <v>20.016423271524356</v>
      </c>
      <c r="BB59" s="942">
        <f>'AEO Data'!$B$30*AM59</f>
        <v>20.01657782514836</v>
      </c>
      <c r="BC59" s="940">
        <f>($BQ59-$BB59)/15+BB59</f>
        <v>20.179679524085394</v>
      </c>
      <c r="BD59" s="940">
        <f t="shared" ref="BD59:BP62" si="162">($BQ59-$BB59)/15+BC59</f>
        <v>20.342781223022428</v>
      </c>
      <c r="BE59" s="940">
        <f t="shared" si="162"/>
        <v>20.505882921959461</v>
      </c>
      <c r="BF59" s="940">
        <f t="shared" si="162"/>
        <v>20.668984620896495</v>
      </c>
      <c r="BG59" s="940">
        <f t="shared" si="162"/>
        <v>20.832086319833529</v>
      </c>
      <c r="BH59" s="940">
        <f t="shared" si="162"/>
        <v>20.995188018770563</v>
      </c>
      <c r="BI59" s="940">
        <f t="shared" si="162"/>
        <v>21.158289717707596</v>
      </c>
      <c r="BJ59" s="940">
        <f t="shared" si="162"/>
        <v>21.32139141664463</v>
      </c>
      <c r="BK59" s="940">
        <f t="shared" si="162"/>
        <v>21.484493115581664</v>
      </c>
      <c r="BL59" s="940">
        <f t="shared" si="162"/>
        <v>21.647594814518698</v>
      </c>
      <c r="BM59" s="940">
        <f t="shared" si="162"/>
        <v>21.810696513455731</v>
      </c>
      <c r="BN59" s="940">
        <f t="shared" si="162"/>
        <v>21.973798212392765</v>
      </c>
      <c r="BO59" s="940">
        <f t="shared" si="162"/>
        <v>22.136899911329799</v>
      </c>
      <c r="BP59" s="940">
        <f t="shared" si="162"/>
        <v>22.300001610266833</v>
      </c>
      <c r="BQ59" s="942">
        <f>'AEO Data'!$C$30*BB59</f>
        <v>22.463103309203859</v>
      </c>
      <c r="BR59" s="939">
        <f>($BV59-$BQ59)/5+BQ59</f>
        <v>22.591499473992489</v>
      </c>
      <c r="BS59" s="940">
        <f t="shared" ref="BS59:BU62" si="163">($BV59-$BQ59)/5+BR59</f>
        <v>22.719895638781118</v>
      </c>
      <c r="BT59" s="940">
        <f t="shared" si="163"/>
        <v>22.848291803569747</v>
      </c>
      <c r="BU59" s="940">
        <f t="shared" si="163"/>
        <v>22.976687968358377</v>
      </c>
      <c r="BV59" s="943">
        <f>'AEO Data'!$D$30*BQ59</f>
        <v>23.105084133146999</v>
      </c>
      <c r="BW59" s="1384">
        <f>+BV59*BW$133/BV$133</f>
        <v>23.181799806296944</v>
      </c>
      <c r="BX59" s="1384">
        <f t="shared" ref="BX59:CZ59" si="164">+BW59*BX$133/BW$133</f>
        <v>23.258770198039247</v>
      </c>
      <c r="BY59" s="1384">
        <f t="shared" si="164"/>
        <v>23.335996154114543</v>
      </c>
      <c r="BZ59" s="1384">
        <f t="shared" si="164"/>
        <v>23.413478523071561</v>
      </c>
      <c r="CA59" s="1384">
        <f t="shared" si="164"/>
        <v>23.491218156276457</v>
      </c>
      <c r="CB59" s="1384">
        <f t="shared" si="164"/>
        <v>23.541346730111329</v>
      </c>
      <c r="CC59" s="1384">
        <f t="shared" si="164"/>
        <v>23.591582274725578</v>
      </c>
      <c r="CD59" s="1384">
        <f t="shared" si="164"/>
        <v>23.641925018387173</v>
      </c>
      <c r="CE59" s="1384">
        <f t="shared" si="164"/>
        <v>23.692375189851191</v>
      </c>
      <c r="CF59" s="1384">
        <f t="shared" si="164"/>
        <v>23.742933018360848</v>
      </c>
      <c r="CG59" s="1384">
        <f t="shared" si="164"/>
        <v>23.759348824569351</v>
      </c>
      <c r="CH59" s="1384">
        <f t="shared" si="164"/>
        <v>23.775775980626385</v>
      </c>
      <c r="CI59" s="1384">
        <f t="shared" si="164"/>
        <v>23.792214494379209</v>
      </c>
      <c r="CJ59" s="1384">
        <f t="shared" si="164"/>
        <v>23.808664373680507</v>
      </c>
      <c r="CK59" s="1384">
        <f t="shared" si="164"/>
        <v>23.825125626388392</v>
      </c>
      <c r="CL59" s="1384">
        <f t="shared" si="164"/>
        <v>23.830705260336195</v>
      </c>
      <c r="CM59" s="1384">
        <f t="shared" si="164"/>
        <v>23.836286200984979</v>
      </c>
      <c r="CN59" s="1384">
        <f t="shared" si="164"/>
        <v>23.841868448640763</v>
      </c>
      <c r="CO59" s="1384">
        <f t="shared" si="164"/>
        <v>23.847452003609632</v>
      </c>
      <c r="CP59" s="1384">
        <f t="shared" si="164"/>
        <v>23.853036866197748</v>
      </c>
      <c r="CQ59" s="1384">
        <f t="shared" si="164"/>
        <v>23.861501261663879</v>
      </c>
      <c r="CR59" s="1384">
        <f t="shared" si="164"/>
        <v>23.869968660772315</v>
      </c>
      <c r="CS59" s="1384">
        <f t="shared" si="164"/>
        <v>23.878439064588914</v>
      </c>
      <c r="CT59" s="1384">
        <f t="shared" si="164"/>
        <v>23.886912474179919</v>
      </c>
      <c r="CU59" s="1384">
        <f t="shared" si="164"/>
        <v>23.89538889061194</v>
      </c>
      <c r="CV59" s="1384">
        <f t="shared" si="164"/>
        <v>23.908434131387597</v>
      </c>
      <c r="CW59" s="1384">
        <f t="shared" si="164"/>
        <v>23.921486493968537</v>
      </c>
      <c r="CX59" s="1384">
        <f t="shared" si="164"/>
        <v>23.934545982242778</v>
      </c>
      <c r="CY59" s="1384">
        <f t="shared" si="164"/>
        <v>23.947612600100459</v>
      </c>
      <c r="CZ59" s="1384">
        <f t="shared" si="164"/>
        <v>23.960686351433843</v>
      </c>
    </row>
    <row r="60" spans="1:104" x14ac:dyDescent="0.2">
      <c r="A60" s="854" t="str">
        <f>'HyARC Physical Property Data'!A71</f>
        <v>Commercial Natural Gas</v>
      </c>
      <c r="B60" s="260">
        <v>2011</v>
      </c>
      <c r="C60" s="855">
        <f t="shared" ref="C60:C68" si="165">VLOOKUP(ref_year,DeflatorTable,2,FALSE)/VLOOKUP(B60,DeflatorTable,2,FALSE)</f>
        <v>1.0784554773635862</v>
      </c>
      <c r="D60" s="1239" t="str">
        <f>'HyARC Physical Property Data'!H71</f>
        <v>mmBtu</v>
      </c>
      <c r="E60" s="855" t="s">
        <v>1059</v>
      </c>
      <c r="F60" s="260">
        <f>'HyARC Physical Property Data'!$E$6</f>
        <v>47.141269049911173</v>
      </c>
      <c r="G60" s="260">
        <f>'HyARC Physical Property Data'!$I$6</f>
        <v>52.224661236371581</v>
      </c>
      <c r="H60" s="1050">
        <v>11.78211597551449</v>
      </c>
      <c r="I60" s="1050">
        <v>11.78211597551449</v>
      </c>
      <c r="J60" s="1050">
        <v>11.78211597551449</v>
      </c>
      <c r="K60" s="1050">
        <v>10.884547954455588</v>
      </c>
      <c r="L60" s="1050">
        <v>11.412186165255939</v>
      </c>
      <c r="M60" s="1050">
        <v>10.075756967258858</v>
      </c>
      <c r="N60" s="260">
        <f t="shared" ref="N60:AR60" si="166">N75*(1/mmBTU_to_GJ*$C60*$G60/$F60)</f>
        <v>10.64172897994356</v>
      </c>
      <c r="O60" s="260">
        <f t="shared" si="166"/>
        <v>10.007414788992003</v>
      </c>
      <c r="P60" s="260">
        <f t="shared" si="166"/>
        <v>9.1519429796830281</v>
      </c>
      <c r="Q60" s="260">
        <f t="shared" si="166"/>
        <v>9.6083607814240821</v>
      </c>
      <c r="R60" s="260">
        <f t="shared" si="166"/>
        <v>9.4170571596314385</v>
      </c>
      <c r="S60" s="260">
        <f t="shared" si="166"/>
        <v>9.2604963783141265</v>
      </c>
      <c r="T60" s="260">
        <f t="shared" si="166"/>
        <v>9.7880272107161694</v>
      </c>
      <c r="U60" s="260">
        <f t="shared" si="166"/>
        <v>10.102152135802671</v>
      </c>
      <c r="V60" s="260">
        <f t="shared" si="166"/>
        <v>10.510533110812647</v>
      </c>
      <c r="W60" s="260">
        <f t="shared" si="166"/>
        <v>10.749394527375706</v>
      </c>
      <c r="X60" s="260">
        <f t="shared" si="166"/>
        <v>10.957396319995588</v>
      </c>
      <c r="Y60" s="260">
        <f t="shared" si="166"/>
        <v>11.154595545540458</v>
      </c>
      <c r="Z60" s="260">
        <f t="shared" si="166"/>
        <v>11.419131036760978</v>
      </c>
      <c r="AA60" s="260">
        <f t="shared" si="166"/>
        <v>11.655986860883548</v>
      </c>
      <c r="AB60" s="260">
        <f t="shared" si="166"/>
        <v>11.761963905589115</v>
      </c>
      <c r="AC60" s="260">
        <f t="shared" si="166"/>
        <v>11.916887145026724</v>
      </c>
      <c r="AD60" s="260">
        <f t="shared" si="166"/>
        <v>12.10487944423552</v>
      </c>
      <c r="AE60" s="260">
        <f t="shared" si="166"/>
        <v>12.234521573768266</v>
      </c>
      <c r="AF60" s="260">
        <f t="shared" si="166"/>
        <v>12.450381528976834</v>
      </c>
      <c r="AG60" s="260">
        <f t="shared" si="166"/>
        <v>12.607433799350707</v>
      </c>
      <c r="AH60" s="260">
        <f t="shared" si="166"/>
        <v>12.785898685119724</v>
      </c>
      <c r="AI60" s="260">
        <f t="shared" si="166"/>
        <v>13.004609050363703</v>
      </c>
      <c r="AJ60" s="260">
        <f t="shared" si="166"/>
        <v>13.334459360333689</v>
      </c>
      <c r="AK60" s="260">
        <f t="shared" si="166"/>
        <v>13.708042004168398</v>
      </c>
      <c r="AL60" s="260">
        <f t="shared" si="166"/>
        <v>14.091726220317723</v>
      </c>
      <c r="AM60" s="260">
        <f t="shared" si="166"/>
        <v>14.43493053709644</v>
      </c>
      <c r="AN60" s="260">
        <f t="shared" si="166"/>
        <v>14.903089717958334</v>
      </c>
      <c r="AO60" s="260">
        <f t="shared" si="166"/>
        <v>15.194282261949443</v>
      </c>
      <c r="AP60" s="260">
        <f t="shared" si="166"/>
        <v>15.688899182047464</v>
      </c>
      <c r="AQ60" s="260">
        <f t="shared" si="166"/>
        <v>16.126102479588738</v>
      </c>
      <c r="AR60" s="260">
        <f t="shared" si="166"/>
        <v>16.399079351978891</v>
      </c>
      <c r="AS60" s="260">
        <f t="shared" ref="AS60:BA60" si="167">($BB60-$AR60)/10+AR60</f>
        <v>16.383429901231551</v>
      </c>
      <c r="AT60" s="260">
        <f t="shared" si="167"/>
        <v>16.367780450484211</v>
      </c>
      <c r="AU60" s="260">
        <f t="shared" si="167"/>
        <v>16.352130999736872</v>
      </c>
      <c r="AV60" s="260">
        <f t="shared" si="167"/>
        <v>16.336481548989532</v>
      </c>
      <c r="AW60" s="260">
        <f t="shared" si="167"/>
        <v>16.320832098242192</v>
      </c>
      <c r="AX60" s="260">
        <f t="shared" si="167"/>
        <v>16.305182647494853</v>
      </c>
      <c r="AY60" s="260">
        <f t="shared" si="167"/>
        <v>16.289533196747513</v>
      </c>
      <c r="AZ60" s="260">
        <f t="shared" si="167"/>
        <v>16.273883746000173</v>
      </c>
      <c r="BA60" s="260">
        <f t="shared" si="167"/>
        <v>16.258234295252834</v>
      </c>
      <c r="BB60" s="920">
        <f>'AEO Data'!$B$30*AM60</f>
        <v>16.242584844505476</v>
      </c>
      <c r="BC60" s="260">
        <f>($BQ60-$BB60)/15+BB60</f>
        <v>16.374934799947876</v>
      </c>
      <c r="BD60" s="260">
        <f t="shared" si="162"/>
        <v>16.507284755390277</v>
      </c>
      <c r="BE60" s="260">
        <f t="shared" si="162"/>
        <v>16.639634710832677</v>
      </c>
      <c r="BF60" s="260">
        <f t="shared" si="162"/>
        <v>16.771984666275078</v>
      </c>
      <c r="BG60" s="260">
        <f t="shared" si="162"/>
        <v>16.904334621717478</v>
      </c>
      <c r="BH60" s="260">
        <f t="shared" si="162"/>
        <v>17.036684577159878</v>
      </c>
      <c r="BI60" s="260">
        <f t="shared" si="162"/>
        <v>17.169034532602279</v>
      </c>
      <c r="BJ60" s="260">
        <f t="shared" si="162"/>
        <v>17.301384488044679</v>
      </c>
      <c r="BK60" s="260">
        <f t="shared" si="162"/>
        <v>17.433734443487079</v>
      </c>
      <c r="BL60" s="260">
        <f t="shared" si="162"/>
        <v>17.56608439892948</v>
      </c>
      <c r="BM60" s="260">
        <f t="shared" si="162"/>
        <v>17.69843435437188</v>
      </c>
      <c r="BN60" s="260">
        <f t="shared" si="162"/>
        <v>17.83078430981428</v>
      </c>
      <c r="BO60" s="260">
        <f t="shared" si="162"/>
        <v>17.963134265256681</v>
      </c>
      <c r="BP60" s="260">
        <f t="shared" si="162"/>
        <v>18.095484220699081</v>
      </c>
      <c r="BQ60" s="920">
        <f>'AEO Data'!$C$30*BB60</f>
        <v>18.227834176141503</v>
      </c>
      <c r="BR60" s="854">
        <f>($BV60-$BQ60)/5+BQ60</f>
        <v>18.332022095700271</v>
      </c>
      <c r="BS60" s="260">
        <f t="shared" si="163"/>
        <v>18.436210015259039</v>
      </c>
      <c r="BT60" s="260">
        <f t="shared" si="163"/>
        <v>18.540397934817808</v>
      </c>
      <c r="BU60" s="260">
        <f t="shared" si="163"/>
        <v>18.644585854376576</v>
      </c>
      <c r="BV60" s="944">
        <f>'AEO Data'!$D$30*BQ60</f>
        <v>18.748773773935348</v>
      </c>
      <c r="BW60" s="1384">
        <f>+BV60*BW$134/BV$134</f>
        <v>18.811025215761521</v>
      </c>
      <c r="BX60" s="1384">
        <f t="shared" ref="BX60:CZ60" si="168">+BW60*BX$134/BW$134</f>
        <v>18.873483350678995</v>
      </c>
      <c r="BY60" s="1384">
        <f t="shared" si="168"/>
        <v>18.93614886496961</v>
      </c>
      <c r="BZ60" s="1384">
        <f t="shared" si="168"/>
        <v>18.999022447193862</v>
      </c>
      <c r="CA60" s="1384">
        <f t="shared" si="168"/>
        <v>19.062104788198472</v>
      </c>
      <c r="CB60" s="1384">
        <f t="shared" si="168"/>
        <v>19.102781951935423</v>
      </c>
      <c r="CC60" s="1384">
        <f t="shared" si="168"/>
        <v>19.143545917820827</v>
      </c>
      <c r="CD60" s="1384">
        <f t="shared" si="168"/>
        <v>19.184396871084243</v>
      </c>
      <c r="CE60" s="1384">
        <f t="shared" si="168"/>
        <v>19.22533499735049</v>
      </c>
      <c r="CF60" s="1384">
        <f t="shared" si="168"/>
        <v>19.266360482640504</v>
      </c>
      <c r="CG60" s="1384">
        <f t="shared" si="168"/>
        <v>19.279681197473067</v>
      </c>
      <c r="CH60" s="1384">
        <f t="shared" si="168"/>
        <v>19.293011122215507</v>
      </c>
      <c r="CI60" s="1384">
        <f t="shared" si="168"/>
        <v>19.306350263235526</v>
      </c>
      <c r="CJ60" s="1384">
        <f t="shared" si="168"/>
        <v>19.319698626905243</v>
      </c>
      <c r="CK60" s="1384">
        <f t="shared" si="168"/>
        <v>19.333056219601172</v>
      </c>
      <c r="CL60" s="1384">
        <f t="shared" si="168"/>
        <v>19.337583850577364</v>
      </c>
      <c r="CM60" s="1384">
        <f t="shared" si="168"/>
        <v>19.342112541884731</v>
      </c>
      <c r="CN60" s="1384">
        <f t="shared" si="168"/>
        <v>19.346642293771598</v>
      </c>
      <c r="CO60" s="1384">
        <f t="shared" si="168"/>
        <v>19.351173106486343</v>
      </c>
      <c r="CP60" s="1384">
        <f t="shared" si="168"/>
        <v>19.355704980277398</v>
      </c>
      <c r="CQ60" s="1384">
        <f t="shared" si="168"/>
        <v>19.362573470122019</v>
      </c>
      <c r="CR60" s="1384">
        <f t="shared" si="168"/>
        <v>19.369444397292106</v>
      </c>
      <c r="CS60" s="1384">
        <f t="shared" si="168"/>
        <v>19.376317762652565</v>
      </c>
      <c r="CT60" s="1384">
        <f t="shared" si="168"/>
        <v>19.383193567068602</v>
      </c>
      <c r="CU60" s="1384">
        <f t="shared" si="168"/>
        <v>19.390071811405733</v>
      </c>
      <c r="CV60" s="1384">
        <f t="shared" si="168"/>
        <v>19.400657458561128</v>
      </c>
      <c r="CW60" s="1384">
        <f t="shared" si="168"/>
        <v>19.411248884752663</v>
      </c>
      <c r="CX60" s="1384">
        <f t="shared" si="168"/>
        <v>19.42184609313529</v>
      </c>
      <c r="CY60" s="1384">
        <f t="shared" si="168"/>
        <v>19.432449086865692</v>
      </c>
      <c r="CZ60" s="1384">
        <f t="shared" si="168"/>
        <v>19.443057869102269</v>
      </c>
    </row>
    <row r="61" spans="1:104" x14ac:dyDescent="0.2">
      <c r="A61" s="854" t="str">
        <f>'HyARC Physical Property Data'!A72</f>
        <v>Industrial Natural Gas</v>
      </c>
      <c r="B61" s="260">
        <v>2011</v>
      </c>
      <c r="C61" s="855">
        <f t="shared" si="165"/>
        <v>1.0784554773635862</v>
      </c>
      <c r="D61" s="1239" t="str">
        <f>'HyARC Physical Property Data'!H72</f>
        <v>mmBtu</v>
      </c>
      <c r="E61" s="855" t="s">
        <v>1059</v>
      </c>
      <c r="F61" s="260">
        <f>'HyARC Physical Property Data'!$E$6</f>
        <v>47.141269049911173</v>
      </c>
      <c r="G61" s="260">
        <f>'HyARC Physical Property Data'!$I$6</f>
        <v>52.224661236371581</v>
      </c>
      <c r="H61" s="1050">
        <v>7.8800725307970341</v>
      </c>
      <c r="I61" s="1050">
        <v>7.8800725307970341</v>
      </c>
      <c r="J61" s="1050">
        <v>7.8800725307970341</v>
      </c>
      <c r="K61" s="1050">
        <v>7.4431315976064605</v>
      </c>
      <c r="L61" s="1050">
        <v>8.8750360136942668</v>
      </c>
      <c r="M61" s="1050">
        <v>6.5580125743803235</v>
      </c>
      <c r="N61" s="260">
        <f t="shared" ref="N61:AR61" si="169">N76*(1/mmBTU_to_GJ*$C61*$G61/$F61)</f>
        <v>6.2103798436905873</v>
      </c>
      <c r="O61" s="260">
        <f t="shared" si="169"/>
        <v>5.5365993079896789</v>
      </c>
      <c r="P61" s="260">
        <f t="shared" si="169"/>
        <v>4.2658486899298849</v>
      </c>
      <c r="Q61" s="260">
        <f t="shared" si="169"/>
        <v>4.9262435098506687</v>
      </c>
      <c r="R61" s="260">
        <f t="shared" si="169"/>
        <v>5.0011287756439424</v>
      </c>
      <c r="S61" s="260">
        <f t="shared" si="169"/>
        <v>5.043267733696263</v>
      </c>
      <c r="T61" s="260">
        <f t="shared" si="169"/>
        <v>5.5677692268671866</v>
      </c>
      <c r="U61" s="260">
        <f t="shared" si="169"/>
        <v>5.811978134962712</v>
      </c>
      <c r="V61" s="260">
        <f t="shared" si="169"/>
        <v>6.1008547915790015</v>
      </c>
      <c r="W61" s="260">
        <f t="shared" si="169"/>
        <v>6.2889829863794731</v>
      </c>
      <c r="X61" s="260">
        <f t="shared" si="169"/>
        <v>6.4543826434720692</v>
      </c>
      <c r="Y61" s="260">
        <f t="shared" si="169"/>
        <v>6.6186022738436092</v>
      </c>
      <c r="Z61" s="260">
        <f t="shared" si="169"/>
        <v>6.8574772799658357</v>
      </c>
      <c r="AA61" s="260">
        <f t="shared" si="169"/>
        <v>7.0784899430254651</v>
      </c>
      <c r="AB61" s="260">
        <f t="shared" si="169"/>
        <v>7.1627859785423293</v>
      </c>
      <c r="AC61" s="260">
        <f t="shared" si="169"/>
        <v>7.2980043571868638</v>
      </c>
      <c r="AD61" s="260">
        <f t="shared" si="169"/>
        <v>7.4390911604652894</v>
      </c>
      <c r="AE61" s="260">
        <f t="shared" si="169"/>
        <v>7.5449878002791149</v>
      </c>
      <c r="AF61" s="260">
        <f t="shared" si="169"/>
        <v>7.7612180709749996</v>
      </c>
      <c r="AG61" s="260">
        <f t="shared" si="169"/>
        <v>7.9069717553642462</v>
      </c>
      <c r="AH61" s="260">
        <f t="shared" si="169"/>
        <v>8.0635665105794754</v>
      </c>
      <c r="AI61" s="260">
        <f t="shared" si="169"/>
        <v>8.2711923253957185</v>
      </c>
      <c r="AJ61" s="260">
        <f t="shared" si="169"/>
        <v>8.5949477180790161</v>
      </c>
      <c r="AK61" s="260">
        <f t="shared" si="169"/>
        <v>8.9590199354229085</v>
      </c>
      <c r="AL61" s="260">
        <f t="shared" si="169"/>
        <v>9.332634288229011</v>
      </c>
      <c r="AM61" s="260">
        <f t="shared" si="169"/>
        <v>9.6599444830979113</v>
      </c>
      <c r="AN61" s="260">
        <f t="shared" si="169"/>
        <v>10.080315979146802</v>
      </c>
      <c r="AO61" s="260">
        <f t="shared" si="169"/>
        <v>10.318380141572026</v>
      </c>
      <c r="AP61" s="260">
        <f t="shared" si="169"/>
        <v>10.748724109123437</v>
      </c>
      <c r="AQ61" s="260">
        <f t="shared" si="169"/>
        <v>11.112492826312584</v>
      </c>
      <c r="AR61" s="260">
        <f t="shared" si="169"/>
        <v>11.338483797880626</v>
      </c>
      <c r="AS61" s="260">
        <f t="shared" ref="AS61:BA61" si="170">($BB61-$AR61)/10+AR61</f>
        <v>11.291599206776587</v>
      </c>
      <c r="AT61" s="260">
        <f t="shared" si="170"/>
        <v>11.244714615672548</v>
      </c>
      <c r="AU61" s="260">
        <f t="shared" si="170"/>
        <v>11.197830024568509</v>
      </c>
      <c r="AV61" s="260">
        <f t="shared" si="170"/>
        <v>11.15094543346447</v>
      </c>
      <c r="AW61" s="260">
        <f t="shared" si="170"/>
        <v>11.104060842360431</v>
      </c>
      <c r="AX61" s="260">
        <f t="shared" si="170"/>
        <v>11.057176251256392</v>
      </c>
      <c r="AY61" s="260">
        <f t="shared" si="170"/>
        <v>11.010291660152353</v>
      </c>
      <c r="AZ61" s="260">
        <f t="shared" si="170"/>
        <v>10.963407069048314</v>
      </c>
      <c r="BA61" s="260">
        <f t="shared" si="170"/>
        <v>10.916522477944275</v>
      </c>
      <c r="BB61" s="920">
        <f>'AEO Data'!$B$30*AM61</f>
        <v>10.869637886840229</v>
      </c>
      <c r="BC61" s="260">
        <f>($BQ61-$BB61)/15+BB61</f>
        <v>10.958207292742701</v>
      </c>
      <c r="BD61" s="260">
        <f t="shared" si="162"/>
        <v>11.046776698645173</v>
      </c>
      <c r="BE61" s="260">
        <f t="shared" si="162"/>
        <v>11.135346104547645</v>
      </c>
      <c r="BF61" s="260">
        <f t="shared" si="162"/>
        <v>11.223915510450118</v>
      </c>
      <c r="BG61" s="260">
        <f t="shared" si="162"/>
        <v>11.31248491635259</v>
      </c>
      <c r="BH61" s="260">
        <f t="shared" si="162"/>
        <v>11.401054322255062</v>
      </c>
      <c r="BI61" s="260">
        <f t="shared" si="162"/>
        <v>11.489623728157534</v>
      </c>
      <c r="BJ61" s="260">
        <f t="shared" si="162"/>
        <v>11.578193134060006</v>
      </c>
      <c r="BK61" s="260">
        <f t="shared" si="162"/>
        <v>11.666762539962479</v>
      </c>
      <c r="BL61" s="260">
        <f t="shared" si="162"/>
        <v>11.755331945864951</v>
      </c>
      <c r="BM61" s="260">
        <f t="shared" si="162"/>
        <v>11.843901351767423</v>
      </c>
      <c r="BN61" s="260">
        <f t="shared" si="162"/>
        <v>11.932470757669895</v>
      </c>
      <c r="BO61" s="260">
        <f t="shared" si="162"/>
        <v>12.021040163572367</v>
      </c>
      <c r="BP61" s="260">
        <f t="shared" si="162"/>
        <v>12.10960956947484</v>
      </c>
      <c r="BQ61" s="920">
        <f>'AEO Data'!$C$30*BB61</f>
        <v>12.19817897537731</v>
      </c>
      <c r="BR61" s="854">
        <f>($BV61-$BQ61)/5+BQ61</f>
        <v>12.26790217329369</v>
      </c>
      <c r="BS61" s="260">
        <f t="shared" si="163"/>
        <v>12.33762537121007</v>
      </c>
      <c r="BT61" s="260">
        <f t="shared" si="163"/>
        <v>12.40734856912645</v>
      </c>
      <c r="BU61" s="260">
        <f t="shared" si="163"/>
        <v>12.47707176704283</v>
      </c>
      <c r="BV61" s="944">
        <f>'AEO Data'!$D$30*BQ61</f>
        <v>12.546794964959213</v>
      </c>
      <c r="BW61" s="1384">
        <f>+BV61*BW$135/BV$135</f>
        <v>12.588454013507333</v>
      </c>
      <c r="BX61" s="1384">
        <f t="shared" ref="BX61:CZ61" si="171">+BW61*BX$135/BW$135</f>
        <v>12.630251382346072</v>
      </c>
      <c r="BY61" s="1384">
        <f t="shared" si="171"/>
        <v>12.672187530739475</v>
      </c>
      <c r="BZ61" s="1384">
        <f t="shared" si="171"/>
        <v>12.714262919476461</v>
      </c>
      <c r="CA61" s="1384">
        <f t="shared" si="171"/>
        <v>12.75647801087592</v>
      </c>
      <c r="CB61" s="1384">
        <f t="shared" si="171"/>
        <v>12.78369941955669</v>
      </c>
      <c r="CC61" s="1384">
        <f t="shared" si="171"/>
        <v>12.810978916770198</v>
      </c>
      <c r="CD61" s="1384">
        <f t="shared" si="171"/>
        <v>12.838316626473205</v>
      </c>
      <c r="CE61" s="1384">
        <f t="shared" si="171"/>
        <v>12.865712672886987</v>
      </c>
      <c r="CF61" s="1384">
        <f t="shared" si="171"/>
        <v>12.893167180497899</v>
      </c>
      <c r="CG61" s="1384">
        <f t="shared" si="171"/>
        <v>12.90208148496421</v>
      </c>
      <c r="CH61" s="1384">
        <f t="shared" si="171"/>
        <v>12.911001952758973</v>
      </c>
      <c r="CI61" s="1384">
        <f t="shared" si="171"/>
        <v>12.919928588143499</v>
      </c>
      <c r="CJ61" s="1384">
        <f t="shared" si="171"/>
        <v>12.928861395382043</v>
      </c>
      <c r="CK61" s="1384">
        <f t="shared" si="171"/>
        <v>12.937800378741811</v>
      </c>
      <c r="CL61" s="1384">
        <f t="shared" si="171"/>
        <v>12.940830297296499</v>
      </c>
      <c r="CM61" s="1384">
        <f t="shared" si="171"/>
        <v>12.943860925431345</v>
      </c>
      <c r="CN61" s="1384">
        <f t="shared" si="171"/>
        <v>12.946892263312527</v>
      </c>
      <c r="CO61" s="1384">
        <f t="shared" si="171"/>
        <v>12.949924311106264</v>
      </c>
      <c r="CP61" s="1384">
        <f t="shared" si="171"/>
        <v>12.952957068978808</v>
      </c>
      <c r="CQ61" s="1384">
        <f t="shared" si="171"/>
        <v>12.957553504715802</v>
      </c>
      <c r="CR61" s="1384">
        <f t="shared" si="171"/>
        <v>12.962151571526023</v>
      </c>
      <c r="CS61" s="1384">
        <f t="shared" si="171"/>
        <v>12.966751269988269</v>
      </c>
      <c r="CT61" s="1384">
        <f t="shared" si="171"/>
        <v>12.971352600681538</v>
      </c>
      <c r="CU61" s="1384">
        <f t="shared" si="171"/>
        <v>12.975955564185037</v>
      </c>
      <c r="CV61" s="1384">
        <f t="shared" si="171"/>
        <v>12.983039544504583</v>
      </c>
      <c r="CW61" s="1384">
        <f t="shared" si="171"/>
        <v>12.990127392190731</v>
      </c>
      <c r="CX61" s="1384">
        <f t="shared" si="171"/>
        <v>12.997219109354795</v>
      </c>
      <c r="CY61" s="1384">
        <f t="shared" si="171"/>
        <v>13.004314698109246</v>
      </c>
      <c r="CZ61" s="1384">
        <f t="shared" si="171"/>
        <v>13.011414160567707</v>
      </c>
    </row>
    <row r="62" spans="1:104" x14ac:dyDescent="0.2">
      <c r="A62" s="854" t="str">
        <f>'HyARC Physical Property Data'!A74</f>
        <v>Electric Utility Natural Gas</v>
      </c>
      <c r="B62" s="260">
        <v>2011</v>
      </c>
      <c r="C62" s="855">
        <f t="shared" si="165"/>
        <v>1.0784554773635862</v>
      </c>
      <c r="D62" s="1239" t="str">
        <f>'HyARC Physical Property Data'!H74</f>
        <v>mmBtu</v>
      </c>
      <c r="E62" s="855" t="s">
        <v>1059</v>
      </c>
      <c r="F62" s="260">
        <f>'HyARC Physical Property Data'!$E$6</f>
        <v>47.141269049911173</v>
      </c>
      <c r="G62" s="260">
        <f>'HyARC Physical Property Data'!$I$6</f>
        <v>52.224661236371581</v>
      </c>
      <c r="H62" s="1050">
        <v>6.9870463159656619</v>
      </c>
      <c r="I62" s="1050">
        <v>6.9870463159656619</v>
      </c>
      <c r="J62" s="1050">
        <v>6.9870463159656619</v>
      </c>
      <c r="K62" s="1050">
        <v>6.9519071777354364</v>
      </c>
      <c r="L62" s="1050">
        <v>9.0904707383294223</v>
      </c>
      <c r="M62" s="1050">
        <v>6.2626950486669273</v>
      </c>
      <c r="N62" s="260">
        <f t="shared" ref="N62:AR62" si="172">N77*(1/mmBTU_to_GJ*$C62*$G62/$F62)</f>
        <v>5.9546798308555591</v>
      </c>
      <c r="O62" s="260">
        <f t="shared" si="172"/>
        <v>5.4071882009627821</v>
      </c>
      <c r="P62" s="260">
        <f t="shared" si="172"/>
        <v>3.768852464514262</v>
      </c>
      <c r="Q62" s="260">
        <f t="shared" si="172"/>
        <v>4.2197914089842286</v>
      </c>
      <c r="R62" s="260">
        <f t="shared" si="172"/>
        <v>4.3421608594357606</v>
      </c>
      <c r="S62" s="260">
        <f t="shared" si="172"/>
        <v>4.4350092575221245</v>
      </c>
      <c r="T62" s="260">
        <f t="shared" si="172"/>
        <v>4.9227430659017379</v>
      </c>
      <c r="U62" s="260">
        <f t="shared" si="172"/>
        <v>5.1227134290535421</v>
      </c>
      <c r="V62" s="260">
        <f t="shared" si="172"/>
        <v>5.404199630409166</v>
      </c>
      <c r="W62" s="260">
        <f t="shared" si="172"/>
        <v>5.5835002740669921</v>
      </c>
      <c r="X62" s="260">
        <f t="shared" si="172"/>
        <v>5.7378889908440085</v>
      </c>
      <c r="Y62" s="260">
        <f t="shared" si="172"/>
        <v>5.8922335415537308</v>
      </c>
      <c r="Z62" s="260">
        <f t="shared" si="172"/>
        <v>6.1313078612104164</v>
      </c>
      <c r="AA62" s="260">
        <f t="shared" si="172"/>
        <v>6.355420076223532</v>
      </c>
      <c r="AB62" s="260">
        <f t="shared" si="172"/>
        <v>6.4754872288594125</v>
      </c>
      <c r="AC62" s="260">
        <f t="shared" si="172"/>
        <v>6.6246700120119595</v>
      </c>
      <c r="AD62" s="260">
        <f t="shared" si="172"/>
        <v>6.7907434847466179</v>
      </c>
      <c r="AE62" s="260">
        <f t="shared" si="172"/>
        <v>6.9234738416002104</v>
      </c>
      <c r="AF62" s="260">
        <f t="shared" si="172"/>
        <v>7.1128771900359125</v>
      </c>
      <c r="AG62" s="260">
        <f t="shared" si="172"/>
        <v>7.2589977925226847</v>
      </c>
      <c r="AH62" s="260">
        <f t="shared" si="172"/>
        <v>7.4163003372778959</v>
      </c>
      <c r="AI62" s="260">
        <f t="shared" si="172"/>
        <v>7.6223407035245794</v>
      </c>
      <c r="AJ62" s="260">
        <f t="shared" si="172"/>
        <v>7.9461017585241978</v>
      </c>
      <c r="AK62" s="260">
        <f t="shared" si="172"/>
        <v>8.2927532934784409</v>
      </c>
      <c r="AL62" s="260">
        <f t="shared" si="172"/>
        <v>8.6454827587704095</v>
      </c>
      <c r="AM62" s="260">
        <f t="shared" si="172"/>
        <v>8.9495797216544553</v>
      </c>
      <c r="AN62" s="260">
        <f t="shared" si="172"/>
        <v>9.3600297070477065</v>
      </c>
      <c r="AO62" s="260">
        <f t="shared" si="172"/>
        <v>9.6003452064417036</v>
      </c>
      <c r="AP62" s="260">
        <f t="shared" si="172"/>
        <v>10.02812074731043</v>
      </c>
      <c r="AQ62" s="260">
        <f t="shared" si="172"/>
        <v>10.386438918810089</v>
      </c>
      <c r="AR62" s="260">
        <f t="shared" si="172"/>
        <v>10.572567183486392</v>
      </c>
      <c r="AS62" s="260">
        <f t="shared" ref="AS62:BA62" si="173">($BB62-$AR62)/10+AR62</f>
        <v>10.522342037462021</v>
      </c>
      <c r="AT62" s="260">
        <f t="shared" si="173"/>
        <v>10.472116891437651</v>
      </c>
      <c r="AU62" s="260">
        <f t="shared" si="173"/>
        <v>10.42189174541328</v>
      </c>
      <c r="AV62" s="260">
        <f t="shared" si="173"/>
        <v>10.371666599388909</v>
      </c>
      <c r="AW62" s="260">
        <f t="shared" si="173"/>
        <v>10.321441453364539</v>
      </c>
      <c r="AX62" s="260">
        <f t="shared" si="173"/>
        <v>10.271216307340168</v>
      </c>
      <c r="AY62" s="260">
        <f t="shared" si="173"/>
        <v>10.220991161315798</v>
      </c>
      <c r="AZ62" s="260">
        <f t="shared" si="173"/>
        <v>10.170766015291427</v>
      </c>
      <c r="BA62" s="260">
        <f t="shared" si="173"/>
        <v>10.120540869267057</v>
      </c>
      <c r="BB62" s="920">
        <f>'AEO Data'!$B$30*AM62</f>
        <v>10.070315723242683</v>
      </c>
      <c r="BC62" s="260">
        <f>($BQ62-$BB62)/15+BB62</f>
        <v>10.152371987687129</v>
      </c>
      <c r="BD62" s="260">
        <f t="shared" si="162"/>
        <v>10.234428252131575</v>
      </c>
      <c r="BE62" s="260">
        <f t="shared" si="162"/>
        <v>10.316484516576022</v>
      </c>
      <c r="BF62" s="260">
        <f t="shared" si="162"/>
        <v>10.398540781020468</v>
      </c>
      <c r="BG62" s="260">
        <f t="shared" si="162"/>
        <v>10.480597045464915</v>
      </c>
      <c r="BH62" s="260">
        <f t="shared" si="162"/>
        <v>10.562653309909361</v>
      </c>
      <c r="BI62" s="260">
        <f t="shared" si="162"/>
        <v>10.644709574353808</v>
      </c>
      <c r="BJ62" s="260">
        <f t="shared" si="162"/>
        <v>10.726765838798254</v>
      </c>
      <c r="BK62" s="260">
        <f t="shared" si="162"/>
        <v>10.808822103242701</v>
      </c>
      <c r="BL62" s="260">
        <f t="shared" si="162"/>
        <v>10.890878367687147</v>
      </c>
      <c r="BM62" s="260">
        <f t="shared" si="162"/>
        <v>10.972934632131594</v>
      </c>
      <c r="BN62" s="260">
        <f t="shared" si="162"/>
        <v>11.05499089657604</v>
      </c>
      <c r="BO62" s="260">
        <f t="shared" si="162"/>
        <v>11.137047161020487</v>
      </c>
      <c r="BP62" s="260">
        <f t="shared" si="162"/>
        <v>11.219103425464933</v>
      </c>
      <c r="BQ62" s="920">
        <f>'AEO Data'!$C$30*BB62</f>
        <v>11.301159689909367</v>
      </c>
      <c r="BR62" s="854">
        <f>($BV62-$BQ62)/5+BQ62</f>
        <v>11.365755642742549</v>
      </c>
      <c r="BS62" s="260">
        <f t="shared" si="163"/>
        <v>11.430351595575731</v>
      </c>
      <c r="BT62" s="260">
        <f t="shared" si="163"/>
        <v>11.494947548408913</v>
      </c>
      <c r="BU62" s="260">
        <f t="shared" si="163"/>
        <v>11.559543501242095</v>
      </c>
      <c r="BV62" s="944">
        <f>'AEO Data'!$D$30*BQ62</f>
        <v>11.624139454075273</v>
      </c>
      <c r="BW62" s="1384">
        <f>+BV62*BW$136/BV$136</f>
        <v>11.662735015029273</v>
      </c>
      <c r="BX62" s="1384">
        <f t="shared" ref="BX62:CZ63" si="174">+BW62*BX$136/BW$136</f>
        <v>11.701458724594294</v>
      </c>
      <c r="BY62" s="1384">
        <f t="shared" si="174"/>
        <v>11.740311008261404</v>
      </c>
      <c r="BZ62" s="1384">
        <f t="shared" si="174"/>
        <v>11.779292292934432</v>
      </c>
      <c r="CA62" s="1384">
        <f t="shared" si="174"/>
        <v>11.818403006934647</v>
      </c>
      <c r="CB62" s="1384">
        <f t="shared" si="174"/>
        <v>11.843622630872503</v>
      </c>
      <c r="CC62" s="1384">
        <f t="shared" si="174"/>
        <v>11.868896071678103</v>
      </c>
      <c r="CD62" s="1384">
        <f t="shared" si="174"/>
        <v>11.894223444192779</v>
      </c>
      <c r="CE62" s="1384">
        <f t="shared" si="174"/>
        <v>11.919604863502929</v>
      </c>
      <c r="CF62" s="1384">
        <f t="shared" si="174"/>
        <v>11.94504044494054</v>
      </c>
      <c r="CG62" s="1384">
        <f t="shared" si="174"/>
        <v>11.95329921688524</v>
      </c>
      <c r="CH62" s="1384">
        <f t="shared" si="174"/>
        <v>11.961563698924795</v>
      </c>
      <c r="CI62" s="1384">
        <f t="shared" si="174"/>
        <v>11.969833895007156</v>
      </c>
      <c r="CJ62" s="1384">
        <f t="shared" si="174"/>
        <v>11.978109809082998</v>
      </c>
      <c r="CK62" s="1384">
        <f t="shared" si="174"/>
        <v>11.986391445105726</v>
      </c>
      <c r="CL62" s="1384">
        <f t="shared" si="174"/>
        <v>11.98919855209301</v>
      </c>
      <c r="CM62" s="1384">
        <f t="shared" si="174"/>
        <v>11.992006316479953</v>
      </c>
      <c r="CN62" s="1384">
        <f t="shared" si="174"/>
        <v>11.994814738420512</v>
      </c>
      <c r="CO62" s="1384">
        <f t="shared" si="174"/>
        <v>11.99762381806868</v>
      </c>
      <c r="CP62" s="1384">
        <f t="shared" si="174"/>
        <v>12.000433555578486</v>
      </c>
      <c r="CQ62" s="1384">
        <f t="shared" si="174"/>
        <v>12.00469198254312</v>
      </c>
      <c r="CR62" s="1384">
        <f t="shared" si="174"/>
        <v>12.008951920636509</v>
      </c>
      <c r="CS62" s="1384">
        <f t="shared" si="174"/>
        <v>12.013213370394887</v>
      </c>
      <c r="CT62" s="1384">
        <f t="shared" si="174"/>
        <v>12.017476332354676</v>
      </c>
      <c r="CU62" s="1384">
        <f t="shared" si="174"/>
        <v>12.021740807052488</v>
      </c>
      <c r="CV62" s="1384">
        <f t="shared" si="174"/>
        <v>12.028303851667012</v>
      </c>
      <c r="CW62" s="1384">
        <f t="shared" si="174"/>
        <v>12.034870479253032</v>
      </c>
      <c r="CX62" s="1384">
        <f t="shared" si="174"/>
        <v>12.041440691766601</v>
      </c>
      <c r="CY62" s="1384">
        <f t="shared" si="174"/>
        <v>12.048014491164842</v>
      </c>
      <c r="CZ62" s="1384">
        <f t="shared" si="174"/>
        <v>12.054591879405951</v>
      </c>
    </row>
    <row r="63" spans="1:104" x14ac:dyDescent="0.2">
      <c r="A63" s="854" t="str">
        <f>'HyARC Physical Property Data'!A75</f>
        <v>Bio Methane</v>
      </c>
      <c r="B63" s="260">
        <v>2007</v>
      </c>
      <c r="C63" s="855">
        <f t="shared" si="165"/>
        <v>1.1446359956438654</v>
      </c>
      <c r="D63" s="1242" t="str">
        <f>'HyARC Physical Property Data'!H75</f>
        <v>mmBtu</v>
      </c>
      <c r="E63" s="855" t="s">
        <v>1059</v>
      </c>
      <c r="F63" s="260">
        <f>'HyARC Physical Property Data'!$E$6</f>
        <v>47.141269049911173</v>
      </c>
      <c r="G63" s="260">
        <f>'HyARC Physical Property Data'!$I$6</f>
        <v>52.224661236371581</v>
      </c>
      <c r="H63" s="1050">
        <v>12.42654028436019</v>
      </c>
      <c r="I63" s="1050">
        <v>12.42654028436019</v>
      </c>
      <c r="J63" s="1050">
        <v>12.42654028436019</v>
      </c>
      <c r="K63" s="1050">
        <v>12.42654028436019</v>
      </c>
      <c r="L63" s="1050">
        <v>12.42654028436019</v>
      </c>
      <c r="M63" s="1050">
        <v>12.42654028436019</v>
      </c>
      <c r="N63" s="260">
        <f t="shared" ref="N63:AM63" si="175">13.11*($C$63/mmBTU_to_GJ)</f>
        <v>14.223865310797228</v>
      </c>
      <c r="O63" s="260">
        <f t="shared" si="175"/>
        <v>14.223865310797228</v>
      </c>
      <c r="P63" s="260">
        <f t="shared" si="175"/>
        <v>14.223865310797228</v>
      </c>
      <c r="Q63" s="260">
        <f t="shared" si="175"/>
        <v>14.223865310797228</v>
      </c>
      <c r="R63" s="260">
        <f t="shared" si="175"/>
        <v>14.223865310797228</v>
      </c>
      <c r="S63" s="260">
        <f t="shared" si="175"/>
        <v>14.223865310797228</v>
      </c>
      <c r="T63" s="260">
        <f t="shared" si="175"/>
        <v>14.223865310797228</v>
      </c>
      <c r="U63" s="260">
        <f t="shared" si="175"/>
        <v>14.223865310797228</v>
      </c>
      <c r="V63" s="260">
        <f t="shared" si="175"/>
        <v>14.223865310797228</v>
      </c>
      <c r="W63" s="260">
        <f t="shared" si="175"/>
        <v>14.223865310797228</v>
      </c>
      <c r="X63" s="260">
        <f t="shared" si="175"/>
        <v>14.223865310797228</v>
      </c>
      <c r="Y63" s="260">
        <f t="shared" si="175"/>
        <v>14.223865310797228</v>
      </c>
      <c r="Z63" s="260">
        <f t="shared" si="175"/>
        <v>14.223865310797228</v>
      </c>
      <c r="AA63" s="260">
        <f t="shared" si="175"/>
        <v>14.223865310797228</v>
      </c>
      <c r="AB63" s="260">
        <f t="shared" si="175"/>
        <v>14.223865310797228</v>
      </c>
      <c r="AC63" s="260">
        <f t="shared" si="175"/>
        <v>14.223865310797228</v>
      </c>
      <c r="AD63" s="260">
        <f t="shared" si="175"/>
        <v>14.223865310797228</v>
      </c>
      <c r="AE63" s="260">
        <f t="shared" si="175"/>
        <v>14.223865310797228</v>
      </c>
      <c r="AF63" s="260">
        <f t="shared" si="175"/>
        <v>14.223865310797228</v>
      </c>
      <c r="AG63" s="260">
        <f t="shared" si="175"/>
        <v>14.223865310797228</v>
      </c>
      <c r="AH63" s="260">
        <f t="shared" si="175"/>
        <v>14.223865310797228</v>
      </c>
      <c r="AI63" s="260">
        <f t="shared" si="175"/>
        <v>14.223865310797228</v>
      </c>
      <c r="AJ63" s="260">
        <f t="shared" si="175"/>
        <v>14.223865310797228</v>
      </c>
      <c r="AK63" s="260">
        <f t="shared" si="175"/>
        <v>14.223865310797228</v>
      </c>
      <c r="AL63" s="260">
        <f t="shared" si="175"/>
        <v>14.223865310797228</v>
      </c>
      <c r="AM63" s="260">
        <f t="shared" si="175"/>
        <v>14.223865310797228</v>
      </c>
      <c r="AN63" s="260">
        <f t="shared" ref="AN63:BV63" si="176">13.11*($C$63/mmBTU_to_GJ)</f>
        <v>14.223865310797228</v>
      </c>
      <c r="AO63" s="260">
        <f t="shared" si="176"/>
        <v>14.223865310797228</v>
      </c>
      <c r="AP63" s="260">
        <f t="shared" si="176"/>
        <v>14.223865310797228</v>
      </c>
      <c r="AQ63" s="260">
        <f t="shared" si="176"/>
        <v>14.223865310797228</v>
      </c>
      <c r="AR63" s="260">
        <f t="shared" si="176"/>
        <v>14.223865310797228</v>
      </c>
      <c r="AS63" s="260">
        <f t="shared" si="176"/>
        <v>14.223865310797228</v>
      </c>
      <c r="AT63" s="260">
        <f t="shared" si="176"/>
        <v>14.223865310797228</v>
      </c>
      <c r="AU63" s="260">
        <f t="shared" si="176"/>
        <v>14.223865310797228</v>
      </c>
      <c r="AV63" s="260">
        <f t="shared" si="176"/>
        <v>14.223865310797228</v>
      </c>
      <c r="AW63" s="260">
        <f t="shared" si="176"/>
        <v>14.223865310797228</v>
      </c>
      <c r="AX63" s="260">
        <f t="shared" si="176"/>
        <v>14.223865310797228</v>
      </c>
      <c r="AY63" s="260">
        <f t="shared" si="176"/>
        <v>14.223865310797228</v>
      </c>
      <c r="AZ63" s="260">
        <f t="shared" si="176"/>
        <v>14.223865310797228</v>
      </c>
      <c r="BA63" s="260">
        <f t="shared" si="176"/>
        <v>14.223865310797228</v>
      </c>
      <c r="BB63" s="260">
        <f t="shared" si="176"/>
        <v>14.223865310797228</v>
      </c>
      <c r="BC63" s="260">
        <f t="shared" si="176"/>
        <v>14.223865310797228</v>
      </c>
      <c r="BD63" s="260">
        <f t="shared" si="176"/>
        <v>14.223865310797228</v>
      </c>
      <c r="BE63" s="260">
        <f t="shared" si="176"/>
        <v>14.223865310797228</v>
      </c>
      <c r="BF63" s="260">
        <f t="shared" si="176"/>
        <v>14.223865310797228</v>
      </c>
      <c r="BG63" s="260">
        <f t="shared" si="176"/>
        <v>14.223865310797228</v>
      </c>
      <c r="BH63" s="260">
        <f t="shared" si="176"/>
        <v>14.223865310797228</v>
      </c>
      <c r="BI63" s="260">
        <f t="shared" si="176"/>
        <v>14.223865310797228</v>
      </c>
      <c r="BJ63" s="260">
        <f t="shared" si="176"/>
        <v>14.223865310797228</v>
      </c>
      <c r="BK63" s="260">
        <f t="shared" si="176"/>
        <v>14.223865310797228</v>
      </c>
      <c r="BL63" s="260">
        <f t="shared" si="176"/>
        <v>14.223865310797228</v>
      </c>
      <c r="BM63" s="260">
        <f t="shared" si="176"/>
        <v>14.223865310797228</v>
      </c>
      <c r="BN63" s="260">
        <f t="shared" si="176"/>
        <v>14.223865310797228</v>
      </c>
      <c r="BO63" s="260">
        <f t="shared" si="176"/>
        <v>14.223865310797228</v>
      </c>
      <c r="BP63" s="260">
        <f t="shared" si="176"/>
        <v>14.223865310797228</v>
      </c>
      <c r="BQ63" s="260">
        <f t="shared" si="176"/>
        <v>14.223865310797228</v>
      </c>
      <c r="BR63" s="854">
        <f t="shared" si="176"/>
        <v>14.223865310797228</v>
      </c>
      <c r="BS63" s="260">
        <f t="shared" si="176"/>
        <v>14.223865310797228</v>
      </c>
      <c r="BT63" s="260">
        <f t="shared" si="176"/>
        <v>14.223865310797228</v>
      </c>
      <c r="BU63" s="260">
        <f t="shared" si="176"/>
        <v>14.223865310797228</v>
      </c>
      <c r="BV63" s="857">
        <f t="shared" si="176"/>
        <v>14.223865310797228</v>
      </c>
      <c r="BW63" s="1384">
        <f>+BV63*BW$136/BV$136</f>
        <v>14.271092726019944</v>
      </c>
      <c r="BX63" s="1384">
        <f t="shared" si="174"/>
        <v>14.318476950147966</v>
      </c>
      <c r="BY63" s="1384">
        <f t="shared" si="174"/>
        <v>14.366018503832969</v>
      </c>
      <c r="BZ63" s="1384">
        <f t="shared" si="174"/>
        <v>14.413717909455341</v>
      </c>
      <c r="CA63" s="1384">
        <f t="shared" si="174"/>
        <v>14.461575691129934</v>
      </c>
      <c r="CB63" s="1384">
        <f t="shared" si="174"/>
        <v>14.49243565590395</v>
      </c>
      <c r="CC63" s="1384">
        <f t="shared" si="174"/>
        <v>14.523361473628309</v>
      </c>
      <c r="CD63" s="1384">
        <f t="shared" si="174"/>
        <v>14.554353284828478</v>
      </c>
      <c r="CE63" s="1384">
        <f t="shared" si="174"/>
        <v>14.585411230329802</v>
      </c>
      <c r="CF63" s="1384">
        <f t="shared" si="174"/>
        <v>14.616535451258134</v>
      </c>
      <c r="CG63" s="1384">
        <f t="shared" si="174"/>
        <v>14.626641288360148</v>
      </c>
      <c r="CH63" s="1384">
        <f t="shared" si="174"/>
        <v>14.636754112613382</v>
      </c>
      <c r="CI63" s="1384">
        <f t="shared" si="174"/>
        <v>14.646873928848736</v>
      </c>
      <c r="CJ63" s="1384">
        <f t="shared" si="174"/>
        <v>14.657000741900452</v>
      </c>
      <c r="CK63" s="1384">
        <f t="shared" si="174"/>
        <v>14.667134556606111</v>
      </c>
      <c r="CL63" s="1384">
        <f t="shared" si="174"/>
        <v>14.670569469948116</v>
      </c>
      <c r="CM63" s="1384">
        <f t="shared" si="174"/>
        <v>14.674005187716483</v>
      </c>
      <c r="CN63" s="1384">
        <f t="shared" si="174"/>
        <v>14.6774417100996</v>
      </c>
      <c r="CO63" s="1384">
        <f t="shared" si="174"/>
        <v>14.6808790372859</v>
      </c>
      <c r="CP63" s="1384">
        <f t="shared" si="174"/>
        <v>14.684317169463862</v>
      </c>
      <c r="CQ63" s="1384">
        <f t="shared" si="174"/>
        <v>14.689527988881515</v>
      </c>
      <c r="CR63" s="1384">
        <f t="shared" si="174"/>
        <v>14.69474065739019</v>
      </c>
      <c r="CS63" s="1384">
        <f t="shared" si="174"/>
        <v>14.699955175646044</v>
      </c>
      <c r="CT63" s="1384">
        <f t="shared" si="174"/>
        <v>14.705171544305472</v>
      </c>
      <c r="CU63" s="1384">
        <f t="shared" si="174"/>
        <v>14.710389764025104</v>
      </c>
      <c r="CV63" s="1384">
        <f t="shared" si="174"/>
        <v>14.718420626266095</v>
      </c>
      <c r="CW63" s="1384">
        <f t="shared" si="174"/>
        <v>14.726455872806168</v>
      </c>
      <c r="CX63" s="1384">
        <f t="shared" si="174"/>
        <v>14.734495506038849</v>
      </c>
      <c r="CY63" s="1384">
        <f t="shared" si="174"/>
        <v>14.74253952835897</v>
      </c>
      <c r="CZ63" s="1384">
        <f t="shared" si="174"/>
        <v>14.750587942162673</v>
      </c>
    </row>
    <row r="64" spans="1:104" x14ac:dyDescent="0.2">
      <c r="A64" s="945" t="str">
        <f>'HyARC Physical Property Data'!A85</f>
        <v>Woody Biomass</v>
      </c>
      <c r="B64" s="260">
        <v>2005</v>
      </c>
      <c r="C64" s="855">
        <f>VLOOKUP(ref_year,DeflatorTable,2,FALSE)/VLOOKUP(B64,DeflatorTable,2,FALSE)</f>
        <v>1.2112501494873942</v>
      </c>
      <c r="D64" s="1241" t="str">
        <f>+'HyARC Physical Property Data'!$H$85</f>
        <v>kg</v>
      </c>
      <c r="E64" s="882" t="s">
        <v>1053</v>
      </c>
      <c r="F64" s="260">
        <f>'HyARC Physical Property Data'!$E$45</f>
        <v>19.551069237418005</v>
      </c>
      <c r="G64" s="260">
        <f>'HyARC Physical Property Data'!$I$45</f>
        <v>20.588656379262464</v>
      </c>
      <c r="H64" s="1050">
        <v>1.3438238843289665</v>
      </c>
      <c r="I64" s="1050">
        <v>1.3438238843289665</v>
      </c>
      <c r="J64" s="1050">
        <v>1.3438238843289665</v>
      </c>
      <c r="K64" s="1050">
        <v>1.3438238843289665</v>
      </c>
      <c r="L64" s="1050">
        <v>1.3438238843289665</v>
      </c>
      <c r="M64" s="1050">
        <v>1.3438238843289665</v>
      </c>
      <c r="N64" s="260">
        <f>1.27*($C$64)</f>
        <v>1.5382876898489906</v>
      </c>
      <c r="O64" s="260">
        <f>1.27*($C$64)</f>
        <v>1.5382876898489906</v>
      </c>
      <c r="P64" s="260">
        <f>1.28*($C$64)</f>
        <v>1.5504001913438645</v>
      </c>
      <c r="Q64" s="260">
        <f>1.32*($C$64)</f>
        <v>1.5988501973233604</v>
      </c>
      <c r="R64" s="260">
        <f>1.32*($C$64)</f>
        <v>1.5988501973233604</v>
      </c>
      <c r="S64" s="260">
        <f>1.34*($C$64)</f>
        <v>1.6230752003131084</v>
      </c>
      <c r="T64" s="260">
        <f>1.34*($C$64)</f>
        <v>1.6230752003131084</v>
      </c>
      <c r="U64" s="260">
        <f>1.36*($C$64)</f>
        <v>1.6473002033028561</v>
      </c>
      <c r="V64" s="260">
        <f>1.36*($C$64)</f>
        <v>1.6473002033028561</v>
      </c>
      <c r="W64" s="260">
        <f>1.38*($C$64)</f>
        <v>1.6715252062926038</v>
      </c>
      <c r="X64" s="260">
        <f>1.4*($C$64)</f>
        <v>1.6957502092823518</v>
      </c>
      <c r="Y64" s="260">
        <f>1.46*($C$64)</f>
        <v>1.7684252182515954</v>
      </c>
      <c r="Z64" s="260">
        <f>1.48*($C$64)</f>
        <v>1.7926502212413433</v>
      </c>
      <c r="AA64" s="260">
        <f>1.48*($C$64)</f>
        <v>1.7926502212413433</v>
      </c>
      <c r="AB64" s="260">
        <f>1.51*($C$64)</f>
        <v>1.8289877257259652</v>
      </c>
      <c r="AC64" s="260">
        <f>1.52*($C$64)</f>
        <v>1.8411002272208392</v>
      </c>
      <c r="AD64" s="260">
        <f>1.62*($C$64)</f>
        <v>1.9622252421695787</v>
      </c>
      <c r="AE64" s="260">
        <f>1.72*($C$64)</f>
        <v>2.083350257118318</v>
      </c>
      <c r="AF64" s="260">
        <f>1.82*($C$64)</f>
        <v>2.2044752720670573</v>
      </c>
      <c r="AG64" s="260">
        <f>1.91*($C$64)</f>
        <v>2.3134877855209228</v>
      </c>
      <c r="AH64" s="260">
        <f>2.01*($C$64)</f>
        <v>2.4346128004696621</v>
      </c>
      <c r="AI64" s="260">
        <f>2.11*($C$64)</f>
        <v>2.5557378154184014</v>
      </c>
      <c r="AJ64" s="260">
        <f>2.2*($C$64)</f>
        <v>2.6647503288722674</v>
      </c>
      <c r="AK64" s="260">
        <f>2.3*($C$64)</f>
        <v>2.7858753438210062</v>
      </c>
      <c r="AL64" s="260">
        <f>2.4*($C$64)</f>
        <v>2.9070003587697459</v>
      </c>
      <c r="AM64" s="260">
        <f>2.5*($C$64)</f>
        <v>3.0281253737184857</v>
      </c>
      <c r="AN64" s="260">
        <f>2.57*($C$64)</f>
        <v>3.1129128841826028</v>
      </c>
      <c r="AO64" s="260">
        <f>2.64*($C$64)</f>
        <v>3.1977003946467208</v>
      </c>
      <c r="AP64" s="260">
        <f>2.71*($C$64)</f>
        <v>3.282487905110838</v>
      </c>
      <c r="AQ64" s="260">
        <f>2.78*($C$64)</f>
        <v>3.3672754155749556</v>
      </c>
      <c r="AR64" s="260">
        <f>2.85*($C$64)</f>
        <v>3.4520629260390736</v>
      </c>
      <c r="AS64" s="260">
        <f>2.92*($C$64)</f>
        <v>3.5368504365031908</v>
      </c>
      <c r="AT64" s="260">
        <f>2.99*($C$64)</f>
        <v>3.6216379469673088</v>
      </c>
      <c r="AU64" s="260">
        <f>3.07*($C$64)</f>
        <v>3.7185379589263001</v>
      </c>
      <c r="AV64" s="260">
        <f>3.14*($C$64)</f>
        <v>3.8033254693904177</v>
      </c>
      <c r="AW64" s="260">
        <f>3.21*($C$64)</f>
        <v>3.8881129798545353</v>
      </c>
      <c r="AX64" s="260">
        <f>3.28*($C$64)</f>
        <v>3.9729004903186529</v>
      </c>
      <c r="AY64" s="260">
        <f>3.35*($C$64)</f>
        <v>4.0576880007827709</v>
      </c>
      <c r="AZ64" s="260">
        <f>3.42*($C$64)</f>
        <v>4.1424755112468876</v>
      </c>
      <c r="BA64" s="260">
        <f>3.49*($C$64)</f>
        <v>4.2272630217110061</v>
      </c>
      <c r="BB64" s="260">
        <f>3.56*($C$64)</f>
        <v>4.3120505321751237</v>
      </c>
      <c r="BC64" s="260">
        <f>3.64*($C$64)</f>
        <v>4.4089505441341146</v>
      </c>
      <c r="BD64" s="260">
        <f>3.71*($C$64)</f>
        <v>4.4937380545982322</v>
      </c>
      <c r="BE64" s="260">
        <f>3.78*($C$64)</f>
        <v>4.5785255650623498</v>
      </c>
      <c r="BF64" s="260">
        <f>3.85*($C$64)</f>
        <v>4.6633130755264673</v>
      </c>
      <c r="BG64" s="260">
        <f>3.92*($C$64)</f>
        <v>4.7481005859905849</v>
      </c>
      <c r="BH64" s="260">
        <f>3.99*($C$64)</f>
        <v>4.8328880964547034</v>
      </c>
      <c r="BI64" s="260">
        <f>4.06*($C$64)</f>
        <v>4.9176756069188201</v>
      </c>
      <c r="BJ64" s="260">
        <f>4.14*($C$64)</f>
        <v>5.0145756188778119</v>
      </c>
      <c r="BK64" s="260">
        <f>4.21*($C$64)</f>
        <v>5.0993631293419295</v>
      </c>
      <c r="BL64" s="260">
        <f>4.28*($C$64)</f>
        <v>5.1841506398060471</v>
      </c>
      <c r="BM64" s="260">
        <f>4.35*($C$64)</f>
        <v>5.2689381502701647</v>
      </c>
      <c r="BN64" s="260">
        <f>4.42*($C$64)</f>
        <v>5.3537256607342822</v>
      </c>
      <c r="BO64" s="260">
        <f>4.49*($C$64)</f>
        <v>5.4385131711983998</v>
      </c>
      <c r="BP64" s="260">
        <f>4.56*($C$64)</f>
        <v>5.5233006816625174</v>
      </c>
      <c r="BQ64" s="260">
        <f>4.63*($C$64)</f>
        <v>5.608088192126635</v>
      </c>
      <c r="BR64" s="854">
        <f>4.71*($C$64)</f>
        <v>5.7049882040856268</v>
      </c>
      <c r="BS64" s="260">
        <f>4.78*($C$64)</f>
        <v>5.7897757145497444</v>
      </c>
      <c r="BT64" s="260">
        <f>4.85*($C$64)</f>
        <v>5.8745632250138611</v>
      </c>
      <c r="BU64" s="260">
        <f>4.92*($C$64)</f>
        <v>5.9593507354779796</v>
      </c>
      <c r="BV64" s="857">
        <f>4.99*($C$64)</f>
        <v>6.0441382459420971</v>
      </c>
      <c r="BW64" s="1384">
        <f>+BV64*BW$137/BV$137</f>
        <v>6.0586659764672328</v>
      </c>
      <c r="BX64" s="1384">
        <f t="shared" ref="BX64:CZ64" si="177">+BW64*BX$137/BW$137</f>
        <v>6.0732286259412112</v>
      </c>
      <c r="BY64" s="1384">
        <f t="shared" si="177"/>
        <v>6.0878262782954495</v>
      </c>
      <c r="BZ64" s="1384">
        <f t="shared" si="177"/>
        <v>6.1024590176630999</v>
      </c>
      <c r="CA64" s="1384">
        <f t="shared" si="177"/>
        <v>6.1171269283795393</v>
      </c>
      <c r="CB64" s="1384">
        <f t="shared" si="177"/>
        <v>6.1299667153690152</v>
      </c>
      <c r="CC64" s="1384">
        <f t="shared" si="177"/>
        <v>6.1428334529403346</v>
      </c>
      <c r="CD64" s="1384">
        <f t="shared" si="177"/>
        <v>6.155727197662495</v>
      </c>
      <c r="CE64" s="1384">
        <f t="shared" si="177"/>
        <v>6.1686480062232301</v>
      </c>
      <c r="CF64" s="1384">
        <f t="shared" si="177"/>
        <v>6.18159593542926</v>
      </c>
      <c r="CG64" s="1384">
        <f t="shared" si="177"/>
        <v>6.197524392005751</v>
      </c>
      <c r="CH64" s="1384">
        <f t="shared" si="177"/>
        <v>6.2134938923080965</v>
      </c>
      <c r="CI64" s="1384">
        <f t="shared" si="177"/>
        <v>6.229504542095909</v>
      </c>
      <c r="CJ64" s="1384">
        <f t="shared" si="177"/>
        <v>6.245556447401321</v>
      </c>
      <c r="CK64" s="1384">
        <f t="shared" si="177"/>
        <v>6.2616497145296828</v>
      </c>
      <c r="CL64" s="1384">
        <f t="shared" si="177"/>
        <v>6.2750522655841658</v>
      </c>
      <c r="CM64" s="1384">
        <f t="shared" si="177"/>
        <v>6.2884835037072264</v>
      </c>
      <c r="CN64" s="1384">
        <f t="shared" si="177"/>
        <v>6.3019434903011975</v>
      </c>
      <c r="CO64" s="1384">
        <f t="shared" si="177"/>
        <v>6.3154322868998385</v>
      </c>
      <c r="CP64" s="1384">
        <f t="shared" si="177"/>
        <v>6.3289499551686168</v>
      </c>
      <c r="CQ64" s="1384">
        <f t="shared" si="177"/>
        <v>6.3413225489579119</v>
      </c>
      <c r="CR64" s="1384">
        <f t="shared" si="177"/>
        <v>6.3537193301840116</v>
      </c>
      <c r="CS64" s="1384">
        <f t="shared" si="177"/>
        <v>6.3661403461314299</v>
      </c>
      <c r="CT64" s="1384">
        <f t="shared" si="177"/>
        <v>6.3785856441771198</v>
      </c>
      <c r="CU64" s="1384">
        <f t="shared" si="177"/>
        <v>6.3910552717906537</v>
      </c>
      <c r="CV64" s="1384">
        <f t="shared" si="177"/>
        <v>6.4057772391562917</v>
      </c>
      <c r="CW64" s="1384">
        <f t="shared" si="177"/>
        <v>6.4205331189689208</v>
      </c>
      <c r="CX64" s="1384">
        <f t="shared" si="177"/>
        <v>6.4353229893467718</v>
      </c>
      <c r="CY64" s="1384">
        <f t="shared" si="177"/>
        <v>6.4501469285880244</v>
      </c>
      <c r="CZ64" s="1384">
        <f t="shared" si="177"/>
        <v>6.4650050151712186</v>
      </c>
    </row>
    <row r="65" spans="1:104" x14ac:dyDescent="0.2">
      <c r="A65" s="891" t="str">
        <f>'HyARC Physical Property Data'!A79</f>
        <v>Electric Utility Steam Coal</v>
      </c>
      <c r="B65" s="260">
        <v>2011</v>
      </c>
      <c r="C65" s="855">
        <f>VLOOKUP(ref_year,DeflatorTable,2,FALSE)/VLOOKUP(B65,DeflatorTable,2,FALSE)</f>
        <v>1.0784554773635862</v>
      </c>
      <c r="D65" s="1241" t="str">
        <f>+'HyARC Physical Property Data'!$H$79</f>
        <v>kg</v>
      </c>
      <c r="E65" s="882" t="s">
        <v>1053</v>
      </c>
      <c r="F65" s="260">
        <f>'HyARC Physical Property Data'!$E$42</f>
        <v>22.7322030001394</v>
      </c>
      <c r="G65" s="260">
        <f>'HyARC Physical Property Data'!$I$42</f>
        <v>23.967615189707661</v>
      </c>
      <c r="H65" s="1050">
        <v>1.6359074751967535</v>
      </c>
      <c r="I65" s="1050">
        <v>1.6359074751967535</v>
      </c>
      <c r="J65" s="1050">
        <v>1.6359074751967535</v>
      </c>
      <c r="K65" s="1050">
        <v>1.6778298347292193</v>
      </c>
      <c r="L65" s="1050">
        <v>1.8315470257945772</v>
      </c>
      <c r="M65" s="1050">
        <v>1.8060149340317679</v>
      </c>
      <c r="N65" s="260">
        <f t="shared" ref="N65:AR65" si="178">N79*($C65/mmBTU_to_GJ*$G65/$F65)</f>
        <v>2.4767433408545654</v>
      </c>
      <c r="O65" s="260">
        <f t="shared" si="178"/>
        <v>2.5651337544408896</v>
      </c>
      <c r="P65" s="260">
        <f t="shared" si="178"/>
        <v>2.6023831610321637</v>
      </c>
      <c r="Q65" s="260">
        <f t="shared" si="178"/>
        <v>2.5126832358863247</v>
      </c>
      <c r="R65" s="260">
        <f t="shared" si="178"/>
        <v>2.6585542013179602</v>
      </c>
      <c r="S65" s="260">
        <f t="shared" si="178"/>
        <v>2.6840072260006811</v>
      </c>
      <c r="T65" s="260">
        <f t="shared" si="178"/>
        <v>2.7699747737550795</v>
      </c>
      <c r="U65" s="260">
        <f t="shared" si="178"/>
        <v>2.7766301102818329</v>
      </c>
      <c r="V65" s="260">
        <f t="shared" si="178"/>
        <v>2.7968493998756609</v>
      </c>
      <c r="W65" s="260">
        <f t="shared" si="178"/>
        <v>2.8115213182786878</v>
      </c>
      <c r="X65" s="260">
        <f t="shared" si="178"/>
        <v>2.8489776600299841</v>
      </c>
      <c r="Y65" s="260">
        <f t="shared" si="178"/>
        <v>2.8785704657004394</v>
      </c>
      <c r="Z65" s="260">
        <f t="shared" si="178"/>
        <v>2.9253496675256483</v>
      </c>
      <c r="AA65" s="260">
        <f t="shared" si="178"/>
        <v>2.9630312668209267</v>
      </c>
      <c r="AB65" s="260">
        <f t="shared" si="178"/>
        <v>3.0053645960675355</v>
      </c>
      <c r="AC65" s="260">
        <f t="shared" si="178"/>
        <v>3.0521599647021214</v>
      </c>
      <c r="AD65" s="260">
        <f t="shared" si="178"/>
        <v>3.0924023866026737</v>
      </c>
      <c r="AE65" s="260">
        <f t="shared" si="178"/>
        <v>3.1249741963476141</v>
      </c>
      <c r="AF65" s="260">
        <f t="shared" si="178"/>
        <v>3.1652489518669196</v>
      </c>
      <c r="AG65" s="260">
        <f t="shared" si="178"/>
        <v>3.2097820449760555</v>
      </c>
      <c r="AH65" s="260">
        <f t="shared" si="178"/>
        <v>3.2527092350204363</v>
      </c>
      <c r="AI65" s="260">
        <f t="shared" si="178"/>
        <v>3.2901989881777776</v>
      </c>
      <c r="AJ65" s="260">
        <f t="shared" si="178"/>
        <v>3.3307065457521077</v>
      </c>
      <c r="AK65" s="260">
        <f t="shared" si="178"/>
        <v>3.3733136329708291</v>
      </c>
      <c r="AL65" s="260">
        <f t="shared" si="178"/>
        <v>3.4171795757463519</v>
      </c>
      <c r="AM65" s="260">
        <f t="shared" si="178"/>
        <v>3.4665778006905912</v>
      </c>
      <c r="AN65" s="260">
        <f t="shared" si="178"/>
        <v>3.5046355477507012</v>
      </c>
      <c r="AO65" s="260">
        <f t="shared" si="178"/>
        <v>3.5333294788198106</v>
      </c>
      <c r="AP65" s="260">
        <f t="shared" si="178"/>
        <v>3.5689945380921646</v>
      </c>
      <c r="AQ65" s="260">
        <f t="shared" si="178"/>
        <v>3.6172858754877444</v>
      </c>
      <c r="AR65" s="260">
        <f t="shared" si="178"/>
        <v>3.6632858371009949</v>
      </c>
      <c r="AS65" s="260">
        <f>($BB65-$AR65)/10+AR65</f>
        <v>3.6603339305711646</v>
      </c>
      <c r="AT65" s="260">
        <f t="shared" ref="AT65:BA65" si="179">($BB65-$AR65)/10+AS65</f>
        <v>3.6573820240413344</v>
      </c>
      <c r="AU65" s="260">
        <f t="shared" si="179"/>
        <v>3.6544301175115042</v>
      </c>
      <c r="AV65" s="260">
        <f t="shared" si="179"/>
        <v>3.6514782109816739</v>
      </c>
      <c r="AW65" s="260">
        <f t="shared" si="179"/>
        <v>3.6485263044518437</v>
      </c>
      <c r="AX65" s="260">
        <f t="shared" si="179"/>
        <v>3.6455743979220134</v>
      </c>
      <c r="AY65" s="260">
        <f t="shared" si="179"/>
        <v>3.6426224913921832</v>
      </c>
      <c r="AZ65" s="260">
        <f t="shared" si="179"/>
        <v>3.639670584862353</v>
      </c>
      <c r="BA65" s="260">
        <f t="shared" si="179"/>
        <v>3.6367186783325227</v>
      </c>
      <c r="BB65" s="920">
        <f>('AEO Data'!$B$28*AM65)</f>
        <v>3.6337667718026938</v>
      </c>
      <c r="BC65" s="260">
        <f>($BQ65-$BB65)/15+BB65</f>
        <v>3.6465192456024029</v>
      </c>
      <c r="BD65" s="260">
        <f t="shared" ref="BD65:BP68" si="180">($BQ65-$BB65)/15+BC65</f>
        <v>3.659271719402112</v>
      </c>
      <c r="BE65" s="260">
        <f t="shared" si="180"/>
        <v>3.6720241932018212</v>
      </c>
      <c r="BF65" s="260">
        <f t="shared" si="180"/>
        <v>3.6847766670015303</v>
      </c>
      <c r="BG65" s="260">
        <f t="shared" si="180"/>
        <v>3.6975291408012394</v>
      </c>
      <c r="BH65" s="260">
        <f t="shared" si="180"/>
        <v>3.7102816146009485</v>
      </c>
      <c r="BI65" s="260">
        <f t="shared" si="180"/>
        <v>3.7230340884006576</v>
      </c>
      <c r="BJ65" s="260">
        <f t="shared" si="180"/>
        <v>3.7357865622003668</v>
      </c>
      <c r="BK65" s="260">
        <f t="shared" si="180"/>
        <v>3.7485390360000759</v>
      </c>
      <c r="BL65" s="260">
        <f t="shared" si="180"/>
        <v>3.761291509799785</v>
      </c>
      <c r="BM65" s="260">
        <f t="shared" si="180"/>
        <v>3.7740439835994941</v>
      </c>
      <c r="BN65" s="260">
        <f t="shared" si="180"/>
        <v>3.7867964573992032</v>
      </c>
      <c r="BO65" s="260">
        <f t="shared" si="180"/>
        <v>3.7995489311989123</v>
      </c>
      <c r="BP65" s="260">
        <f t="shared" si="180"/>
        <v>3.8123014049986215</v>
      </c>
      <c r="BQ65" s="920">
        <f>('AEO Data'!$C$28*BB65)</f>
        <v>3.8250538787983337</v>
      </c>
      <c r="BR65" s="854">
        <f t="shared" ref="BR65:BU68" si="181">($BV65-$BQ65)/5+BQ65</f>
        <v>3.8373166225762918</v>
      </c>
      <c r="BS65" s="260">
        <f t="shared" si="181"/>
        <v>3.8495793663542499</v>
      </c>
      <c r="BT65" s="260">
        <f t="shared" si="181"/>
        <v>3.861842110132208</v>
      </c>
      <c r="BU65" s="260">
        <f t="shared" si="181"/>
        <v>3.8741048539101661</v>
      </c>
      <c r="BV65" s="944">
        <f>('AEO Data'!$D$28*BQ65)</f>
        <v>3.8863675976881238</v>
      </c>
      <c r="BW65" s="1384">
        <f>+BV65*BW$138/BV$138</f>
        <v>3.8995072326040932</v>
      </c>
      <c r="BX65" s="1384">
        <f t="shared" ref="BX65:CZ65" si="182">+BW65*BX$138/BW$138</f>
        <v>3.9126912920376582</v>
      </c>
      <c r="BY65" s="1384">
        <f t="shared" si="182"/>
        <v>3.9259199261861233</v>
      </c>
      <c r="BZ65" s="1384">
        <f t="shared" si="182"/>
        <v>3.9391932857546061</v>
      </c>
      <c r="CA65" s="1384">
        <f t="shared" si="182"/>
        <v>3.9525115219577494</v>
      </c>
      <c r="CB65" s="1384">
        <f t="shared" si="182"/>
        <v>3.9638281829885078</v>
      </c>
      <c r="CC65" s="1384">
        <f t="shared" si="182"/>
        <v>3.9751772453965106</v>
      </c>
      <c r="CD65" s="1384">
        <f t="shared" si="182"/>
        <v>3.9865588019519875</v>
      </c>
      <c r="CE65" s="1384">
        <f t="shared" si="182"/>
        <v>3.9979729456907847</v>
      </c>
      <c r="CF65" s="1384">
        <f t="shared" si="182"/>
        <v>4.0094197699151231</v>
      </c>
      <c r="CG65" s="1384">
        <f t="shared" si="182"/>
        <v>4.0181594321320722</v>
      </c>
      <c r="CH65" s="1384">
        <f t="shared" si="182"/>
        <v>4.0269181449099625</v>
      </c>
      <c r="CI65" s="1384">
        <f t="shared" si="182"/>
        <v>4.0356959497748699</v>
      </c>
      <c r="CJ65" s="1384">
        <f t="shared" si="182"/>
        <v>4.0444928883433882</v>
      </c>
      <c r="CK65" s="1384">
        <f t="shared" si="182"/>
        <v>4.0533090023228242</v>
      </c>
      <c r="CL65" s="1384">
        <f t="shared" si="182"/>
        <v>4.0592855925032651</v>
      </c>
      <c r="CM65" s="1384">
        <f t="shared" si="182"/>
        <v>4.0652709951453678</v>
      </c>
      <c r="CN65" s="1384">
        <f t="shared" si="182"/>
        <v>4.0712652232430759</v>
      </c>
      <c r="CO65" s="1384">
        <f t="shared" si="182"/>
        <v>4.0772682898094939</v>
      </c>
      <c r="CP65" s="1384">
        <f t="shared" si="182"/>
        <v>4.0832802078769133</v>
      </c>
      <c r="CQ65" s="1384">
        <f t="shared" si="182"/>
        <v>4.0852935052227286</v>
      </c>
      <c r="CR65" s="1384">
        <f t="shared" si="182"/>
        <v>4.0873077952425705</v>
      </c>
      <c r="CS65" s="1384">
        <f t="shared" si="182"/>
        <v>4.0893230784258847</v>
      </c>
      <c r="CT65" s="1384">
        <f t="shared" si="182"/>
        <v>4.0913393552623587</v>
      </c>
      <c r="CU65" s="1384">
        <f t="shared" si="182"/>
        <v>4.0933566262419232</v>
      </c>
      <c r="CV65" s="1384">
        <f t="shared" si="182"/>
        <v>4.0904573728021916</v>
      </c>
      <c r="CW65" s="1384">
        <f t="shared" si="182"/>
        <v>4.0875601728533422</v>
      </c>
      <c r="CX65" s="1384">
        <f t="shared" si="182"/>
        <v>4.0846650249409233</v>
      </c>
      <c r="CY65" s="1384">
        <f t="shared" si="182"/>
        <v>4.081771927611511</v>
      </c>
      <c r="CZ65" s="1384">
        <f t="shared" si="182"/>
        <v>4.0788808794127149</v>
      </c>
    </row>
    <row r="66" spans="1:104" x14ac:dyDescent="0.2">
      <c r="A66" s="858" t="str">
        <f>'HyARC Physical Property Data'!A76</f>
        <v>Commercial Electricity</v>
      </c>
      <c r="B66" s="260">
        <v>2011</v>
      </c>
      <c r="C66" s="855">
        <f t="shared" si="165"/>
        <v>1.0784554773635862</v>
      </c>
      <c r="D66" s="1241" t="str">
        <f>'HyARC Physical Property Data'!$H$76</f>
        <v>kWh</v>
      </c>
      <c r="E66" s="855" t="s">
        <v>1072</v>
      </c>
      <c r="F66" s="859"/>
      <c r="G66" s="855"/>
      <c r="H66" s="1050">
        <v>26.764062885406638</v>
      </c>
      <c r="I66" s="1050">
        <v>26.764062885406638</v>
      </c>
      <c r="J66" s="1050">
        <v>26.764062885406638</v>
      </c>
      <c r="K66" s="1050">
        <v>26.478521097803213</v>
      </c>
      <c r="L66" s="1050">
        <v>27.879470162766175</v>
      </c>
      <c r="M66" s="1050">
        <v>27.895326399478549</v>
      </c>
      <c r="N66" s="260">
        <f>N80*($C66)</f>
        <v>32.884888841491865</v>
      </c>
      <c r="O66" s="260">
        <f t="shared" ref="O66:AR68" si="183">O80*($C66)</f>
        <v>32.332798364331552</v>
      </c>
      <c r="P66" s="260">
        <f t="shared" si="183"/>
        <v>30.737262309969314</v>
      </c>
      <c r="Q66" s="260">
        <f t="shared" si="183"/>
        <v>29.97242384233401</v>
      </c>
      <c r="R66" s="260">
        <f t="shared" si="183"/>
        <v>30.387977542238183</v>
      </c>
      <c r="S66" s="260">
        <f t="shared" si="183"/>
        <v>30.347150453231627</v>
      </c>
      <c r="T66" s="260">
        <f t="shared" si="183"/>
        <v>30.940154295836678</v>
      </c>
      <c r="U66" s="260">
        <f t="shared" si="183"/>
        <v>31.301692474701618</v>
      </c>
      <c r="V66" s="260">
        <f t="shared" si="183"/>
        <v>31.392652645028893</v>
      </c>
      <c r="W66" s="260">
        <f t="shared" si="183"/>
        <v>31.248251770431818</v>
      </c>
      <c r="X66" s="260">
        <f t="shared" si="183"/>
        <v>31.319545226673895</v>
      </c>
      <c r="Y66" s="260">
        <f t="shared" si="183"/>
        <v>31.450144028071669</v>
      </c>
      <c r="Z66" s="260">
        <f t="shared" si="183"/>
        <v>31.542321774632889</v>
      </c>
      <c r="AA66" s="260">
        <f t="shared" si="183"/>
        <v>31.486595823206557</v>
      </c>
      <c r="AB66" s="260">
        <f t="shared" si="183"/>
        <v>31.399882610549138</v>
      </c>
      <c r="AC66" s="260">
        <f t="shared" si="183"/>
        <v>31.493015868663306</v>
      </c>
      <c r="AD66" s="260">
        <f t="shared" si="183"/>
        <v>31.467305490082953</v>
      </c>
      <c r="AE66" s="260">
        <f t="shared" si="183"/>
        <v>31.504678286195514</v>
      </c>
      <c r="AF66" s="260">
        <f t="shared" si="183"/>
        <v>31.506435090168136</v>
      </c>
      <c r="AG66" s="260">
        <f t="shared" si="183"/>
        <v>31.647141176299762</v>
      </c>
      <c r="AH66" s="260">
        <f t="shared" si="183"/>
        <v>31.868543771980598</v>
      </c>
      <c r="AI66" s="260">
        <f t="shared" si="183"/>
        <v>32.132385747606648</v>
      </c>
      <c r="AJ66" s="260">
        <f t="shared" si="183"/>
        <v>32.307495641921648</v>
      </c>
      <c r="AK66" s="260">
        <f t="shared" si="183"/>
        <v>32.65090606266758</v>
      </c>
      <c r="AL66" s="260">
        <f t="shared" si="183"/>
        <v>33.217937462011285</v>
      </c>
      <c r="AM66" s="260">
        <f t="shared" si="183"/>
        <v>33.746086227574118</v>
      </c>
      <c r="AN66" s="260">
        <f t="shared" si="183"/>
        <v>34.302393465650923</v>
      </c>
      <c r="AO66" s="260">
        <f t="shared" si="183"/>
        <v>34.800179395704063</v>
      </c>
      <c r="AP66" s="260">
        <f t="shared" si="183"/>
        <v>35.230419502298972</v>
      </c>
      <c r="AQ66" s="260">
        <f t="shared" si="183"/>
        <v>35.829986824939262</v>
      </c>
      <c r="AR66" s="260">
        <f t="shared" si="183"/>
        <v>36.211973598110482</v>
      </c>
      <c r="AS66" s="260">
        <f t="shared" ref="AS66:BA66" si="184">($BB66-$AR66)/10+AR66</f>
        <v>35.881261041922635</v>
      </c>
      <c r="AT66" s="260">
        <f t="shared" si="184"/>
        <v>35.550548485734787</v>
      </c>
      <c r="AU66" s="260">
        <f t="shared" si="184"/>
        <v>35.219835929546939</v>
      </c>
      <c r="AV66" s="260">
        <f t="shared" si="184"/>
        <v>34.889123373359091</v>
      </c>
      <c r="AW66" s="260">
        <f t="shared" si="184"/>
        <v>34.558410817171243</v>
      </c>
      <c r="AX66" s="260">
        <f t="shared" si="184"/>
        <v>34.227698260983395</v>
      </c>
      <c r="AY66" s="260">
        <f t="shared" si="184"/>
        <v>33.896985704795547</v>
      </c>
      <c r="AZ66" s="260">
        <f t="shared" si="184"/>
        <v>33.566273148607699</v>
      </c>
      <c r="BA66" s="260">
        <f t="shared" si="184"/>
        <v>33.235560592419851</v>
      </c>
      <c r="BB66" s="920">
        <f>'AEO Data'!$B$33*AM66</f>
        <v>32.904848036232032</v>
      </c>
      <c r="BC66" s="260">
        <f>($BQ66-$BB66)/15+BB66</f>
        <v>32.924019184217244</v>
      </c>
      <c r="BD66" s="260">
        <f t="shared" si="180"/>
        <v>32.943190332202455</v>
      </c>
      <c r="BE66" s="260">
        <f t="shared" si="180"/>
        <v>32.962361480187667</v>
      </c>
      <c r="BF66" s="260">
        <f t="shared" si="180"/>
        <v>32.981532628172879</v>
      </c>
      <c r="BG66" s="260">
        <f t="shared" si="180"/>
        <v>33.00070377615809</v>
      </c>
      <c r="BH66" s="260">
        <f t="shared" si="180"/>
        <v>33.019874924143302</v>
      </c>
      <c r="BI66" s="260">
        <f t="shared" si="180"/>
        <v>33.039046072128514</v>
      </c>
      <c r="BJ66" s="260">
        <f t="shared" si="180"/>
        <v>33.058217220113725</v>
      </c>
      <c r="BK66" s="260">
        <f t="shared" si="180"/>
        <v>33.077388368098937</v>
      </c>
      <c r="BL66" s="260">
        <f t="shared" si="180"/>
        <v>33.096559516084149</v>
      </c>
      <c r="BM66" s="260">
        <f t="shared" si="180"/>
        <v>33.115730664069361</v>
      </c>
      <c r="BN66" s="260">
        <f t="shared" si="180"/>
        <v>33.134901812054572</v>
      </c>
      <c r="BO66" s="260">
        <f t="shared" si="180"/>
        <v>33.154072960039784</v>
      </c>
      <c r="BP66" s="260">
        <f t="shared" si="180"/>
        <v>33.173244108024996</v>
      </c>
      <c r="BQ66" s="920">
        <f>'AEO Data'!$C$33*BB66</f>
        <v>33.192415256010214</v>
      </c>
      <c r="BR66" s="854">
        <f t="shared" si="181"/>
        <v>33.170065135939467</v>
      </c>
      <c r="BS66" s="260">
        <f t="shared" si="181"/>
        <v>33.147715015868719</v>
      </c>
      <c r="BT66" s="260">
        <f t="shared" si="181"/>
        <v>33.125364895797972</v>
      </c>
      <c r="BU66" s="260">
        <f t="shared" si="181"/>
        <v>33.103014775727225</v>
      </c>
      <c r="BV66" s="944">
        <f>'AEO Data'!$D$33*BQ66</f>
        <v>33.080664655656477</v>
      </c>
      <c r="BW66" s="1384">
        <f>+BV66*BW$139/BV$139</f>
        <v>33.066099114275488</v>
      </c>
      <c r="BX66" s="1384">
        <f t="shared" ref="BX66:CZ66" si="185">+BW66*BX$139/BW$139</f>
        <v>33.051539986157294</v>
      </c>
      <c r="BY66" s="1384">
        <f t="shared" si="185"/>
        <v>33.0369872684781</v>
      </c>
      <c r="BZ66" s="1384">
        <f t="shared" si="185"/>
        <v>33.022440958415373</v>
      </c>
      <c r="CA66" s="1384">
        <f t="shared" si="185"/>
        <v>33.007901053147819</v>
      </c>
      <c r="CB66" s="1384">
        <f t="shared" si="185"/>
        <v>32.98146223987488</v>
      </c>
      <c r="CC66" s="1384">
        <f t="shared" si="185"/>
        <v>32.955044603678495</v>
      </c>
      <c r="CD66" s="1384">
        <f t="shared" si="185"/>
        <v>32.928648127596141</v>
      </c>
      <c r="CE66" s="1384">
        <f t="shared" si="185"/>
        <v>32.902272794678915</v>
      </c>
      <c r="CF66" s="1384">
        <f t="shared" si="185"/>
        <v>32.875918587991457</v>
      </c>
      <c r="CG66" s="1384">
        <f t="shared" si="185"/>
        <v>32.839614191376278</v>
      </c>
      <c r="CH66" s="1384">
        <f t="shared" si="185"/>
        <v>32.803349885175919</v>
      </c>
      <c r="CI66" s="1384">
        <f t="shared" si="185"/>
        <v>32.767125625119114</v>
      </c>
      <c r="CJ66" s="1384">
        <f t="shared" si="185"/>
        <v>32.730941366983494</v>
      </c>
      <c r="CK66" s="1384">
        <f t="shared" si="185"/>
        <v>32.69479706659552</v>
      </c>
      <c r="CL66" s="1384">
        <f t="shared" si="185"/>
        <v>32.65539094584242</v>
      </c>
      <c r="CM66" s="1384">
        <f t="shared" si="185"/>
        <v>32.616032320180047</v>
      </c>
      <c r="CN66" s="1384">
        <f t="shared" si="185"/>
        <v>32.576721132363886</v>
      </c>
      <c r="CO66" s="1384">
        <f t="shared" si="185"/>
        <v>32.537457325218448</v>
      </c>
      <c r="CP66" s="1384">
        <f t="shared" si="185"/>
        <v>32.498240841637141</v>
      </c>
      <c r="CQ66" s="1384">
        <f t="shared" si="185"/>
        <v>32.452817913303896</v>
      </c>
      <c r="CR66" s="1384">
        <f t="shared" si="185"/>
        <v>32.407458472789216</v>
      </c>
      <c r="CS66" s="1384">
        <f t="shared" si="185"/>
        <v>32.362162431355912</v>
      </c>
      <c r="CT66" s="1384">
        <f t="shared" si="185"/>
        <v>32.31692970039083</v>
      </c>
      <c r="CU66" s="1384">
        <f t="shared" si="185"/>
        <v>32.271760191404653</v>
      </c>
      <c r="CV66" s="1384">
        <f t="shared" si="185"/>
        <v>32.22766670904133</v>
      </c>
      <c r="CW66" s="1384">
        <f t="shared" si="185"/>
        <v>32.183633472390525</v>
      </c>
      <c r="CX66" s="1384">
        <f t="shared" si="185"/>
        <v>32.139660399137448</v>
      </c>
      <c r="CY66" s="1384">
        <f t="shared" si="185"/>
        <v>32.09574740707977</v>
      </c>
      <c r="CZ66" s="1384">
        <f t="shared" si="185"/>
        <v>32.051894414127482</v>
      </c>
    </row>
    <row r="67" spans="1:104" x14ac:dyDescent="0.2">
      <c r="A67" s="858" t="str">
        <f>'HyARC Physical Property Data'!A77</f>
        <v>Industrial Electricity</v>
      </c>
      <c r="B67" s="260">
        <v>2011</v>
      </c>
      <c r="C67" s="855">
        <f t="shared" si="165"/>
        <v>1.0784554773635862</v>
      </c>
      <c r="D67" s="1229" t="str">
        <f>'HyARC Physical Property Data'!$H$77</f>
        <v>kWh</v>
      </c>
      <c r="E67" s="855" t="s">
        <v>1072</v>
      </c>
      <c r="F67" s="866"/>
      <c r="G67" s="222"/>
      <c r="H67" s="1053">
        <v>17.365230901091444</v>
      </c>
      <c r="I67" s="1053">
        <v>17.365230901091444</v>
      </c>
      <c r="J67" s="1053">
        <v>17.365230901091444</v>
      </c>
      <c r="K67" s="1053">
        <v>17.575551809904887</v>
      </c>
      <c r="L67" s="1053">
        <v>19.530121721487372</v>
      </c>
      <c r="M67" s="1053">
        <v>19.467200489895287</v>
      </c>
      <c r="N67" s="222">
        <f t="shared" ref="N67:AC68" si="186">N81*($C67)</f>
        <v>21.849987884073684</v>
      </c>
      <c r="O67" s="222">
        <f t="shared" si="186"/>
        <v>21.542925726736811</v>
      </c>
      <c r="P67" s="222">
        <f t="shared" si="186"/>
        <v>19.902451511088309</v>
      </c>
      <c r="Q67" s="222">
        <f t="shared" si="186"/>
        <v>19.582235432294034</v>
      </c>
      <c r="R67" s="222">
        <f t="shared" si="186"/>
        <v>19.704756602166356</v>
      </c>
      <c r="S67" s="222">
        <f t="shared" si="186"/>
        <v>19.619020470171431</v>
      </c>
      <c r="T67" s="222">
        <f t="shared" si="186"/>
        <v>20.171031141626411</v>
      </c>
      <c r="U67" s="222">
        <f t="shared" si="186"/>
        <v>20.49385492576495</v>
      </c>
      <c r="V67" s="222">
        <f t="shared" si="186"/>
        <v>20.594470507981068</v>
      </c>
      <c r="W67" s="222">
        <f t="shared" si="186"/>
        <v>20.544822731625157</v>
      </c>
      <c r="X67" s="222">
        <f t="shared" si="186"/>
        <v>20.594035890423687</v>
      </c>
      <c r="Y67" s="222">
        <f t="shared" si="186"/>
        <v>20.76255102949461</v>
      </c>
      <c r="Z67" s="222">
        <f t="shared" si="186"/>
        <v>20.94633062739214</v>
      </c>
      <c r="AA67" s="222">
        <f t="shared" si="186"/>
        <v>21.072253245840066</v>
      </c>
      <c r="AB67" s="222">
        <f t="shared" si="186"/>
        <v>21.100348089480867</v>
      </c>
      <c r="AC67" s="222">
        <f t="shared" si="186"/>
        <v>21.269441280687655</v>
      </c>
      <c r="AD67" s="222">
        <f t="shared" si="183"/>
        <v>21.365271755950712</v>
      </c>
      <c r="AE67" s="222">
        <f t="shared" si="183"/>
        <v>21.508514369365095</v>
      </c>
      <c r="AF67" s="222">
        <f t="shared" si="183"/>
        <v>21.619174685897374</v>
      </c>
      <c r="AG67" s="222">
        <f t="shared" si="183"/>
        <v>21.826218725352589</v>
      </c>
      <c r="AH67" s="222">
        <f t="shared" si="183"/>
        <v>22.023947066394335</v>
      </c>
      <c r="AI67" s="222">
        <f t="shared" si="183"/>
        <v>22.224293897335123</v>
      </c>
      <c r="AJ67" s="222">
        <f t="shared" si="183"/>
        <v>22.474376937980967</v>
      </c>
      <c r="AK67" s="222">
        <f t="shared" si="183"/>
        <v>22.838414976642433</v>
      </c>
      <c r="AL67" s="222">
        <f t="shared" si="183"/>
        <v>23.325651455216004</v>
      </c>
      <c r="AM67" s="222">
        <f t="shared" si="183"/>
        <v>23.843532246178864</v>
      </c>
      <c r="AN67" s="222">
        <f t="shared" si="183"/>
        <v>24.337545738972189</v>
      </c>
      <c r="AO67" s="222">
        <f t="shared" si="183"/>
        <v>24.794215553950846</v>
      </c>
      <c r="AP67" s="222">
        <f t="shared" si="183"/>
        <v>25.214004348514621</v>
      </c>
      <c r="AQ67" s="222">
        <f t="shared" si="183"/>
        <v>25.744343457151981</v>
      </c>
      <c r="AR67" s="222">
        <f t="shared" si="183"/>
        <v>26.063271860106287</v>
      </c>
      <c r="AS67" s="260">
        <f t="shared" ref="AS67:BA67" si="187">($BB67-$AR67)/10+AR67</f>
        <v>25.78185962843024</v>
      </c>
      <c r="AT67" s="260">
        <f t="shared" si="187"/>
        <v>25.500447396754193</v>
      </c>
      <c r="AU67" s="260">
        <f t="shared" si="187"/>
        <v>25.219035165078147</v>
      </c>
      <c r="AV67" s="260">
        <f t="shared" si="187"/>
        <v>24.9376229334021</v>
      </c>
      <c r="AW67" s="260">
        <f t="shared" si="187"/>
        <v>24.656210701726053</v>
      </c>
      <c r="AX67" s="260">
        <f t="shared" si="187"/>
        <v>24.374798470050006</v>
      </c>
      <c r="AY67" s="260">
        <f t="shared" si="187"/>
        <v>24.093386238373959</v>
      </c>
      <c r="AZ67" s="260">
        <f t="shared" si="187"/>
        <v>23.811974006697913</v>
      </c>
      <c r="BA67" s="260">
        <f t="shared" si="187"/>
        <v>23.530561775021866</v>
      </c>
      <c r="BB67" s="920">
        <f>'AEO Data'!$B$33*AM67</f>
        <v>23.24914954334583</v>
      </c>
      <c r="BC67" s="260">
        <f>($BQ67-$BB67)/15+BB67</f>
        <v>23.262695051470804</v>
      </c>
      <c r="BD67" s="260">
        <f t="shared" si="180"/>
        <v>23.276240559595777</v>
      </c>
      <c r="BE67" s="260">
        <f t="shared" si="180"/>
        <v>23.289786067720751</v>
      </c>
      <c r="BF67" s="260">
        <f t="shared" si="180"/>
        <v>23.303331575845725</v>
      </c>
      <c r="BG67" s="260">
        <f t="shared" si="180"/>
        <v>23.316877083970699</v>
      </c>
      <c r="BH67" s="260">
        <f t="shared" si="180"/>
        <v>23.330422592095672</v>
      </c>
      <c r="BI67" s="260">
        <f t="shared" si="180"/>
        <v>23.343968100220646</v>
      </c>
      <c r="BJ67" s="260">
        <f t="shared" si="180"/>
        <v>23.35751360834562</v>
      </c>
      <c r="BK67" s="260">
        <f t="shared" si="180"/>
        <v>23.371059116470594</v>
      </c>
      <c r="BL67" s="260">
        <f t="shared" si="180"/>
        <v>23.384604624595568</v>
      </c>
      <c r="BM67" s="260">
        <f t="shared" si="180"/>
        <v>23.398150132720541</v>
      </c>
      <c r="BN67" s="260">
        <f t="shared" si="180"/>
        <v>23.411695640845515</v>
      </c>
      <c r="BO67" s="260">
        <f t="shared" si="180"/>
        <v>23.425241148970489</v>
      </c>
      <c r="BP67" s="260">
        <f t="shared" si="180"/>
        <v>23.438786657095463</v>
      </c>
      <c r="BQ67" s="920">
        <f>'AEO Data'!$C$33*BB67</f>
        <v>23.45233216522044</v>
      </c>
      <c r="BR67" s="854">
        <f t="shared" si="181"/>
        <v>23.436540532228719</v>
      </c>
      <c r="BS67" s="260">
        <f t="shared" si="181"/>
        <v>23.420748899236997</v>
      </c>
      <c r="BT67" s="260">
        <f t="shared" si="181"/>
        <v>23.404957266245276</v>
      </c>
      <c r="BU67" s="260">
        <f t="shared" si="181"/>
        <v>23.389165633253555</v>
      </c>
      <c r="BV67" s="944">
        <f>'AEO Data'!$D$33*BQ67</f>
        <v>23.373374000261833</v>
      </c>
      <c r="BW67" s="1384">
        <f>+BV67*BW$140/BV$140</f>
        <v>23.380436490829396</v>
      </c>
      <c r="BX67" s="1384">
        <f t="shared" ref="BX67:CZ67" si="188">+BW67*BX$140/BW$140</f>
        <v>23.387501115396649</v>
      </c>
      <c r="BY67" s="1384">
        <f t="shared" si="188"/>
        <v>23.394567874608409</v>
      </c>
      <c r="BZ67" s="1384">
        <f t="shared" si="188"/>
        <v>23.401636769109679</v>
      </c>
      <c r="CA67" s="1384">
        <f t="shared" si="188"/>
        <v>23.408707799545656</v>
      </c>
      <c r="CB67" s="1384">
        <f t="shared" si="188"/>
        <v>23.406060454578945</v>
      </c>
      <c r="CC67" s="1384">
        <f t="shared" si="188"/>
        <v>23.403413409006607</v>
      </c>
      <c r="CD67" s="1384">
        <f t="shared" si="188"/>
        <v>23.40076666279478</v>
      </c>
      <c r="CE67" s="1384">
        <f t="shared" si="188"/>
        <v>23.398120215909611</v>
      </c>
      <c r="CF67" s="1384">
        <f t="shared" si="188"/>
        <v>23.395474068317245</v>
      </c>
      <c r="CG67" s="1384">
        <f t="shared" si="188"/>
        <v>23.384861674186023</v>
      </c>
      <c r="CH67" s="1384">
        <f t="shared" si="188"/>
        <v>23.374254093930716</v>
      </c>
      <c r="CI67" s="1384">
        <f t="shared" si="188"/>
        <v>23.363651325367709</v>
      </c>
      <c r="CJ67" s="1384">
        <f t="shared" si="188"/>
        <v>23.353053366314384</v>
      </c>
      <c r="CK67" s="1384">
        <f t="shared" si="188"/>
        <v>23.342460214589092</v>
      </c>
      <c r="CL67" s="1384">
        <f t="shared" si="188"/>
        <v>23.329464593323419</v>
      </c>
      <c r="CM67" s="1384">
        <f t="shared" si="188"/>
        <v>23.316476207206502</v>
      </c>
      <c r="CN67" s="1384">
        <f t="shared" si="188"/>
        <v>23.303495052210266</v>
      </c>
      <c r="CO67" s="1384">
        <f t="shared" si="188"/>
        <v>23.290521124308881</v>
      </c>
      <c r="CP67" s="1384">
        <f t="shared" si="188"/>
        <v>23.277554419478744</v>
      </c>
      <c r="CQ67" s="1384">
        <f t="shared" si="188"/>
        <v>23.259789388655847</v>
      </c>
      <c r="CR67" s="1384">
        <f t="shared" si="188"/>
        <v>23.242037915800186</v>
      </c>
      <c r="CS67" s="1384">
        <f t="shared" si="188"/>
        <v>23.224299990564553</v>
      </c>
      <c r="CT67" s="1384">
        <f t="shared" si="188"/>
        <v>23.206575602609636</v>
      </c>
      <c r="CU67" s="1384">
        <f t="shared" si="188"/>
        <v>23.188864741604011</v>
      </c>
      <c r="CV67" s="1384">
        <f t="shared" si="188"/>
        <v>23.17221317404951</v>
      </c>
      <c r="CW67" s="1384">
        <f t="shared" si="188"/>
        <v>23.155573563729877</v>
      </c>
      <c r="CX67" s="1384">
        <f t="shared" si="188"/>
        <v>23.138945902058804</v>
      </c>
      <c r="CY67" s="1384">
        <f t="shared" si="188"/>
        <v>23.122330180456149</v>
      </c>
      <c r="CZ67" s="1384">
        <f t="shared" si="188"/>
        <v>23.105726390347936</v>
      </c>
    </row>
    <row r="68" spans="1:104" ht="13.5" thickBot="1" x14ac:dyDescent="0.25">
      <c r="A68" s="860" t="str">
        <f>'HyARC Physical Property Data'!A78</f>
        <v>Residential Electricity</v>
      </c>
      <c r="B68" s="861">
        <v>2011</v>
      </c>
      <c r="C68" s="862">
        <f t="shared" si="165"/>
        <v>1.0784554773635862</v>
      </c>
      <c r="D68" s="1230" t="str">
        <f>'HyARC Physical Property Data'!$H$78</f>
        <v>kWh</v>
      </c>
      <c r="E68" s="862" t="s">
        <v>1072</v>
      </c>
      <c r="F68" s="867"/>
      <c r="G68" s="569"/>
      <c r="H68" s="1054">
        <v>29.433773538887177</v>
      </c>
      <c r="I68" s="1054">
        <v>29.433773538887177</v>
      </c>
      <c r="J68" s="1054">
        <v>29.433773538887177</v>
      </c>
      <c r="K68" s="1054">
        <v>29.415861064534436</v>
      </c>
      <c r="L68" s="1054">
        <v>30.500905105766051</v>
      </c>
      <c r="M68" s="1054">
        <v>30.574559070308627</v>
      </c>
      <c r="N68" s="569">
        <f t="shared" si="186"/>
        <v>37.231327558403592</v>
      </c>
      <c r="O68" s="569">
        <f t="shared" si="183"/>
        <v>37.029713542276902</v>
      </c>
      <c r="P68" s="569">
        <f t="shared" si="183"/>
        <v>35.904219072357151</v>
      </c>
      <c r="Q68" s="569">
        <f t="shared" si="183"/>
        <v>35.115964100941852</v>
      </c>
      <c r="R68" s="569">
        <f t="shared" si="183"/>
        <v>35.969434353528804</v>
      </c>
      <c r="S68" s="569">
        <f t="shared" si="183"/>
        <v>36.116413815172251</v>
      </c>
      <c r="T68" s="569">
        <f t="shared" si="183"/>
        <v>36.717853336521245</v>
      </c>
      <c r="U68" s="569">
        <f t="shared" si="183"/>
        <v>37.019523216471292</v>
      </c>
      <c r="V68" s="569">
        <f t="shared" si="183"/>
        <v>36.994572070547008</v>
      </c>
      <c r="W68" s="569">
        <f t="shared" si="183"/>
        <v>36.749885621109897</v>
      </c>
      <c r="X68" s="569">
        <f t="shared" si="183"/>
        <v>36.78085131323143</v>
      </c>
      <c r="Y68" s="569">
        <f t="shared" si="183"/>
        <v>36.866643524911183</v>
      </c>
      <c r="Z68" s="569">
        <f t="shared" si="183"/>
        <v>36.980382831831335</v>
      </c>
      <c r="AA68" s="569">
        <f t="shared" si="183"/>
        <v>37.011953537475684</v>
      </c>
      <c r="AB68" s="569">
        <f t="shared" si="183"/>
        <v>37.116621955375727</v>
      </c>
      <c r="AC68" s="569">
        <f t="shared" si="183"/>
        <v>37.450882759851702</v>
      </c>
      <c r="AD68" s="569">
        <f t="shared" si="183"/>
        <v>37.642585770141416</v>
      </c>
      <c r="AE68" s="569">
        <f t="shared" si="183"/>
        <v>37.813937247117813</v>
      </c>
      <c r="AF68" s="569">
        <f t="shared" si="183"/>
        <v>37.937612364350912</v>
      </c>
      <c r="AG68" s="569">
        <f t="shared" si="183"/>
        <v>38.109761898380555</v>
      </c>
      <c r="AH68" s="569">
        <f t="shared" si="183"/>
        <v>38.292401568838507</v>
      </c>
      <c r="AI68" s="569">
        <f t="shared" si="183"/>
        <v>38.52845390372385</v>
      </c>
      <c r="AJ68" s="569">
        <f t="shared" si="183"/>
        <v>38.699570277406174</v>
      </c>
      <c r="AK68" s="569">
        <f t="shared" si="183"/>
        <v>38.991412192591014</v>
      </c>
      <c r="AL68" s="569">
        <f t="shared" si="183"/>
        <v>39.480914506122524</v>
      </c>
      <c r="AM68" s="569">
        <f t="shared" si="183"/>
        <v>39.991294639240323</v>
      </c>
      <c r="AN68" s="569">
        <f t="shared" si="183"/>
        <v>40.444338686904082</v>
      </c>
      <c r="AO68" s="569">
        <f t="shared" si="183"/>
        <v>40.811228161847694</v>
      </c>
      <c r="AP68" s="569">
        <f t="shared" si="183"/>
        <v>41.155489483965269</v>
      </c>
      <c r="AQ68" s="569">
        <f t="shared" si="183"/>
        <v>41.648278929791786</v>
      </c>
      <c r="AR68" s="569">
        <f t="shared" si="183"/>
        <v>41.89880413718334</v>
      </c>
      <c r="AS68" s="861">
        <f t="shared" ref="AS68:BA68" si="189">($BB68-$AR68)/10+AR68</f>
        <v>41.608361021177913</v>
      </c>
      <c r="AT68" s="861">
        <f t="shared" si="189"/>
        <v>41.317917905172486</v>
      </c>
      <c r="AU68" s="861">
        <f t="shared" si="189"/>
        <v>41.027474789167059</v>
      </c>
      <c r="AV68" s="861">
        <f t="shared" si="189"/>
        <v>40.737031673161631</v>
      </c>
      <c r="AW68" s="861">
        <f t="shared" si="189"/>
        <v>40.446588557156204</v>
      </c>
      <c r="AX68" s="861">
        <f t="shared" si="189"/>
        <v>40.156145441150777</v>
      </c>
      <c r="AY68" s="861">
        <f t="shared" si="189"/>
        <v>39.86570232514535</v>
      </c>
      <c r="AZ68" s="861">
        <f t="shared" si="189"/>
        <v>39.575259209139922</v>
      </c>
      <c r="BA68" s="861">
        <f t="shared" si="189"/>
        <v>39.284816093134495</v>
      </c>
      <c r="BB68" s="949">
        <f>'AEO Data'!$B$33*AM68</f>
        <v>38.994372977129068</v>
      </c>
      <c r="BC68" s="861">
        <f>($BQ68-$BB68)/15+BB68</f>
        <v>39.017092027346592</v>
      </c>
      <c r="BD68" s="861">
        <f t="shared" si="180"/>
        <v>39.039811077564117</v>
      </c>
      <c r="BE68" s="861">
        <f t="shared" si="180"/>
        <v>39.062530127781642</v>
      </c>
      <c r="BF68" s="861">
        <f t="shared" si="180"/>
        <v>39.085249177999167</v>
      </c>
      <c r="BG68" s="861">
        <f t="shared" si="180"/>
        <v>39.107968228216691</v>
      </c>
      <c r="BH68" s="861">
        <f t="shared" si="180"/>
        <v>39.130687278434216</v>
      </c>
      <c r="BI68" s="861">
        <f t="shared" si="180"/>
        <v>39.153406328651741</v>
      </c>
      <c r="BJ68" s="861">
        <f t="shared" si="180"/>
        <v>39.176125378869266</v>
      </c>
      <c r="BK68" s="861">
        <f t="shared" si="180"/>
        <v>39.19884442908679</v>
      </c>
      <c r="BL68" s="861">
        <f t="shared" si="180"/>
        <v>39.221563479304315</v>
      </c>
      <c r="BM68" s="861">
        <f t="shared" si="180"/>
        <v>39.24428252952184</v>
      </c>
      <c r="BN68" s="861">
        <f t="shared" si="180"/>
        <v>39.267001579739365</v>
      </c>
      <c r="BO68" s="861">
        <f t="shared" si="180"/>
        <v>39.289720629956889</v>
      </c>
      <c r="BP68" s="861">
        <f t="shared" si="180"/>
        <v>39.312439680174414</v>
      </c>
      <c r="BQ68" s="949">
        <f>'AEO Data'!$C$33*BB68</f>
        <v>39.335158730391903</v>
      </c>
      <c r="BR68" s="957">
        <f t="shared" si="181"/>
        <v>39.30867239265946</v>
      </c>
      <c r="BS68" s="861">
        <f t="shared" si="181"/>
        <v>39.282186054927017</v>
      </c>
      <c r="BT68" s="861">
        <f t="shared" si="181"/>
        <v>39.255699717194574</v>
      </c>
      <c r="BU68" s="861">
        <f t="shared" si="181"/>
        <v>39.229213379462131</v>
      </c>
      <c r="BV68" s="950">
        <f>'AEO Data'!$D$33*BQ68</f>
        <v>39.202727041729688</v>
      </c>
      <c r="BW68" s="1384">
        <f>+BV68*BW$141/BV$141</f>
        <v>39.185465933196419</v>
      </c>
      <c r="BX68" s="1384">
        <f t="shared" ref="BX68:CZ68" si="190">+BW68*BX$141/BW$141</f>
        <v>39.168212424794326</v>
      </c>
      <c r="BY68" s="1384">
        <f t="shared" si="190"/>
        <v>39.150966513177039</v>
      </c>
      <c r="BZ68" s="1384">
        <f t="shared" si="190"/>
        <v>39.133728194999662</v>
      </c>
      <c r="CA68" s="1384">
        <f t="shared" si="190"/>
        <v>39.11649746691878</v>
      </c>
      <c r="CB68" s="1384">
        <f t="shared" si="190"/>
        <v>39.085165763313817</v>
      </c>
      <c r="CC68" s="1384">
        <f t="shared" si="190"/>
        <v>39.053859155914154</v>
      </c>
      <c r="CD68" s="1384">
        <f t="shared" si="190"/>
        <v>39.022577624618116</v>
      </c>
      <c r="CE68" s="1384">
        <f t="shared" si="190"/>
        <v>38.991321149340131</v>
      </c>
      <c r="CF68" s="1384">
        <f t="shared" si="190"/>
        <v>38.960089710010728</v>
      </c>
      <c r="CG68" s="1384">
        <f t="shared" si="190"/>
        <v>38.917066652108652</v>
      </c>
      <c r="CH68" s="1384">
        <f t="shared" si="190"/>
        <v>38.874091103940906</v>
      </c>
      <c r="CI68" s="1384">
        <f t="shared" si="190"/>
        <v>38.831163013043174</v>
      </c>
      <c r="CJ68" s="1384">
        <f t="shared" si="190"/>
        <v>38.788282327009078</v>
      </c>
      <c r="CK68" s="1384">
        <f t="shared" si="190"/>
        <v>38.745448993490129</v>
      </c>
      <c r="CL68" s="1384">
        <f t="shared" si="190"/>
        <v>38.698750191886909</v>
      </c>
      <c r="CM68" s="1384">
        <f t="shared" si="190"/>
        <v>38.652107675037847</v>
      </c>
      <c r="CN68" s="1384">
        <f t="shared" si="190"/>
        <v>38.605521375104502</v>
      </c>
      <c r="CO68" s="1384">
        <f t="shared" si="190"/>
        <v>38.558991224330207</v>
      </c>
      <c r="CP68" s="1384">
        <f t="shared" si="190"/>
        <v>38.512517155039959</v>
      </c>
      <c r="CQ68" s="1384">
        <f t="shared" si="190"/>
        <v>38.45868804732946</v>
      </c>
      <c r="CR68" s="1384">
        <f t="shared" si="190"/>
        <v>38.404934176789915</v>
      </c>
      <c r="CS68" s="1384">
        <f t="shared" si="190"/>
        <v>38.351255438262001</v>
      </c>
      <c r="CT68" s="1384">
        <f t="shared" si="190"/>
        <v>38.297651726733392</v>
      </c>
      <c r="CU68" s="1384">
        <f t="shared" si="190"/>
        <v>38.244122937338538</v>
      </c>
      <c r="CV68" s="1384">
        <f t="shared" si="190"/>
        <v>38.191869309081618</v>
      </c>
      <c r="CW68" s="1384">
        <f t="shared" si="190"/>
        <v>38.139687075890301</v>
      </c>
      <c r="CX68" s="1384">
        <f t="shared" si="190"/>
        <v>38.087576140216228</v>
      </c>
      <c r="CY68" s="1384">
        <f t="shared" si="190"/>
        <v>38.03553640464434</v>
      </c>
      <c r="CZ68" s="1384">
        <f t="shared" si="190"/>
        <v>37.983567771892652</v>
      </c>
    </row>
    <row r="69" spans="1:104" ht="13.5" thickTop="1" x14ac:dyDescent="0.2">
      <c r="D69" s="1077"/>
    </row>
    <row r="70" spans="1:104" ht="13.5" thickBot="1" x14ac:dyDescent="0.25">
      <c r="D70" s="1077"/>
      <c r="E70" s="956"/>
    </row>
    <row r="71" spans="1:104" s="1034" customFormat="1" x14ac:dyDescent="0.2">
      <c r="A71" s="1030" t="s">
        <v>1113</v>
      </c>
      <c r="B71" s="1031"/>
      <c r="C71" s="1032"/>
      <c r="D71" s="1233"/>
      <c r="E71" s="1032"/>
      <c r="F71" s="1031"/>
      <c r="G71" s="1031"/>
      <c r="H71" s="1031"/>
      <c r="I71" s="1031"/>
      <c r="J71" s="1031"/>
      <c r="K71" s="1031"/>
      <c r="L71" s="1031"/>
      <c r="M71" s="1031"/>
      <c r="N71" s="1031"/>
      <c r="O71" s="1031"/>
      <c r="P71" s="1031"/>
      <c r="Q71" s="1031"/>
      <c r="R71" s="1031"/>
      <c r="S71" s="1031"/>
      <c r="T71" s="1031"/>
      <c r="U71" s="1031"/>
      <c r="V71" s="1031"/>
      <c r="W71" s="1031"/>
      <c r="X71" s="1031"/>
      <c r="Y71" s="1031"/>
      <c r="Z71" s="1031"/>
      <c r="AA71" s="1031"/>
      <c r="AB71" s="1031"/>
      <c r="AC71" s="1031"/>
      <c r="AD71" s="1031"/>
      <c r="AE71" s="1031"/>
      <c r="AF71" s="1031"/>
      <c r="AG71" s="1031"/>
      <c r="AH71" s="1031"/>
      <c r="AI71" s="1031"/>
      <c r="AJ71" s="1031"/>
      <c r="AK71" s="1031"/>
      <c r="AL71" s="1031"/>
      <c r="AM71" s="1031"/>
      <c r="AN71" s="1031"/>
      <c r="AO71" s="1031"/>
      <c r="AP71" s="1031"/>
      <c r="AQ71" s="1031"/>
      <c r="AR71" s="1031"/>
      <c r="AS71" s="1031"/>
      <c r="AT71" s="1031"/>
      <c r="AU71" s="1031"/>
      <c r="AV71" s="1031"/>
      <c r="AW71" s="1031"/>
      <c r="AX71" s="1031"/>
      <c r="AY71" s="1031"/>
      <c r="AZ71" s="1031"/>
      <c r="BA71" s="1031"/>
      <c r="BB71" s="1031"/>
      <c r="BC71" s="1031"/>
      <c r="BD71" s="1031"/>
      <c r="BE71" s="1031"/>
      <c r="BF71" s="1031"/>
      <c r="BG71" s="1031"/>
      <c r="BH71" s="1031"/>
      <c r="BI71" s="1031"/>
      <c r="BJ71" s="1031"/>
      <c r="BK71" s="1031"/>
      <c r="BL71" s="1031"/>
      <c r="BM71" s="1031"/>
      <c r="BN71" s="1031"/>
      <c r="BO71" s="1031"/>
      <c r="BP71" s="1031"/>
      <c r="BQ71" s="1031"/>
      <c r="BR71" s="1031"/>
      <c r="BS71" s="1031"/>
      <c r="BT71" s="1031"/>
      <c r="BU71" s="1031"/>
      <c r="BV71" s="1033"/>
    </row>
    <row r="72" spans="1:104" s="1034" customFormat="1" x14ac:dyDescent="0.2">
      <c r="A72" s="1035" t="s">
        <v>1110</v>
      </c>
      <c r="B72" s="1036"/>
      <c r="C72" s="1037"/>
      <c r="D72" s="1234"/>
      <c r="E72" s="1037"/>
      <c r="F72" s="1036"/>
      <c r="G72" s="1036"/>
      <c r="H72" s="1036"/>
      <c r="I72" s="1036"/>
      <c r="J72" s="1036"/>
      <c r="K72" s="1036"/>
      <c r="L72" s="1036"/>
      <c r="M72" s="1036"/>
      <c r="N72" s="1036"/>
      <c r="O72" s="1036"/>
      <c r="P72" s="1036"/>
      <c r="Q72" s="1036"/>
      <c r="R72" s="1036"/>
      <c r="S72" s="1036"/>
      <c r="T72" s="1036"/>
      <c r="U72" s="1036"/>
      <c r="V72" s="1036"/>
      <c r="W72" s="1036"/>
      <c r="X72" s="1036"/>
      <c r="Y72" s="1036"/>
      <c r="Z72" s="1036"/>
      <c r="AA72" s="1036"/>
      <c r="AB72" s="1036"/>
      <c r="AC72" s="1036"/>
      <c r="AD72" s="1036"/>
      <c r="AE72" s="1036"/>
      <c r="AF72" s="1036"/>
      <c r="AG72" s="1036"/>
      <c r="AH72" s="1036"/>
      <c r="AI72" s="1036"/>
      <c r="AJ72" s="1036"/>
      <c r="AK72" s="1036"/>
      <c r="AL72" s="1036"/>
      <c r="AM72" s="1036"/>
      <c r="AN72" s="1036"/>
      <c r="AO72" s="1036"/>
      <c r="AP72" s="1036"/>
      <c r="AQ72" s="1036"/>
      <c r="AR72" s="1036"/>
      <c r="AS72" s="1036"/>
      <c r="AT72" s="1036"/>
      <c r="AU72" s="1036"/>
      <c r="AV72" s="1036"/>
      <c r="AW72" s="1036"/>
      <c r="AX72" s="1036"/>
      <c r="AY72" s="1036"/>
      <c r="AZ72" s="1036"/>
      <c r="BA72" s="1036"/>
      <c r="BB72" s="1036"/>
      <c r="BC72" s="1036"/>
      <c r="BD72" s="1036"/>
      <c r="BE72" s="1036"/>
      <c r="BF72" s="1036"/>
      <c r="BG72" s="1036"/>
      <c r="BH72" s="1036"/>
      <c r="BI72" s="1036"/>
      <c r="BJ72" s="1036"/>
      <c r="BK72" s="1036"/>
      <c r="BL72" s="1036"/>
      <c r="BM72" s="1036"/>
      <c r="BN72" s="1036"/>
      <c r="BO72" s="1036"/>
      <c r="BP72" s="1036"/>
      <c r="BQ72" s="1036"/>
      <c r="BR72" s="1036"/>
      <c r="BS72" s="1036"/>
      <c r="BT72" s="1036"/>
      <c r="BU72" s="1036"/>
      <c r="BV72" s="1038"/>
    </row>
    <row r="73" spans="1:104" s="1034" customFormat="1" x14ac:dyDescent="0.2">
      <c r="A73" s="1039"/>
      <c r="B73" s="1036"/>
      <c r="C73" s="1037"/>
      <c r="D73" s="1234"/>
      <c r="E73" s="1055"/>
      <c r="F73" s="1036"/>
      <c r="G73" s="1036"/>
      <c r="H73" s="1036"/>
      <c r="I73" s="1036"/>
      <c r="J73" s="1036"/>
      <c r="K73" s="1036"/>
      <c r="L73" s="1036"/>
      <c r="M73" s="1036"/>
      <c r="N73" s="1036"/>
      <c r="O73" s="1036"/>
      <c r="P73" s="1036"/>
      <c r="Q73" s="1036"/>
      <c r="R73" s="1036"/>
      <c r="S73" s="1036"/>
      <c r="T73" s="1036"/>
      <c r="U73" s="1036"/>
      <c r="V73" s="1036"/>
      <c r="W73" s="1036"/>
      <c r="X73" s="1036"/>
      <c r="Y73" s="1036"/>
      <c r="Z73" s="1036"/>
      <c r="AA73" s="1036"/>
      <c r="AB73" s="1036"/>
      <c r="AC73" s="1036"/>
      <c r="AD73" s="1036"/>
      <c r="AE73" s="1036"/>
      <c r="AF73" s="1036"/>
      <c r="AG73" s="1036"/>
      <c r="AH73" s="1036"/>
      <c r="AI73" s="1036"/>
      <c r="AJ73" s="1036"/>
      <c r="AK73" s="1036"/>
      <c r="AL73" s="1036"/>
      <c r="AM73" s="1036"/>
      <c r="AN73" s="1036"/>
      <c r="AO73" s="1036"/>
      <c r="AP73" s="1036"/>
      <c r="AQ73" s="1036"/>
      <c r="AR73" s="1036"/>
      <c r="AS73" s="1036"/>
      <c r="AT73" s="1036"/>
      <c r="AU73" s="1036"/>
      <c r="AV73" s="1036"/>
      <c r="AW73" s="1036"/>
      <c r="AX73" s="1036"/>
      <c r="AY73" s="1036"/>
      <c r="AZ73" s="1036"/>
      <c r="BA73" s="1036"/>
      <c r="BB73" s="1036"/>
      <c r="BC73" s="1036"/>
      <c r="BD73" s="1036"/>
      <c r="BE73" s="1036"/>
      <c r="BF73" s="1036"/>
      <c r="BG73" s="1036"/>
      <c r="BH73" s="1036"/>
      <c r="BI73" s="1036"/>
      <c r="BJ73" s="1036"/>
      <c r="BK73" s="1036"/>
      <c r="BL73" s="1036"/>
      <c r="BM73" s="1036"/>
      <c r="BN73" s="1036"/>
      <c r="BO73" s="1036"/>
      <c r="BP73" s="1036"/>
      <c r="BQ73" s="1036"/>
      <c r="BR73" s="1036"/>
      <c r="BS73" s="1036"/>
      <c r="BT73" s="1036"/>
      <c r="BU73" s="1036"/>
      <c r="BV73" s="1038"/>
    </row>
    <row r="74" spans="1:104" s="1034" customFormat="1" x14ac:dyDescent="0.2">
      <c r="A74" s="1039" t="s">
        <v>681</v>
      </c>
      <c r="B74" s="1036"/>
      <c r="C74" s="1037"/>
      <c r="D74" s="1234"/>
      <c r="E74" s="1037"/>
      <c r="F74" s="1036"/>
      <c r="G74" s="1036"/>
      <c r="H74" s="1036"/>
      <c r="I74" s="1036"/>
      <c r="J74" s="1036"/>
      <c r="K74" s="1036"/>
      <c r="L74" s="1036"/>
      <c r="M74" s="1036"/>
      <c r="N74" s="1040">
        <v>11.359373</v>
      </c>
      <c r="O74" s="1040">
        <v>10.802343</v>
      </c>
      <c r="P74" s="1040">
        <v>10.473763999999999</v>
      </c>
      <c r="Q74" s="1040">
        <v>10.501935</v>
      </c>
      <c r="R74" s="1040">
        <v>10.334021999999999</v>
      </c>
      <c r="S74" s="1040">
        <v>10.229792</v>
      </c>
      <c r="T74" s="1040">
        <v>10.748874000000001</v>
      </c>
      <c r="U74" s="1040">
        <v>11.092333999999999</v>
      </c>
      <c r="V74" s="1040">
        <v>11.515472000000001</v>
      </c>
      <c r="W74" s="1040">
        <v>11.774895000000001</v>
      </c>
      <c r="X74" s="1040">
        <v>11.996413</v>
      </c>
      <c r="Y74" s="1040">
        <v>12.209519999999999</v>
      </c>
      <c r="Z74" s="1040">
        <v>12.479982</v>
      </c>
      <c r="AA74" s="1040">
        <v>12.729352</v>
      </c>
      <c r="AB74" s="1040">
        <v>12.853237999999999</v>
      </c>
      <c r="AC74" s="1040">
        <v>13.018173000000001</v>
      </c>
      <c r="AD74" s="1040">
        <v>13.212711000000001</v>
      </c>
      <c r="AE74" s="1040">
        <v>13.366512</v>
      </c>
      <c r="AF74" s="1040">
        <v>13.603230999999999</v>
      </c>
      <c r="AG74" s="1040">
        <v>13.784504</v>
      </c>
      <c r="AH74" s="1040">
        <v>13.991047</v>
      </c>
      <c r="AI74" s="1040">
        <v>14.231726</v>
      </c>
      <c r="AJ74" s="1040">
        <v>14.577776</v>
      </c>
      <c r="AK74" s="1040">
        <v>14.956607999999999</v>
      </c>
      <c r="AL74" s="1040">
        <v>15.347963</v>
      </c>
      <c r="AM74" s="1040">
        <v>15.708157999999999</v>
      </c>
      <c r="AN74" s="1040">
        <v>16.169785000000001</v>
      </c>
      <c r="AO74" s="1040">
        <v>16.471478000000001</v>
      </c>
      <c r="AP74" s="1040">
        <v>16.949921</v>
      </c>
      <c r="AQ74" s="1040">
        <v>17.380462999999999</v>
      </c>
      <c r="AR74" s="1040">
        <v>17.673891000000001</v>
      </c>
      <c r="AS74" s="1036"/>
      <c r="AT74" s="1036"/>
      <c r="AU74" s="1036"/>
      <c r="AV74" s="1036"/>
      <c r="AW74" s="1036"/>
      <c r="AX74" s="1036"/>
      <c r="AY74" s="1036"/>
      <c r="AZ74" s="1036"/>
      <c r="BA74" s="1036"/>
      <c r="BB74" s="1036"/>
      <c r="BC74" s="1036"/>
      <c r="BD74" s="1036"/>
      <c r="BE74" s="1036"/>
      <c r="BF74" s="1036"/>
      <c r="BG74" s="1036"/>
      <c r="BH74" s="1036"/>
      <c r="BI74" s="1036"/>
      <c r="BJ74" s="1036"/>
      <c r="BK74" s="1036"/>
      <c r="BL74" s="1036"/>
      <c r="BM74" s="1036"/>
      <c r="BN74" s="1036"/>
      <c r="BO74" s="1036"/>
      <c r="BP74" s="1036"/>
      <c r="BQ74" s="1036"/>
      <c r="BR74" s="1036"/>
      <c r="BS74" s="1036"/>
      <c r="BT74" s="1036"/>
      <c r="BU74" s="1036"/>
      <c r="BV74" s="1038"/>
    </row>
    <row r="75" spans="1:104" s="1034" customFormat="1" x14ac:dyDescent="0.2">
      <c r="A75" s="1039" t="s">
        <v>1086</v>
      </c>
      <c r="B75" s="1036"/>
      <c r="C75" s="1037"/>
      <c r="D75" s="1234"/>
      <c r="E75" s="1037"/>
      <c r="F75" s="1036"/>
      <c r="G75" s="1036"/>
      <c r="H75" s="1036"/>
      <c r="I75" s="1036"/>
      <c r="J75" s="1036"/>
      <c r="K75" s="1036"/>
      <c r="L75" s="1036"/>
      <c r="M75" s="1036"/>
      <c r="N75" s="1040">
        <v>9.3969749999999994</v>
      </c>
      <c r="O75" s="1040">
        <v>8.8368559999999992</v>
      </c>
      <c r="P75" s="1040">
        <v>8.081448</v>
      </c>
      <c r="Q75" s="1040">
        <v>8.4844790000000003</v>
      </c>
      <c r="R75" s="1040">
        <v>8.3155520000000003</v>
      </c>
      <c r="S75" s="1040">
        <v>8.1773039999999995</v>
      </c>
      <c r="T75" s="1040">
        <v>8.6431299999999993</v>
      </c>
      <c r="U75" s="1040">
        <v>8.9205120000000004</v>
      </c>
      <c r="V75" s="1040">
        <v>9.2811249999999994</v>
      </c>
      <c r="W75" s="1040">
        <v>9.4920469999999995</v>
      </c>
      <c r="X75" s="1040">
        <v>9.6757190000000008</v>
      </c>
      <c r="Y75" s="1040">
        <v>9.8498520000000003</v>
      </c>
      <c r="Z75" s="1040">
        <v>10.083444999999999</v>
      </c>
      <c r="AA75" s="1040">
        <v>10.292596</v>
      </c>
      <c r="AB75" s="1040">
        <v>10.386177</v>
      </c>
      <c r="AC75" s="1040">
        <v>10.522978999999999</v>
      </c>
      <c r="AD75" s="1040">
        <v>10.688981999999999</v>
      </c>
      <c r="AE75" s="1040">
        <v>10.803459999999999</v>
      </c>
      <c r="AF75" s="1040">
        <v>10.994071</v>
      </c>
      <c r="AG75" s="1040">
        <v>11.132752999999999</v>
      </c>
      <c r="AH75" s="1040">
        <v>11.290343</v>
      </c>
      <c r="AI75" s="1040">
        <v>11.483471</v>
      </c>
      <c r="AJ75" s="1040">
        <v>11.774739</v>
      </c>
      <c r="AK75" s="1040">
        <v>12.104623999999999</v>
      </c>
      <c r="AL75" s="1040">
        <v>12.443429</v>
      </c>
      <c r="AM75" s="1040">
        <v>12.746489</v>
      </c>
      <c r="AN75" s="1040">
        <v>13.159888</v>
      </c>
      <c r="AO75" s="1040">
        <v>13.417020000000001</v>
      </c>
      <c r="AP75" s="1040">
        <v>13.853782000000001</v>
      </c>
      <c r="AQ75" s="1040">
        <v>14.239846</v>
      </c>
      <c r="AR75" s="1040">
        <v>14.480893</v>
      </c>
      <c r="AS75" s="1036"/>
      <c r="AT75" s="1036"/>
      <c r="AU75" s="1036"/>
      <c r="AV75" s="1036"/>
      <c r="AW75" s="1036"/>
      <c r="AX75" s="1036"/>
      <c r="AY75" s="1036"/>
      <c r="AZ75" s="1036"/>
      <c r="BA75" s="1036"/>
      <c r="BB75" s="1036"/>
      <c r="BC75" s="1036"/>
      <c r="BD75" s="1036"/>
      <c r="BE75" s="1036"/>
      <c r="BF75" s="1036"/>
      <c r="BG75" s="1036"/>
      <c r="BH75" s="1036"/>
      <c r="BI75" s="1036"/>
      <c r="BJ75" s="1036"/>
      <c r="BK75" s="1036"/>
      <c r="BL75" s="1036"/>
      <c r="BM75" s="1036"/>
      <c r="BN75" s="1036"/>
      <c r="BO75" s="1036"/>
      <c r="BP75" s="1036"/>
      <c r="BQ75" s="1036"/>
      <c r="BR75" s="1036"/>
      <c r="BS75" s="1036"/>
      <c r="BT75" s="1036"/>
      <c r="BU75" s="1036"/>
      <c r="BV75" s="1038"/>
    </row>
    <row r="76" spans="1:104" s="1034" customFormat="1" x14ac:dyDescent="0.2">
      <c r="A76" s="1039" t="s">
        <v>283</v>
      </c>
      <c r="B76" s="1036"/>
      <c r="C76" s="1037"/>
      <c r="D76" s="1234"/>
      <c r="E76" s="1037"/>
      <c r="F76" s="1036"/>
      <c r="G76" s="1036"/>
      <c r="H76" s="1036"/>
      <c r="I76" s="1036"/>
      <c r="J76" s="1036"/>
      <c r="K76" s="1036"/>
      <c r="L76" s="1036"/>
      <c r="M76" s="1036"/>
      <c r="N76" s="1040">
        <v>5.4839570000000002</v>
      </c>
      <c r="O76" s="1040">
        <v>4.8889880000000003</v>
      </c>
      <c r="P76" s="1040">
        <v>3.7668759999999999</v>
      </c>
      <c r="Q76" s="1040">
        <v>4.3500249999999996</v>
      </c>
      <c r="R76" s="1040">
        <v>4.4161510000000002</v>
      </c>
      <c r="S76" s="1040">
        <v>4.4533610000000001</v>
      </c>
      <c r="T76" s="1040">
        <v>4.916512</v>
      </c>
      <c r="U76" s="1040">
        <v>5.1321560000000002</v>
      </c>
      <c r="V76" s="1040">
        <v>5.3872429999999998</v>
      </c>
      <c r="W76" s="1040">
        <v>5.5533659999999996</v>
      </c>
      <c r="X76" s="1040">
        <v>5.6994189999999998</v>
      </c>
      <c r="Y76" s="1040">
        <v>5.84443</v>
      </c>
      <c r="Z76" s="1040">
        <v>6.055364</v>
      </c>
      <c r="AA76" s="1040">
        <v>6.2505249999999997</v>
      </c>
      <c r="AB76" s="1040">
        <v>6.3249610000000001</v>
      </c>
      <c r="AC76" s="1040">
        <v>6.4443630000000001</v>
      </c>
      <c r="AD76" s="1040">
        <v>6.5689469999999996</v>
      </c>
      <c r="AE76" s="1040">
        <v>6.6624569999999999</v>
      </c>
      <c r="AF76" s="1040">
        <v>6.8533949999999999</v>
      </c>
      <c r="AG76" s="1040">
        <v>6.9821</v>
      </c>
      <c r="AH76" s="1040">
        <v>7.1203779999999997</v>
      </c>
      <c r="AI76" s="1040">
        <v>7.3037179999999999</v>
      </c>
      <c r="AJ76" s="1040">
        <v>7.5896039999999996</v>
      </c>
      <c r="AK76" s="1040">
        <v>7.9110909999999999</v>
      </c>
      <c r="AL76" s="1040">
        <v>8.2410040000000002</v>
      </c>
      <c r="AM76" s="1040">
        <v>8.5300290000000007</v>
      </c>
      <c r="AN76" s="1040">
        <v>8.90123</v>
      </c>
      <c r="AO76" s="1040">
        <v>9.1114479999999993</v>
      </c>
      <c r="AP76" s="1040">
        <v>9.4914550000000002</v>
      </c>
      <c r="AQ76" s="1040">
        <v>9.8126739999999995</v>
      </c>
      <c r="AR76" s="1040">
        <v>10.012231</v>
      </c>
      <c r="AS76" s="1036"/>
      <c r="AT76" s="1036"/>
      <c r="AU76" s="1036"/>
      <c r="AV76" s="1036"/>
      <c r="AW76" s="1036"/>
      <c r="AX76" s="1036"/>
      <c r="AY76" s="1036"/>
      <c r="AZ76" s="1036"/>
      <c r="BA76" s="1036"/>
      <c r="BB76" s="1036"/>
      <c r="BC76" s="1036"/>
      <c r="BD76" s="1036"/>
      <c r="BE76" s="1036"/>
      <c r="BF76" s="1036"/>
      <c r="BG76" s="1036"/>
      <c r="BH76" s="1036"/>
      <c r="BI76" s="1036"/>
      <c r="BJ76" s="1036"/>
      <c r="BK76" s="1036"/>
      <c r="BL76" s="1036"/>
      <c r="BM76" s="1036"/>
      <c r="BN76" s="1036"/>
      <c r="BO76" s="1036"/>
      <c r="BP76" s="1036"/>
      <c r="BQ76" s="1036"/>
      <c r="BR76" s="1036"/>
      <c r="BS76" s="1036"/>
      <c r="BT76" s="1036"/>
      <c r="BU76" s="1036"/>
      <c r="BV76" s="1038"/>
    </row>
    <row r="77" spans="1:104" s="1034" customFormat="1" x14ac:dyDescent="0.2">
      <c r="A77" s="1041" t="str">
        <f>'HyARC Physical Property Data'!$A$74</f>
        <v>Electric Utility Natural Gas</v>
      </c>
      <c r="B77" s="1036"/>
      <c r="C77" s="1037"/>
      <c r="D77" s="1234"/>
      <c r="E77" s="1037"/>
      <c r="F77" s="1036"/>
      <c r="G77" s="1036"/>
      <c r="H77" s="1036"/>
      <c r="I77" s="1036"/>
      <c r="J77" s="1036"/>
      <c r="K77" s="1036"/>
      <c r="L77" s="1036"/>
      <c r="M77" s="1036"/>
      <c r="N77" s="1040">
        <v>5.2581660000000001</v>
      </c>
      <c r="O77" s="1040">
        <v>4.7747140000000003</v>
      </c>
      <c r="P77" s="1040">
        <v>3.3280129999999999</v>
      </c>
      <c r="Q77" s="1040">
        <v>3.7262059999999999</v>
      </c>
      <c r="R77" s="1040">
        <v>3.8342619999999998</v>
      </c>
      <c r="S77" s="1040">
        <v>3.9162499999999998</v>
      </c>
      <c r="T77" s="1040">
        <v>4.3469340000000001</v>
      </c>
      <c r="U77" s="1040">
        <v>4.5235139999999996</v>
      </c>
      <c r="V77" s="1040">
        <v>4.7720750000000001</v>
      </c>
      <c r="W77" s="1040">
        <v>4.9304030000000001</v>
      </c>
      <c r="X77" s="1040">
        <v>5.0667330000000002</v>
      </c>
      <c r="Y77" s="1040">
        <v>5.2030240000000001</v>
      </c>
      <c r="Z77" s="1040">
        <v>5.4141339999999998</v>
      </c>
      <c r="AA77" s="1040">
        <v>5.6120320000000001</v>
      </c>
      <c r="AB77" s="1040">
        <v>5.7180549999999997</v>
      </c>
      <c r="AC77" s="1040">
        <v>5.8497880000000002</v>
      </c>
      <c r="AD77" s="1040">
        <v>5.9964360000000001</v>
      </c>
      <c r="AE77" s="1040">
        <v>6.1136410000000003</v>
      </c>
      <c r="AF77" s="1040">
        <v>6.2808900000000003</v>
      </c>
      <c r="AG77" s="1040">
        <v>6.4099190000000004</v>
      </c>
      <c r="AH77" s="1040">
        <v>6.5488220000000004</v>
      </c>
      <c r="AI77" s="1040">
        <v>6.7307620000000004</v>
      </c>
      <c r="AJ77" s="1040">
        <v>7.0166529999999998</v>
      </c>
      <c r="AK77" s="1040">
        <v>7.3227570000000002</v>
      </c>
      <c r="AL77" s="1040">
        <v>7.6342280000000002</v>
      </c>
      <c r="AM77" s="1040">
        <v>7.902755</v>
      </c>
      <c r="AN77" s="1040">
        <v>8.2651950000000003</v>
      </c>
      <c r="AO77" s="1040">
        <v>8.4774010000000004</v>
      </c>
      <c r="AP77" s="1040">
        <v>8.8551400000000005</v>
      </c>
      <c r="AQ77" s="1040">
        <v>9.1715459999999993</v>
      </c>
      <c r="AR77" s="1040">
        <v>9.3359030000000001</v>
      </c>
      <c r="AS77" s="1036"/>
      <c r="AT77" s="1036"/>
      <c r="AU77" s="1036"/>
      <c r="AV77" s="1036"/>
      <c r="AW77" s="1036"/>
      <c r="AX77" s="1036"/>
      <c r="AY77" s="1036"/>
      <c r="AZ77" s="1036"/>
      <c r="BA77" s="1036"/>
      <c r="BB77" s="1036"/>
      <c r="BC77" s="1036"/>
      <c r="BD77" s="1036"/>
      <c r="BE77" s="1036"/>
      <c r="BF77" s="1036"/>
      <c r="BG77" s="1036"/>
      <c r="BH77" s="1036"/>
      <c r="BI77" s="1036"/>
      <c r="BJ77" s="1036"/>
      <c r="BK77" s="1036"/>
      <c r="BL77" s="1036"/>
      <c r="BM77" s="1036"/>
      <c r="BN77" s="1036"/>
      <c r="BO77" s="1036"/>
      <c r="BP77" s="1036"/>
      <c r="BQ77" s="1036"/>
      <c r="BR77" s="1036"/>
      <c r="BS77" s="1036"/>
      <c r="BT77" s="1036"/>
      <c r="BU77" s="1036"/>
      <c r="BV77" s="1038"/>
    </row>
    <row r="78" spans="1:104" s="1034" customFormat="1" x14ac:dyDescent="0.2">
      <c r="A78" s="1041" t="s">
        <v>1082</v>
      </c>
      <c r="B78" s="1036"/>
      <c r="C78" s="1037"/>
      <c r="D78" s="1234"/>
      <c r="E78" s="1037"/>
      <c r="F78" s="1036"/>
      <c r="G78" s="1036"/>
      <c r="H78" s="1036"/>
      <c r="I78" s="1036"/>
      <c r="J78" s="1036"/>
      <c r="K78" s="1036"/>
      <c r="L78" s="1036"/>
      <c r="M78" s="1036"/>
      <c r="N78" s="1040"/>
      <c r="O78" s="1040"/>
      <c r="P78" s="1040"/>
      <c r="Q78" s="1040"/>
      <c r="R78" s="1040"/>
      <c r="S78" s="1040"/>
      <c r="T78" s="1040"/>
      <c r="U78" s="1040"/>
      <c r="V78" s="1040"/>
      <c r="W78" s="1040"/>
      <c r="X78" s="1040"/>
      <c r="Y78" s="1040"/>
      <c r="Z78" s="1040"/>
      <c r="AA78" s="1040"/>
      <c r="AB78" s="1040"/>
      <c r="AC78" s="1040"/>
      <c r="AD78" s="1040"/>
      <c r="AE78" s="1040"/>
      <c r="AF78" s="1040"/>
      <c r="AG78" s="1040"/>
      <c r="AH78" s="1040"/>
      <c r="AI78" s="1040"/>
      <c r="AJ78" s="1040"/>
      <c r="AK78" s="1040"/>
      <c r="AL78" s="1040"/>
      <c r="AM78" s="1040"/>
      <c r="AN78" s="1040"/>
      <c r="AO78" s="1040"/>
      <c r="AP78" s="1040"/>
      <c r="AQ78" s="1040"/>
      <c r="AR78" s="1040"/>
      <c r="AS78" s="1036"/>
      <c r="AT78" s="1036"/>
      <c r="AU78" s="1036"/>
      <c r="AV78" s="1036"/>
      <c r="AW78" s="1036"/>
      <c r="AX78" s="1036"/>
      <c r="AY78" s="1036"/>
      <c r="AZ78" s="1036"/>
      <c r="BA78" s="1036"/>
      <c r="BB78" s="1036"/>
      <c r="BC78" s="1036"/>
      <c r="BD78" s="1036"/>
      <c r="BE78" s="1036"/>
      <c r="BF78" s="1036"/>
      <c r="BG78" s="1036"/>
      <c r="BH78" s="1036"/>
      <c r="BI78" s="1036"/>
      <c r="BJ78" s="1036"/>
      <c r="BK78" s="1036"/>
      <c r="BL78" s="1036"/>
      <c r="BM78" s="1036"/>
      <c r="BN78" s="1036"/>
      <c r="BO78" s="1036"/>
      <c r="BP78" s="1036"/>
      <c r="BQ78" s="1036"/>
      <c r="BR78" s="1036"/>
      <c r="BS78" s="1036"/>
      <c r="BT78" s="1036"/>
      <c r="BU78" s="1036"/>
      <c r="BV78" s="1038"/>
    </row>
    <row r="79" spans="1:104" s="1034" customFormat="1" x14ac:dyDescent="0.2">
      <c r="A79" s="1039" t="s">
        <v>1088</v>
      </c>
      <c r="B79" s="1036"/>
      <c r="C79" s="1037"/>
      <c r="D79" s="1234"/>
      <c r="E79" s="1037"/>
      <c r="F79" s="1036"/>
      <c r="G79" s="1036"/>
      <c r="H79" s="1036"/>
      <c r="I79" s="1036"/>
      <c r="J79" s="1036"/>
      <c r="K79" s="1036"/>
      <c r="L79" s="1036"/>
      <c r="M79" s="1036"/>
      <c r="N79" s="1040">
        <v>2.2979889999999998</v>
      </c>
      <c r="O79" s="1040">
        <v>2.38</v>
      </c>
      <c r="P79" s="1040">
        <v>2.414561</v>
      </c>
      <c r="Q79" s="1040">
        <v>2.3313350000000002</v>
      </c>
      <c r="R79" s="1040">
        <v>2.4666779999999999</v>
      </c>
      <c r="S79" s="1040">
        <v>2.490294</v>
      </c>
      <c r="T79" s="1040">
        <v>2.5700569999999998</v>
      </c>
      <c r="U79" s="1040">
        <v>2.5762320000000001</v>
      </c>
      <c r="V79" s="1040">
        <v>2.594992</v>
      </c>
      <c r="W79" s="1040">
        <v>2.6086049999999998</v>
      </c>
      <c r="X79" s="1040">
        <v>2.6433580000000001</v>
      </c>
      <c r="Y79" s="1040">
        <v>2.6708150000000002</v>
      </c>
      <c r="Z79" s="1040">
        <v>2.7142179999999998</v>
      </c>
      <c r="AA79" s="1040">
        <v>2.74918</v>
      </c>
      <c r="AB79" s="1040">
        <v>2.7884579999999999</v>
      </c>
      <c r="AC79" s="1040">
        <v>2.8318759999999998</v>
      </c>
      <c r="AD79" s="1040">
        <v>2.8692139999999999</v>
      </c>
      <c r="AE79" s="1040">
        <v>2.899435</v>
      </c>
      <c r="AF79" s="1040">
        <v>2.9368029999999998</v>
      </c>
      <c r="AG79" s="1040">
        <v>2.9781219999999999</v>
      </c>
      <c r="AH79" s="1040">
        <v>3.0179510000000001</v>
      </c>
      <c r="AI79" s="1040">
        <v>3.0527350000000002</v>
      </c>
      <c r="AJ79" s="1040">
        <v>3.090319</v>
      </c>
      <c r="AK79" s="1040">
        <v>3.1298509999999999</v>
      </c>
      <c r="AL79" s="1040">
        <v>3.1705510000000001</v>
      </c>
      <c r="AM79" s="1040">
        <v>3.2163840000000001</v>
      </c>
      <c r="AN79" s="1040">
        <v>3.2516949999999998</v>
      </c>
      <c r="AO79" s="1040">
        <v>3.2783180000000001</v>
      </c>
      <c r="AP79" s="1040">
        <v>3.3114089999999998</v>
      </c>
      <c r="AQ79" s="1040">
        <v>3.3562150000000002</v>
      </c>
      <c r="AR79" s="1040">
        <v>3.398895</v>
      </c>
      <c r="AS79" s="1036"/>
      <c r="AT79" s="1036"/>
      <c r="AU79" s="1036"/>
      <c r="AV79" s="1036"/>
      <c r="AW79" s="1036"/>
      <c r="AX79" s="1036"/>
      <c r="AY79" s="1036"/>
      <c r="AZ79" s="1036"/>
      <c r="BA79" s="1036"/>
      <c r="BB79" s="1036"/>
      <c r="BC79" s="1036"/>
      <c r="BD79" s="1036"/>
      <c r="BE79" s="1036"/>
      <c r="BF79" s="1036"/>
      <c r="BG79" s="1036"/>
      <c r="BH79" s="1036"/>
      <c r="BI79" s="1036"/>
      <c r="BJ79" s="1036"/>
      <c r="BK79" s="1036"/>
      <c r="BL79" s="1036"/>
      <c r="BM79" s="1036"/>
      <c r="BN79" s="1036"/>
      <c r="BO79" s="1036"/>
      <c r="BP79" s="1036"/>
      <c r="BQ79" s="1036"/>
      <c r="BR79" s="1036"/>
      <c r="BS79" s="1036"/>
      <c r="BT79" s="1036"/>
      <c r="BU79" s="1036"/>
      <c r="BV79" s="1038"/>
    </row>
    <row r="80" spans="1:104" s="1034" customFormat="1" x14ac:dyDescent="0.2">
      <c r="A80" s="1039" t="s">
        <v>683</v>
      </c>
      <c r="B80" s="1036"/>
      <c r="C80" s="1037"/>
      <c r="D80" s="1234"/>
      <c r="E80" s="1037"/>
      <c r="F80" s="1036"/>
      <c r="G80" s="1036"/>
      <c r="H80" s="1036"/>
      <c r="I80" s="1036"/>
      <c r="J80" s="1036"/>
      <c r="K80" s="1036"/>
      <c r="L80" s="1036"/>
      <c r="M80" s="1036"/>
      <c r="N80" s="1040">
        <v>30.492578999999999</v>
      </c>
      <c r="O80" s="1040">
        <v>29.980651999999999</v>
      </c>
      <c r="P80" s="1040">
        <v>28.501187999999999</v>
      </c>
      <c r="Q80" s="1040">
        <v>27.791989999999998</v>
      </c>
      <c r="R80" s="1040">
        <v>28.177313000000002</v>
      </c>
      <c r="S80" s="1040">
        <v>28.139455999999999</v>
      </c>
      <c r="T80" s="1040">
        <v>28.689319999999999</v>
      </c>
      <c r="U80" s="1040">
        <v>29.024557000000001</v>
      </c>
      <c r="V80" s="1040">
        <v>29.108899999999998</v>
      </c>
      <c r="W80" s="1040">
        <v>28.975003999999998</v>
      </c>
      <c r="X80" s="1040">
        <v>29.041111000000001</v>
      </c>
      <c r="Y80" s="1040">
        <v>29.162209000000001</v>
      </c>
      <c r="Z80" s="1040">
        <v>29.247681</v>
      </c>
      <c r="AA80" s="1040">
        <v>29.196009</v>
      </c>
      <c r="AB80" s="1040">
        <v>29.115604000000001</v>
      </c>
      <c r="AC80" s="1040">
        <v>29.201962000000002</v>
      </c>
      <c r="AD80" s="1040">
        <v>29.178121999999998</v>
      </c>
      <c r="AE80" s="1040">
        <v>29.212776000000002</v>
      </c>
      <c r="AF80" s="1040">
        <v>29.214404999999999</v>
      </c>
      <c r="AG80" s="1040">
        <v>29.344874999999998</v>
      </c>
      <c r="AH80" s="1040">
        <v>29.550170999999999</v>
      </c>
      <c r="AI80" s="1040">
        <v>29.794819</v>
      </c>
      <c r="AJ80" s="1040">
        <v>29.957190000000001</v>
      </c>
      <c r="AK80" s="1040">
        <v>30.275618000000001</v>
      </c>
      <c r="AL80" s="1040">
        <v>30.801399</v>
      </c>
      <c r="AM80" s="1040">
        <v>31.291125999999998</v>
      </c>
      <c r="AN80" s="1040">
        <v>31.806963</v>
      </c>
      <c r="AO80" s="1040">
        <v>32.268535999999997</v>
      </c>
      <c r="AP80" s="1040">
        <v>32.667476999999998</v>
      </c>
      <c r="AQ80" s="1040">
        <v>33.223427000000001</v>
      </c>
      <c r="AR80" s="1040">
        <v>33.577624999999998</v>
      </c>
      <c r="AS80" s="1036"/>
      <c r="AT80" s="1036"/>
      <c r="AU80" s="1036"/>
      <c r="AV80" s="1036"/>
      <c r="AW80" s="1036"/>
      <c r="AX80" s="1036"/>
      <c r="AY80" s="1036"/>
      <c r="AZ80" s="1036"/>
      <c r="BA80" s="1036"/>
      <c r="BB80" s="1036"/>
      <c r="BC80" s="1036"/>
      <c r="BD80" s="1036"/>
      <c r="BE80" s="1036"/>
      <c r="BF80" s="1036"/>
      <c r="BG80" s="1036"/>
      <c r="BH80" s="1036"/>
      <c r="BI80" s="1036"/>
      <c r="BJ80" s="1036"/>
      <c r="BK80" s="1036"/>
      <c r="BL80" s="1036"/>
      <c r="BM80" s="1036"/>
      <c r="BN80" s="1036"/>
      <c r="BO80" s="1036"/>
      <c r="BP80" s="1036"/>
      <c r="BQ80" s="1036"/>
      <c r="BR80" s="1036"/>
      <c r="BS80" s="1036"/>
      <c r="BT80" s="1036"/>
      <c r="BU80" s="1036"/>
      <c r="BV80" s="1038"/>
    </row>
    <row r="81" spans="1:104" s="1034" customFormat="1" x14ac:dyDescent="0.2">
      <c r="A81" s="1039" t="s">
        <v>698</v>
      </c>
      <c r="B81" s="1036"/>
      <c r="C81" s="1037"/>
      <c r="D81" s="1234"/>
      <c r="E81" s="1037"/>
      <c r="F81" s="1036"/>
      <c r="G81" s="1036"/>
      <c r="H81" s="1036"/>
      <c r="I81" s="1036"/>
      <c r="J81" s="1036"/>
      <c r="K81" s="1036"/>
      <c r="L81" s="1036"/>
      <c r="M81" s="1036"/>
      <c r="N81" s="1040">
        <v>20.260445000000001</v>
      </c>
      <c r="O81" s="1040">
        <v>19.975721</v>
      </c>
      <c r="P81" s="1040">
        <v>18.454588000000001</v>
      </c>
      <c r="Q81" s="1040">
        <v>18.157667</v>
      </c>
      <c r="R81" s="1040">
        <v>18.271274999999999</v>
      </c>
      <c r="S81" s="1040">
        <v>18.191776000000001</v>
      </c>
      <c r="T81" s="1040">
        <v>18.703628999999999</v>
      </c>
      <c r="U81" s="1040">
        <v>19.002967999999999</v>
      </c>
      <c r="V81" s="1040">
        <v>19.096264000000001</v>
      </c>
      <c r="W81" s="1040">
        <v>19.050228000000001</v>
      </c>
      <c r="X81" s="1040">
        <v>19.095860999999999</v>
      </c>
      <c r="Y81" s="1040">
        <v>19.252116999999998</v>
      </c>
      <c r="Z81" s="1040">
        <v>19.422526999999999</v>
      </c>
      <c r="AA81" s="1040">
        <v>19.539289</v>
      </c>
      <c r="AB81" s="1040">
        <v>19.565339999999999</v>
      </c>
      <c r="AC81" s="1040">
        <v>19.722131999999998</v>
      </c>
      <c r="AD81" s="1040">
        <v>19.810991000000001</v>
      </c>
      <c r="AE81" s="1040">
        <v>19.943812999999999</v>
      </c>
      <c r="AF81" s="1040">
        <v>20.046423000000001</v>
      </c>
      <c r="AG81" s="1040">
        <v>20.238405</v>
      </c>
      <c r="AH81" s="1040">
        <v>20.421748999999998</v>
      </c>
      <c r="AI81" s="1040">
        <v>20.607520999999998</v>
      </c>
      <c r="AJ81" s="1040">
        <v>20.839410999999998</v>
      </c>
      <c r="AK81" s="1040">
        <v>21.176966</v>
      </c>
      <c r="AL81" s="1040">
        <v>21.628757</v>
      </c>
      <c r="AM81" s="1040">
        <v>22.108962999999999</v>
      </c>
      <c r="AN81" s="1040">
        <v>22.567038</v>
      </c>
      <c r="AO81" s="1040">
        <v>22.990486000000001</v>
      </c>
      <c r="AP81" s="1040">
        <v>23.379736000000001</v>
      </c>
      <c r="AQ81" s="1040">
        <v>23.871493999999998</v>
      </c>
      <c r="AR81" s="1040">
        <v>24.167221000000001</v>
      </c>
      <c r="AS81" s="1036"/>
      <c r="AT81" s="1036"/>
      <c r="AU81" s="1036"/>
      <c r="AV81" s="1036"/>
      <c r="AW81" s="1036"/>
      <c r="AX81" s="1036"/>
      <c r="AY81" s="1036"/>
      <c r="AZ81" s="1036"/>
      <c r="BA81" s="1036"/>
      <c r="BB81" s="1036"/>
      <c r="BC81" s="1036"/>
      <c r="BD81" s="1036"/>
      <c r="BE81" s="1036"/>
      <c r="BF81" s="1036"/>
      <c r="BG81" s="1036"/>
      <c r="BH81" s="1036"/>
      <c r="BI81" s="1036"/>
      <c r="BJ81" s="1036"/>
      <c r="BK81" s="1036"/>
      <c r="BL81" s="1036"/>
      <c r="BM81" s="1036"/>
      <c r="BN81" s="1036"/>
      <c r="BO81" s="1036"/>
      <c r="BP81" s="1036"/>
      <c r="BQ81" s="1036"/>
      <c r="BR81" s="1036"/>
      <c r="BS81" s="1036"/>
      <c r="BT81" s="1036"/>
      <c r="BU81" s="1036"/>
      <c r="BV81" s="1038"/>
    </row>
    <row r="82" spans="1:104" s="1034" customFormat="1" ht="13.5" thickBot="1" x14ac:dyDescent="0.25">
      <c r="A82" s="1043" t="s">
        <v>684</v>
      </c>
      <c r="B82" s="1044"/>
      <c r="C82" s="1045"/>
      <c r="D82" s="1235"/>
      <c r="E82" s="1045"/>
      <c r="F82" s="1044"/>
      <c r="G82" s="1044"/>
      <c r="H82" s="1044"/>
      <c r="I82" s="1044"/>
      <c r="J82" s="1044"/>
      <c r="K82" s="1044"/>
      <c r="L82" s="1044"/>
      <c r="M82" s="1044"/>
      <c r="N82" s="1046">
        <v>34.522823000000002</v>
      </c>
      <c r="O82" s="1046">
        <v>34.335875999999999</v>
      </c>
      <c r="P82" s="1046">
        <v>33.292259000000001</v>
      </c>
      <c r="Q82" s="1046">
        <v>32.561348000000002</v>
      </c>
      <c r="R82" s="1046">
        <v>33.352730000000001</v>
      </c>
      <c r="S82" s="1046">
        <v>33.489016999999997</v>
      </c>
      <c r="T82" s="1046">
        <v>34.046703000000001</v>
      </c>
      <c r="U82" s="1046">
        <v>34.326427000000002</v>
      </c>
      <c r="V82" s="1046">
        <v>34.303291000000002</v>
      </c>
      <c r="W82" s="1046">
        <v>34.076405000000001</v>
      </c>
      <c r="X82" s="1046">
        <v>34.105117999999997</v>
      </c>
      <c r="Y82" s="1046">
        <v>34.184669</v>
      </c>
      <c r="Z82" s="1046">
        <v>34.290134000000002</v>
      </c>
      <c r="AA82" s="1046">
        <v>34.319408000000003</v>
      </c>
      <c r="AB82" s="1046">
        <v>34.416462000000003</v>
      </c>
      <c r="AC82" s="1046">
        <v>34.726405999999997</v>
      </c>
      <c r="AD82" s="1046">
        <v>34.904162999999997</v>
      </c>
      <c r="AE82" s="1046">
        <v>35.063048999999999</v>
      </c>
      <c r="AF82" s="1046">
        <v>35.177726999999997</v>
      </c>
      <c r="AG82" s="1046">
        <v>35.337353</v>
      </c>
      <c r="AH82" s="1046">
        <v>35.506706000000001</v>
      </c>
      <c r="AI82" s="1046">
        <v>35.725586</v>
      </c>
      <c r="AJ82" s="1046">
        <v>35.884253999999999</v>
      </c>
      <c r="AK82" s="1046">
        <v>36.154865000000001</v>
      </c>
      <c r="AL82" s="1046">
        <v>36.608756999999997</v>
      </c>
      <c r="AM82" s="1046">
        <v>37.082008000000002</v>
      </c>
      <c r="AN82" s="1046">
        <v>37.502094</v>
      </c>
      <c r="AO82" s="1046">
        <v>37.842292999999998</v>
      </c>
      <c r="AP82" s="1046">
        <v>38.16151</v>
      </c>
      <c r="AQ82" s="1046">
        <v>38.618450000000003</v>
      </c>
      <c r="AR82" s="1046">
        <v>38.850749999999998</v>
      </c>
      <c r="AS82" s="1044"/>
      <c r="AT82" s="1044"/>
      <c r="AU82" s="1044"/>
      <c r="AV82" s="1044"/>
      <c r="AW82" s="1044"/>
      <c r="AX82" s="1044"/>
      <c r="AY82" s="1044"/>
      <c r="AZ82" s="1044"/>
      <c r="BA82" s="1044"/>
      <c r="BB82" s="1044"/>
      <c r="BC82" s="1044"/>
      <c r="BD82" s="1044"/>
      <c r="BE82" s="1044"/>
      <c r="BF82" s="1044"/>
      <c r="BG82" s="1044"/>
      <c r="BH82" s="1044"/>
      <c r="BI82" s="1044"/>
      <c r="BJ82" s="1044"/>
      <c r="BK82" s="1044"/>
      <c r="BL82" s="1044"/>
      <c r="BM82" s="1044"/>
      <c r="BN82" s="1044"/>
      <c r="BO82" s="1044"/>
      <c r="BP82" s="1044"/>
      <c r="BQ82" s="1044"/>
      <c r="BR82" s="1044"/>
      <c r="BS82" s="1044"/>
      <c r="BT82" s="1044"/>
      <c r="BU82" s="1044"/>
      <c r="BV82" s="1047"/>
    </row>
    <row r="83" spans="1:104" x14ac:dyDescent="0.2">
      <c r="D83" s="1077"/>
      <c r="E83" s="956"/>
    </row>
    <row r="84" spans="1:104" x14ac:dyDescent="0.2">
      <c r="D84" s="1077"/>
    </row>
    <row r="85" spans="1:104" ht="13.5" thickBot="1" x14ac:dyDescent="0.25">
      <c r="D85" s="1077"/>
    </row>
    <row r="86" spans="1:104" ht="13.5" thickTop="1" x14ac:dyDescent="0.2">
      <c r="A86" s="848" t="s">
        <v>1108</v>
      </c>
      <c r="B86" s="849" t="str">
        <f>"Prices are in $(" &amp; ref_year&amp;")/GJ LHV"</f>
        <v>Prices are in $(2016)/GJ LHV</v>
      </c>
      <c r="C86" s="849"/>
      <c r="D86" s="1236"/>
      <c r="E86" s="849"/>
      <c r="F86" s="850"/>
      <c r="G86" s="850"/>
      <c r="H86" s="850"/>
      <c r="I86" s="850"/>
      <c r="J86" s="850"/>
      <c r="K86" s="850"/>
      <c r="L86" s="850"/>
      <c r="M86" s="850"/>
      <c r="N86" s="850"/>
      <c r="O86" s="850"/>
      <c r="P86" s="850"/>
      <c r="Q86" s="850"/>
      <c r="R86" s="850"/>
      <c r="S86" s="850"/>
      <c r="T86" s="850"/>
      <c r="U86" s="850"/>
      <c r="V86" s="850"/>
      <c r="W86" s="850"/>
      <c r="X86" s="850"/>
      <c r="Y86" s="850"/>
      <c r="Z86" s="850"/>
      <c r="AA86" s="850"/>
      <c r="AB86" s="850"/>
      <c r="AC86" s="850"/>
      <c r="AD86" s="850"/>
      <c r="AE86" s="850"/>
      <c r="AF86" s="850"/>
      <c r="AG86" s="850"/>
      <c r="AH86" s="850"/>
      <c r="AI86" s="850"/>
      <c r="AJ86" s="850"/>
      <c r="AK86" s="850"/>
      <c r="AL86" s="850"/>
      <c r="AM86" s="850"/>
      <c r="AN86" s="850"/>
      <c r="AO86" s="850"/>
      <c r="AP86" s="850"/>
      <c r="AQ86" s="850"/>
      <c r="AR86" s="850"/>
      <c r="AS86" s="863" t="s">
        <v>772</v>
      </c>
      <c r="AT86" s="864"/>
      <c r="AU86" s="864"/>
      <c r="AV86" s="864"/>
      <c r="AW86" s="864"/>
      <c r="AX86" s="864"/>
      <c r="AY86" s="864"/>
      <c r="AZ86" s="864"/>
      <c r="BA86" s="864"/>
      <c r="BB86" s="864"/>
      <c r="BC86" s="864"/>
      <c r="BD86" s="864"/>
      <c r="BE86" s="864"/>
      <c r="BF86" s="864"/>
      <c r="BG86" s="864"/>
      <c r="BH86" s="864"/>
      <c r="BI86" s="864"/>
      <c r="BJ86" s="864"/>
      <c r="BK86" s="864"/>
      <c r="BL86" s="864"/>
      <c r="BM86" s="864"/>
      <c r="BN86" s="864"/>
      <c r="BO86" s="864"/>
      <c r="BP86" s="864"/>
      <c r="BQ86" s="864"/>
      <c r="BR86" s="864"/>
      <c r="BS86" s="864"/>
      <c r="BT86" s="864"/>
      <c r="BU86" s="864"/>
      <c r="BV86" s="865"/>
    </row>
    <row r="87" spans="1:104" ht="51.75" thickBot="1" x14ac:dyDescent="0.25">
      <c r="A87" s="1103" t="s">
        <v>1085</v>
      </c>
      <c r="B87" s="1104" t="s">
        <v>678</v>
      </c>
      <c r="C87" s="1104" t="s">
        <v>679</v>
      </c>
      <c r="D87" s="1237" t="s">
        <v>690</v>
      </c>
      <c r="E87" s="1104" t="s">
        <v>691</v>
      </c>
      <c r="F87" s="1105" t="s">
        <v>680</v>
      </c>
      <c r="G87" s="1105" t="s">
        <v>692</v>
      </c>
      <c r="H87" s="870">
        <v>2004</v>
      </c>
      <c r="I87" s="870">
        <v>2005</v>
      </c>
      <c r="J87" s="870">
        <v>2006</v>
      </c>
      <c r="K87" s="870">
        <v>2007</v>
      </c>
      <c r="L87" s="870">
        <v>2008</v>
      </c>
      <c r="M87" s="870">
        <v>2009</v>
      </c>
      <c r="N87" s="870">
        <v>2010</v>
      </c>
      <c r="O87" s="870">
        <v>2011</v>
      </c>
      <c r="P87" s="870">
        <v>2012</v>
      </c>
      <c r="Q87" s="870">
        <v>2013</v>
      </c>
      <c r="R87" s="870">
        <v>2014</v>
      </c>
      <c r="S87" s="870">
        <v>2015</v>
      </c>
      <c r="T87" s="870">
        <v>2016</v>
      </c>
      <c r="U87" s="870">
        <v>2017</v>
      </c>
      <c r="V87" s="870">
        <v>2018</v>
      </c>
      <c r="W87" s="870">
        <v>2019</v>
      </c>
      <c r="X87" s="870">
        <v>2020</v>
      </c>
      <c r="Y87" s="870">
        <v>2021</v>
      </c>
      <c r="Z87" s="870">
        <v>2022</v>
      </c>
      <c r="AA87" s="870">
        <v>2023</v>
      </c>
      <c r="AB87" s="870">
        <v>2024</v>
      </c>
      <c r="AC87" s="870">
        <v>2025</v>
      </c>
      <c r="AD87" s="870">
        <v>2026</v>
      </c>
      <c r="AE87" s="870">
        <v>2027</v>
      </c>
      <c r="AF87" s="870">
        <v>2028</v>
      </c>
      <c r="AG87" s="870">
        <v>2029</v>
      </c>
      <c r="AH87" s="870">
        <v>2030</v>
      </c>
      <c r="AI87" s="870">
        <v>2031</v>
      </c>
      <c r="AJ87" s="870">
        <v>2032</v>
      </c>
      <c r="AK87" s="870">
        <v>2033</v>
      </c>
      <c r="AL87" s="870">
        <v>2034</v>
      </c>
      <c r="AM87" s="870">
        <v>2035</v>
      </c>
      <c r="AN87" s="870">
        <v>2036</v>
      </c>
      <c r="AO87" s="870">
        <v>2037</v>
      </c>
      <c r="AP87" s="870">
        <v>2038</v>
      </c>
      <c r="AQ87" s="870">
        <v>2039</v>
      </c>
      <c r="AR87" s="870">
        <v>2040</v>
      </c>
      <c r="AS87" s="870">
        <v>2041</v>
      </c>
      <c r="AT87" s="870">
        <v>2042</v>
      </c>
      <c r="AU87" s="870">
        <v>2043</v>
      </c>
      <c r="AV87" s="870">
        <v>2044</v>
      </c>
      <c r="AW87" s="870">
        <v>2045</v>
      </c>
      <c r="AX87" s="870">
        <v>2046</v>
      </c>
      <c r="AY87" s="870">
        <v>2047</v>
      </c>
      <c r="AZ87" s="870">
        <v>2048</v>
      </c>
      <c r="BA87" s="870">
        <v>2049</v>
      </c>
      <c r="BB87" s="870">
        <v>2050</v>
      </c>
      <c r="BC87" s="870">
        <v>2051</v>
      </c>
      <c r="BD87" s="870">
        <v>2052</v>
      </c>
      <c r="BE87" s="870">
        <v>2053</v>
      </c>
      <c r="BF87" s="870">
        <v>2054</v>
      </c>
      <c r="BG87" s="870">
        <v>2055</v>
      </c>
      <c r="BH87" s="870">
        <v>2056</v>
      </c>
      <c r="BI87" s="870">
        <v>2057</v>
      </c>
      <c r="BJ87" s="870">
        <v>2058</v>
      </c>
      <c r="BK87" s="870">
        <v>2059</v>
      </c>
      <c r="BL87" s="870">
        <v>2060</v>
      </c>
      <c r="BM87" s="870">
        <v>2061</v>
      </c>
      <c r="BN87" s="870">
        <v>2062</v>
      </c>
      <c r="BO87" s="870">
        <v>2063</v>
      </c>
      <c r="BP87" s="870">
        <v>2064</v>
      </c>
      <c r="BQ87" s="870">
        <v>2065</v>
      </c>
      <c r="BR87" s="870">
        <v>2066</v>
      </c>
      <c r="BS87" s="870">
        <v>2067</v>
      </c>
      <c r="BT87" s="870">
        <v>2068</v>
      </c>
      <c r="BU87" s="870">
        <v>2069</v>
      </c>
      <c r="BV87" s="871">
        <v>2070</v>
      </c>
      <c r="BW87" s="1385">
        <f t="shared" ref="BW87" si="191">+BV87+1</f>
        <v>2071</v>
      </c>
      <c r="BX87" s="1385">
        <f t="shared" ref="BX87" si="192">+BW87+1</f>
        <v>2072</v>
      </c>
      <c r="BY87" s="1385">
        <f t="shared" ref="BY87" si="193">+BX87+1</f>
        <v>2073</v>
      </c>
      <c r="BZ87" s="1385">
        <f t="shared" ref="BZ87" si="194">+BY87+1</f>
        <v>2074</v>
      </c>
      <c r="CA87" s="1385">
        <f t="shared" ref="CA87" si="195">+BZ87+1</f>
        <v>2075</v>
      </c>
      <c r="CB87" s="1385">
        <f t="shared" ref="CB87" si="196">+CA87+1</f>
        <v>2076</v>
      </c>
      <c r="CC87" s="1385">
        <f t="shared" ref="CC87" si="197">+CB87+1</f>
        <v>2077</v>
      </c>
      <c r="CD87" s="1385">
        <f t="shared" ref="CD87" si="198">+CC87+1</f>
        <v>2078</v>
      </c>
      <c r="CE87" s="1385">
        <f t="shared" ref="CE87" si="199">+CD87+1</f>
        <v>2079</v>
      </c>
      <c r="CF87" s="1385">
        <f t="shared" ref="CF87" si="200">+CE87+1</f>
        <v>2080</v>
      </c>
      <c r="CG87" s="1385">
        <f t="shared" ref="CG87" si="201">+CF87+1</f>
        <v>2081</v>
      </c>
      <c r="CH87" s="1385">
        <f t="shared" ref="CH87" si="202">+CG87+1</f>
        <v>2082</v>
      </c>
      <c r="CI87" s="1385">
        <f t="shared" ref="CI87" si="203">+CH87+1</f>
        <v>2083</v>
      </c>
      <c r="CJ87" s="1385">
        <f t="shared" ref="CJ87" si="204">+CI87+1</f>
        <v>2084</v>
      </c>
      <c r="CK87" s="1385">
        <f t="shared" ref="CK87" si="205">+CJ87+1</f>
        <v>2085</v>
      </c>
      <c r="CL87" s="1385">
        <f t="shared" ref="CL87" si="206">+CK87+1</f>
        <v>2086</v>
      </c>
      <c r="CM87" s="1385">
        <f t="shared" ref="CM87" si="207">+CL87+1</f>
        <v>2087</v>
      </c>
      <c r="CN87" s="1385">
        <f t="shared" ref="CN87" si="208">+CM87+1</f>
        <v>2088</v>
      </c>
      <c r="CO87" s="1385">
        <f t="shared" ref="CO87" si="209">+CN87+1</f>
        <v>2089</v>
      </c>
      <c r="CP87" s="1385">
        <f t="shared" ref="CP87" si="210">+CO87+1</f>
        <v>2090</v>
      </c>
      <c r="CQ87" s="1385">
        <f t="shared" ref="CQ87" si="211">+CP87+1</f>
        <v>2091</v>
      </c>
      <c r="CR87" s="1385">
        <f t="shared" ref="CR87" si="212">+CQ87+1</f>
        <v>2092</v>
      </c>
      <c r="CS87" s="1385">
        <f t="shared" ref="CS87" si="213">+CR87+1</f>
        <v>2093</v>
      </c>
      <c r="CT87" s="1385">
        <f t="shared" ref="CT87" si="214">+CS87+1</f>
        <v>2094</v>
      </c>
      <c r="CU87" s="1385">
        <f t="shared" ref="CU87" si="215">+CT87+1</f>
        <v>2095</v>
      </c>
      <c r="CV87" s="1385">
        <f t="shared" ref="CV87" si="216">+CU87+1</f>
        <v>2096</v>
      </c>
      <c r="CW87" s="1385">
        <f t="shared" ref="CW87" si="217">+CV87+1</f>
        <v>2097</v>
      </c>
      <c r="CX87" s="1385">
        <f t="shared" ref="CX87" si="218">+CW87+1</f>
        <v>2098</v>
      </c>
      <c r="CY87" s="1385">
        <f t="shared" ref="CY87" si="219">+CX87+1</f>
        <v>2099</v>
      </c>
      <c r="CZ87" s="1385">
        <f t="shared" ref="CZ87" si="220">+CY87+1</f>
        <v>2100</v>
      </c>
    </row>
    <row r="88" spans="1:104" ht="13.5" thickBot="1" x14ac:dyDescent="0.25">
      <c r="A88" s="851" t="s">
        <v>1091</v>
      </c>
      <c r="B88" s="852"/>
      <c r="C88" s="852"/>
      <c r="D88" s="1238"/>
      <c r="E88" s="852"/>
      <c r="F88" s="852"/>
      <c r="G88" s="852"/>
      <c r="H88" s="940"/>
      <c r="I88" s="940"/>
      <c r="J88" s="940"/>
      <c r="K88" s="940"/>
      <c r="L88" s="940"/>
      <c r="M88" s="940"/>
      <c r="N88" s="940"/>
      <c r="O88" s="940"/>
      <c r="P88" s="940"/>
      <c r="Q88" s="940"/>
      <c r="R88" s="940"/>
      <c r="S88" s="940"/>
      <c r="T88" s="940"/>
      <c r="U88" s="940"/>
      <c r="V88" s="940"/>
      <c r="W88" s="940"/>
      <c r="X88" s="940"/>
      <c r="Y88" s="940"/>
      <c r="Z88" s="940"/>
      <c r="AA88" s="940"/>
      <c r="AB88" s="940"/>
      <c r="AC88" s="940"/>
      <c r="AD88" s="940"/>
      <c r="AE88" s="940"/>
      <c r="AF88" s="940"/>
      <c r="AG88" s="940"/>
      <c r="AH88" s="940"/>
      <c r="AI88" s="940"/>
      <c r="AJ88" s="940"/>
      <c r="AK88" s="940"/>
      <c r="AL88" s="940"/>
      <c r="AM88" s="940"/>
      <c r="AN88" s="940"/>
      <c r="AO88" s="940"/>
      <c r="AP88" s="940"/>
      <c r="AQ88" s="940"/>
      <c r="AR88" s="940"/>
      <c r="AS88" s="940"/>
      <c r="AT88" s="940"/>
      <c r="AU88" s="940"/>
      <c r="AV88" s="940"/>
      <c r="AW88" s="940"/>
      <c r="AX88" s="940"/>
      <c r="AY88" s="940"/>
      <c r="AZ88" s="940"/>
      <c r="BA88" s="940"/>
      <c r="BC88" s="940"/>
      <c r="BD88" s="940"/>
      <c r="BE88" s="940"/>
      <c r="BF88" s="940"/>
      <c r="BG88" s="940"/>
      <c r="BH88" s="940"/>
      <c r="BI88" s="940"/>
      <c r="BJ88" s="940"/>
      <c r="BK88" s="940"/>
      <c r="BL88" s="940"/>
      <c r="BM88" s="940"/>
      <c r="BN88" s="940"/>
      <c r="BO88" s="940"/>
      <c r="BP88" s="940"/>
      <c r="BR88" s="940"/>
      <c r="BS88" s="940"/>
      <c r="BT88" s="940"/>
      <c r="BU88" s="940"/>
    </row>
    <row r="89" spans="1:104" x14ac:dyDescent="0.2">
      <c r="A89" s="854" t="str">
        <f>'HyARC Physical Property Data'!A73</f>
        <v>Residential Natural Gas</v>
      </c>
      <c r="B89" s="260">
        <v>2012</v>
      </c>
      <c r="C89" s="855">
        <f t="shared" ref="C89:C100" si="221">VLOOKUP(ref_year,DeflatorTable,2,FALSE)/VLOOKUP(B89,DeflatorTable,2,FALSE)</f>
        <v>1.0589185747008452</v>
      </c>
      <c r="D89" s="1239" t="str">
        <f>'HyARC Physical Property Data'!H73</f>
        <v>mmBtu</v>
      </c>
      <c r="E89" s="855" t="s">
        <v>1059</v>
      </c>
      <c r="F89" s="260">
        <f>'HyARC Physical Property Data'!$E$6</f>
        <v>47.141269049911173</v>
      </c>
      <c r="G89" s="260">
        <f>'HyARC Physical Property Data'!$I$6</f>
        <v>52.224661236371581</v>
      </c>
      <c r="H89" s="1049">
        <v>12.595706345448797</v>
      </c>
      <c r="I89" s="1049">
        <v>12.595706345448797</v>
      </c>
      <c r="J89" s="1049">
        <v>12.595706345448797</v>
      </c>
      <c r="K89" s="1049">
        <v>12.595706345448797</v>
      </c>
      <c r="L89" s="1049">
        <v>13.121338604068761</v>
      </c>
      <c r="M89" s="1049">
        <v>11.086947084595193</v>
      </c>
      <c r="N89" s="1049">
        <v>10.600250548835966</v>
      </c>
      <c r="O89" s="940">
        <f t="shared" ref="O89:AR89" si="222">O106*($C89/mmBTU_to_GJ*$G89/$F89)</f>
        <v>12.2087929242581</v>
      </c>
      <c r="P89" s="940">
        <f t="shared" si="222"/>
        <v>11.62926676611875</v>
      </c>
      <c r="Q89" s="940">
        <f t="shared" si="222"/>
        <v>11.549569006878718</v>
      </c>
      <c r="R89" s="940">
        <f t="shared" si="222"/>
        <v>12.451077492669647</v>
      </c>
      <c r="S89" s="940">
        <f t="shared" si="222"/>
        <v>12.228661210695314</v>
      </c>
      <c r="T89" s="940">
        <f t="shared" si="222"/>
        <v>11.880721569489316</v>
      </c>
      <c r="U89" s="940">
        <f t="shared" si="222"/>
        <v>12.243181027367417</v>
      </c>
      <c r="V89" s="940">
        <f t="shared" si="222"/>
        <v>12.738447103720736</v>
      </c>
      <c r="W89" s="940">
        <f t="shared" si="222"/>
        <v>12.928721417497503</v>
      </c>
      <c r="X89" s="940">
        <f t="shared" si="222"/>
        <v>12.889662020940529</v>
      </c>
      <c r="Y89" s="940">
        <f t="shared" si="222"/>
        <v>13.126157788188424</v>
      </c>
      <c r="Z89" s="940">
        <f t="shared" si="222"/>
        <v>13.227924378910403</v>
      </c>
      <c r="AA89" s="940">
        <f t="shared" si="222"/>
        <v>13.406700038666168</v>
      </c>
      <c r="AB89" s="940">
        <f t="shared" si="222"/>
        <v>13.682684414389822</v>
      </c>
      <c r="AC89" s="940">
        <f t="shared" si="222"/>
        <v>13.872072505629625</v>
      </c>
      <c r="AD89" s="940">
        <f t="shared" si="222"/>
        <v>13.98822325537062</v>
      </c>
      <c r="AE89" s="940">
        <f t="shared" si="222"/>
        <v>14.139968571775018</v>
      </c>
      <c r="AF89" s="940">
        <f t="shared" si="222"/>
        <v>14.341810480347306</v>
      </c>
      <c r="AG89" s="940">
        <f t="shared" si="222"/>
        <v>14.660154514221039</v>
      </c>
      <c r="AH89" s="940">
        <f t="shared" si="222"/>
        <v>15.014507871353267</v>
      </c>
      <c r="AI89" s="940">
        <f t="shared" si="222"/>
        <v>15.178056515524123</v>
      </c>
      <c r="AJ89" s="940">
        <f t="shared" si="222"/>
        <v>15.247180761459282</v>
      </c>
      <c r="AK89" s="940">
        <f t="shared" si="222"/>
        <v>15.504403238981952</v>
      </c>
      <c r="AL89" s="940">
        <f t="shared" si="222"/>
        <v>15.944730189731404</v>
      </c>
      <c r="AM89" s="940">
        <f t="shared" si="222"/>
        <v>16.240765211360355</v>
      </c>
      <c r="AN89" s="940">
        <f t="shared" si="222"/>
        <v>16.673418609126639</v>
      </c>
      <c r="AO89" s="940">
        <f t="shared" si="222"/>
        <v>16.84862158003515</v>
      </c>
      <c r="AP89" s="940">
        <f t="shared" si="222"/>
        <v>16.990523932954982</v>
      </c>
      <c r="AQ89" s="940">
        <f t="shared" si="222"/>
        <v>17.36681602365595</v>
      </c>
      <c r="AR89" s="940">
        <f t="shared" si="222"/>
        <v>17.766490156398653</v>
      </c>
      <c r="AS89" s="940">
        <f>($BB89-$AR89)/10+AR89</f>
        <v>17.817297159388684</v>
      </c>
      <c r="AT89" s="940">
        <f t="shared" ref="AT89:BA89" si="223">($BB89-$AR89)/10+AS89</f>
        <v>17.868104162378714</v>
      </c>
      <c r="AU89" s="940">
        <f t="shared" si="223"/>
        <v>17.918911165368744</v>
      </c>
      <c r="AV89" s="940">
        <f t="shared" si="223"/>
        <v>17.969718168358774</v>
      </c>
      <c r="AW89" s="940">
        <f t="shared" si="223"/>
        <v>18.020525171348805</v>
      </c>
      <c r="AX89" s="940">
        <f t="shared" si="223"/>
        <v>18.071332174338835</v>
      </c>
      <c r="AY89" s="940">
        <f t="shared" si="223"/>
        <v>18.122139177328865</v>
      </c>
      <c r="AZ89" s="940">
        <f t="shared" si="223"/>
        <v>18.172946180318895</v>
      </c>
      <c r="BA89" s="940">
        <f t="shared" si="223"/>
        <v>18.223753183308926</v>
      </c>
      <c r="BB89" s="942">
        <f>'AEO Data'!$B$30*AM89</f>
        <v>18.274560186298949</v>
      </c>
      <c r="BC89" s="940">
        <f t="shared" ref="BC89:BP92" si="224">($BQ89-$BB89)/15+BB89</f>
        <v>18.423467349139123</v>
      </c>
      <c r="BD89" s="940">
        <f t="shared" si="224"/>
        <v>18.572374511979298</v>
      </c>
      <c r="BE89" s="940">
        <f t="shared" si="224"/>
        <v>18.721281674819473</v>
      </c>
      <c r="BF89" s="940">
        <f t="shared" si="224"/>
        <v>18.870188837659647</v>
      </c>
      <c r="BG89" s="940">
        <f t="shared" si="224"/>
        <v>19.019096000499822</v>
      </c>
      <c r="BH89" s="940">
        <f t="shared" si="224"/>
        <v>19.168003163339996</v>
      </c>
      <c r="BI89" s="940">
        <f t="shared" si="224"/>
        <v>19.316910326180171</v>
      </c>
      <c r="BJ89" s="940">
        <f t="shared" si="224"/>
        <v>19.465817489020345</v>
      </c>
      <c r="BK89" s="940">
        <f t="shared" si="224"/>
        <v>19.61472465186052</v>
      </c>
      <c r="BL89" s="940">
        <f t="shared" si="224"/>
        <v>19.763631814700695</v>
      </c>
      <c r="BM89" s="940">
        <f t="shared" si="224"/>
        <v>19.912538977540869</v>
      </c>
      <c r="BN89" s="940">
        <f t="shared" si="224"/>
        <v>20.061446140381044</v>
      </c>
      <c r="BO89" s="940">
        <f t="shared" si="224"/>
        <v>20.210353303221218</v>
      </c>
      <c r="BP89" s="940">
        <f t="shared" si="224"/>
        <v>20.359260466061393</v>
      </c>
      <c r="BQ89" s="942">
        <f>'AEO Data'!$C$30*BB89</f>
        <v>20.508167628901592</v>
      </c>
      <c r="BR89" s="940">
        <f t="shared" ref="BR89:BU92" si="225">($BV89-$BQ89)/5+BQ89</f>
        <v>20.62538963666017</v>
      </c>
      <c r="BS89" s="940">
        <f t="shared" si="225"/>
        <v>20.742611644418748</v>
      </c>
      <c r="BT89" s="940">
        <f t="shared" si="225"/>
        <v>20.859833652177326</v>
      </c>
      <c r="BU89" s="940">
        <f t="shared" si="225"/>
        <v>20.977055659935903</v>
      </c>
      <c r="BV89" s="943">
        <f>'AEO Data'!$D$30*BQ89</f>
        <v>21.094277667694488</v>
      </c>
      <c r="BW89" s="1384">
        <f>+BV89*BW$133/BV$133</f>
        <v>21.164316872120814</v>
      </c>
      <c r="BX89" s="1384">
        <f t="shared" ref="BX89:CZ89" si="226">+BW89*BX$133/BW$133</f>
        <v>21.234588627300191</v>
      </c>
      <c r="BY89" s="1384">
        <f t="shared" si="226"/>
        <v>21.305093705369501</v>
      </c>
      <c r="BZ89" s="1384">
        <f t="shared" si="226"/>
        <v>21.375832881029339</v>
      </c>
      <c r="CA89" s="1384">
        <f t="shared" si="226"/>
        <v>21.446806931552544</v>
      </c>
      <c r="CB89" s="1384">
        <f t="shared" si="226"/>
        <v>21.492572878539132</v>
      </c>
      <c r="CC89" s="1384">
        <f t="shared" si="226"/>
        <v>21.538436486772465</v>
      </c>
      <c r="CD89" s="1384">
        <f t="shared" si="226"/>
        <v>21.584397964654634</v>
      </c>
      <c r="CE89" s="1384">
        <f t="shared" si="226"/>
        <v>21.630457521032444</v>
      </c>
      <c r="CF89" s="1384">
        <f t="shared" si="226"/>
        <v>21.676615365198366</v>
      </c>
      <c r="CG89" s="1384">
        <f t="shared" si="226"/>
        <v>21.691602524401322</v>
      </c>
      <c r="CH89" s="1384">
        <f t="shared" si="226"/>
        <v>21.706600045689747</v>
      </c>
      <c r="CI89" s="1384">
        <f t="shared" si="226"/>
        <v>21.721607936227954</v>
      </c>
      <c r="CJ89" s="1384">
        <f t="shared" si="226"/>
        <v>21.736626203185217</v>
      </c>
      <c r="CK89" s="1384">
        <f t="shared" si="226"/>
        <v>21.751654853735772</v>
      </c>
      <c r="CL89" s="1384">
        <f t="shared" si="226"/>
        <v>21.756748899145897</v>
      </c>
      <c r="CM89" s="1384">
        <f t="shared" si="226"/>
        <v>21.76184413753646</v>
      </c>
      <c r="CN89" s="1384">
        <f t="shared" si="226"/>
        <v>21.766940569186843</v>
      </c>
      <c r="CO89" s="1384">
        <f t="shared" si="226"/>
        <v>21.772038194376496</v>
      </c>
      <c r="CP89" s="1384">
        <f t="shared" si="226"/>
        <v>21.777137013384934</v>
      </c>
      <c r="CQ89" s="1384">
        <f t="shared" si="226"/>
        <v>21.784864763140046</v>
      </c>
      <c r="CR89" s="1384">
        <f t="shared" si="226"/>
        <v>21.792595255134241</v>
      </c>
      <c r="CS89" s="1384">
        <f t="shared" si="226"/>
        <v>21.800328490340622</v>
      </c>
      <c r="CT89" s="1384">
        <f t="shared" si="226"/>
        <v>21.808064469732635</v>
      </c>
      <c r="CU89" s="1384">
        <f t="shared" si="226"/>
        <v>21.815803194284069</v>
      </c>
      <c r="CV89" s="1384">
        <f t="shared" si="226"/>
        <v>21.827713124132313</v>
      </c>
      <c r="CW89" s="1384">
        <f t="shared" si="226"/>
        <v>21.839629555984068</v>
      </c>
      <c r="CX89" s="1384">
        <f t="shared" si="226"/>
        <v>21.851552493388983</v>
      </c>
      <c r="CY89" s="1384">
        <f t="shared" si="226"/>
        <v>21.863481939898644</v>
      </c>
      <c r="CZ89" s="1384">
        <f t="shared" si="226"/>
        <v>21.875417899066573</v>
      </c>
    </row>
    <row r="90" spans="1:104" x14ac:dyDescent="0.2">
      <c r="A90" s="854" t="str">
        <f>'HyARC Physical Property Data'!A71</f>
        <v>Commercial Natural Gas</v>
      </c>
      <c r="B90" s="260">
        <v>2012</v>
      </c>
      <c r="C90" s="855">
        <f t="shared" si="221"/>
        <v>1.0589185747008452</v>
      </c>
      <c r="D90" s="1239" t="str">
        <f>'HyARC Physical Property Data'!H71</f>
        <v>mmBtu</v>
      </c>
      <c r="E90" s="855" t="s">
        <v>1059</v>
      </c>
      <c r="F90" s="260">
        <f>'HyARC Physical Property Data'!$E$6</f>
        <v>47.141269049911173</v>
      </c>
      <c r="G90" s="260">
        <f>'HyARC Physical Property Data'!$I$6</f>
        <v>52.224661236371581</v>
      </c>
      <c r="H90" s="1050">
        <v>10.902002401006685</v>
      </c>
      <c r="I90" s="1050">
        <v>10.902002401006685</v>
      </c>
      <c r="J90" s="1050">
        <v>10.902002401006685</v>
      </c>
      <c r="K90" s="1050">
        <v>10.902002401006685</v>
      </c>
      <c r="L90" s="1050">
        <v>11.622313273930342</v>
      </c>
      <c r="M90" s="1050">
        <v>8.8092072972420112</v>
      </c>
      <c r="N90" s="1050">
        <v>8.4393179300649965</v>
      </c>
      <c r="O90" s="260">
        <f t="shared" ref="O90:AR90" si="227">O107*($C90/mmBTU_to_GJ*$G90/$F90)</f>
        <v>9.9639823425462914</v>
      </c>
      <c r="P90" s="260">
        <f t="shared" si="227"/>
        <v>9.0210827052924731</v>
      </c>
      <c r="Q90" s="260">
        <f t="shared" si="227"/>
        <v>9.2425705107067522</v>
      </c>
      <c r="R90" s="260">
        <f t="shared" si="227"/>
        <v>10.103223803959281</v>
      </c>
      <c r="S90" s="260">
        <f t="shared" si="227"/>
        <v>9.9169647343242655</v>
      </c>
      <c r="T90" s="260">
        <f t="shared" si="227"/>
        <v>9.6996011439533945</v>
      </c>
      <c r="U90" s="260">
        <f t="shared" si="227"/>
        <v>10.015602303441456</v>
      </c>
      <c r="V90" s="260">
        <f t="shared" si="227"/>
        <v>10.462516434001412</v>
      </c>
      <c r="W90" s="260">
        <f t="shared" si="227"/>
        <v>10.615177995538126</v>
      </c>
      <c r="X90" s="260">
        <f t="shared" si="227"/>
        <v>10.553246941060452</v>
      </c>
      <c r="Y90" s="260">
        <f t="shared" si="227"/>
        <v>10.769181678282015</v>
      </c>
      <c r="Z90" s="260">
        <f t="shared" si="227"/>
        <v>10.850924309850123</v>
      </c>
      <c r="AA90" s="260">
        <f t="shared" si="227"/>
        <v>11.006898364407682</v>
      </c>
      <c r="AB90" s="260">
        <f t="shared" si="227"/>
        <v>11.260741632030943</v>
      </c>
      <c r="AC90" s="260">
        <f t="shared" si="227"/>
        <v>11.438522098348088</v>
      </c>
      <c r="AD90" s="260">
        <f t="shared" si="227"/>
        <v>11.543080790438088</v>
      </c>
      <c r="AE90" s="260">
        <f t="shared" si="227"/>
        <v>11.671986695413095</v>
      </c>
      <c r="AF90" s="260">
        <f t="shared" si="227"/>
        <v>11.850279769747228</v>
      </c>
      <c r="AG90" s="260">
        <f t="shared" si="227"/>
        <v>12.132482158553312</v>
      </c>
      <c r="AH90" s="260">
        <f t="shared" si="227"/>
        <v>12.445283131766116</v>
      </c>
      <c r="AI90" s="260">
        <f t="shared" si="227"/>
        <v>12.558691817798014</v>
      </c>
      <c r="AJ90" s="260">
        <f t="shared" si="227"/>
        <v>12.5569093651923</v>
      </c>
      <c r="AK90" s="260">
        <f t="shared" si="227"/>
        <v>12.763364745917485</v>
      </c>
      <c r="AL90" s="260">
        <f t="shared" si="227"/>
        <v>13.063076979503446</v>
      </c>
      <c r="AM90" s="260">
        <f t="shared" si="227"/>
        <v>13.291592296126769</v>
      </c>
      <c r="AN90" s="260">
        <f t="shared" si="227"/>
        <v>13.636518558317496</v>
      </c>
      <c r="AO90" s="260">
        <f t="shared" si="227"/>
        <v>13.752890585705739</v>
      </c>
      <c r="AP90" s="260">
        <f t="shared" si="227"/>
        <v>13.853987783746099</v>
      </c>
      <c r="AQ90" s="260">
        <f t="shared" si="227"/>
        <v>14.183892740727496</v>
      </c>
      <c r="AR90" s="260">
        <f t="shared" si="227"/>
        <v>14.541374007516533</v>
      </c>
      <c r="AS90" s="260">
        <f t="shared" ref="AS90:BA90" si="228">($BB90-$AR90)/10+AR90</f>
        <v>14.582843496133675</v>
      </c>
      <c r="AT90" s="260">
        <f t="shared" si="228"/>
        <v>14.624312984750818</v>
      </c>
      <c r="AU90" s="260">
        <f t="shared" si="228"/>
        <v>14.66578247336796</v>
      </c>
      <c r="AV90" s="260">
        <f t="shared" si="228"/>
        <v>14.707251961985103</v>
      </c>
      <c r="AW90" s="260">
        <f t="shared" si="228"/>
        <v>14.748721450602245</v>
      </c>
      <c r="AX90" s="260">
        <f t="shared" si="228"/>
        <v>14.790190939219388</v>
      </c>
      <c r="AY90" s="260">
        <f t="shared" si="228"/>
        <v>14.83166042783653</v>
      </c>
      <c r="AZ90" s="260">
        <f t="shared" si="228"/>
        <v>14.873129916453673</v>
      </c>
      <c r="BA90" s="260">
        <f t="shared" si="228"/>
        <v>14.914599405070815</v>
      </c>
      <c r="BB90" s="920">
        <f>'AEO Data'!$B$30*AM90</f>
        <v>14.956068893687954</v>
      </c>
      <c r="BC90" s="260">
        <f t="shared" si="224"/>
        <v>15.077935891497892</v>
      </c>
      <c r="BD90" s="260">
        <f t="shared" si="224"/>
        <v>15.199802889307831</v>
      </c>
      <c r="BE90" s="260">
        <f t="shared" si="224"/>
        <v>15.321669887117769</v>
      </c>
      <c r="BF90" s="260">
        <f t="shared" si="224"/>
        <v>15.443536884927708</v>
      </c>
      <c r="BG90" s="260">
        <f t="shared" si="224"/>
        <v>15.565403882737646</v>
      </c>
      <c r="BH90" s="260">
        <f t="shared" si="224"/>
        <v>15.687270880547585</v>
      </c>
      <c r="BI90" s="260">
        <f t="shared" si="224"/>
        <v>15.809137878357523</v>
      </c>
      <c r="BJ90" s="260">
        <f t="shared" si="224"/>
        <v>15.931004876167462</v>
      </c>
      <c r="BK90" s="260">
        <f t="shared" si="224"/>
        <v>16.052871873977402</v>
      </c>
      <c r="BL90" s="260">
        <f t="shared" si="224"/>
        <v>16.174738871787341</v>
      </c>
      <c r="BM90" s="260">
        <f t="shared" si="224"/>
        <v>16.296605869597279</v>
      </c>
      <c r="BN90" s="260">
        <f t="shared" si="224"/>
        <v>16.418472867407218</v>
      </c>
      <c r="BO90" s="260">
        <f t="shared" si="224"/>
        <v>16.540339865217156</v>
      </c>
      <c r="BP90" s="260">
        <f t="shared" si="224"/>
        <v>16.662206863027095</v>
      </c>
      <c r="BQ90" s="920">
        <f>'AEO Data'!$C$30*BB90</f>
        <v>16.784073860837033</v>
      </c>
      <c r="BR90" s="260">
        <f t="shared" si="225"/>
        <v>16.880009434991543</v>
      </c>
      <c r="BS90" s="260">
        <f t="shared" si="225"/>
        <v>16.975945009146052</v>
      </c>
      <c r="BT90" s="260">
        <f t="shared" si="225"/>
        <v>17.071880583300562</v>
      </c>
      <c r="BU90" s="260">
        <f t="shared" si="225"/>
        <v>17.167816157455071</v>
      </c>
      <c r="BV90" s="944">
        <f>'AEO Data'!$D$30*BQ90</f>
        <v>17.263751731609581</v>
      </c>
      <c r="BW90" s="1384">
        <f>+BV90*BW$134/BV$134</f>
        <v>17.321072463598775</v>
      </c>
      <c r="BX90" s="1384">
        <f t="shared" ref="BX90:CZ90" si="229">+BW90*BX$134/BW$134</f>
        <v>17.378583517272784</v>
      </c>
      <c r="BY90" s="1384">
        <f t="shared" si="229"/>
        <v>17.436285524555561</v>
      </c>
      <c r="BZ90" s="1384">
        <f t="shared" si="229"/>
        <v>17.494179119469241</v>
      </c>
      <c r="CA90" s="1384">
        <f t="shared" si="229"/>
        <v>17.552264938141089</v>
      </c>
      <c r="CB90" s="1384">
        <f t="shared" si="229"/>
        <v>17.589720211982893</v>
      </c>
      <c r="CC90" s="1384">
        <f t="shared" si="229"/>
        <v>17.627255412691312</v>
      </c>
      <c r="CD90" s="1384">
        <f t="shared" si="229"/>
        <v>17.664870710824552</v>
      </c>
      <c r="CE90" s="1384">
        <f t="shared" si="229"/>
        <v>17.702566277304761</v>
      </c>
      <c r="CF90" s="1384">
        <f t="shared" si="229"/>
        <v>17.740342283418837</v>
      </c>
      <c r="CG90" s="1384">
        <f t="shared" si="229"/>
        <v>17.752607912975723</v>
      </c>
      <c r="CH90" s="1384">
        <f t="shared" si="229"/>
        <v>17.764882022959085</v>
      </c>
      <c r="CI90" s="1384">
        <f t="shared" si="229"/>
        <v>17.77716461923227</v>
      </c>
      <c r="CJ90" s="1384">
        <f t="shared" si="229"/>
        <v>17.789455707662682</v>
      </c>
      <c r="CK90" s="1384">
        <f t="shared" si="229"/>
        <v>17.801755294121772</v>
      </c>
      <c r="CL90" s="1384">
        <f t="shared" si="229"/>
        <v>17.805924307948906</v>
      </c>
      <c r="CM90" s="1384">
        <f t="shared" si="229"/>
        <v>17.810094298122248</v>
      </c>
      <c r="CN90" s="1384">
        <f t="shared" si="229"/>
        <v>17.81426526487045</v>
      </c>
      <c r="CO90" s="1384">
        <f t="shared" si="229"/>
        <v>17.818437208422218</v>
      </c>
      <c r="CP90" s="1384">
        <f t="shared" si="229"/>
        <v>17.822610129006311</v>
      </c>
      <c r="CQ90" s="1384">
        <f t="shared" si="229"/>
        <v>17.828934590801964</v>
      </c>
      <c r="CR90" s="1384">
        <f t="shared" si="229"/>
        <v>17.835261296871419</v>
      </c>
      <c r="CS90" s="1384">
        <f t="shared" si="229"/>
        <v>17.84159024801107</v>
      </c>
      <c r="CT90" s="1384">
        <f t="shared" si="229"/>
        <v>17.847921445017597</v>
      </c>
      <c r="CU90" s="1384">
        <f t="shared" si="229"/>
        <v>17.854254888687954</v>
      </c>
      <c r="CV90" s="1384">
        <f t="shared" si="229"/>
        <v>17.864002085310659</v>
      </c>
      <c r="CW90" s="1384">
        <f t="shared" si="229"/>
        <v>17.873754603233113</v>
      </c>
      <c r="CX90" s="1384">
        <f t="shared" si="229"/>
        <v>17.883512445360374</v>
      </c>
      <c r="CY90" s="1384">
        <f t="shared" si="229"/>
        <v>17.893275614599098</v>
      </c>
      <c r="CZ90" s="1384">
        <f t="shared" si="229"/>
        <v>17.903044113857518</v>
      </c>
    </row>
    <row r="91" spans="1:104" x14ac:dyDescent="0.2">
      <c r="A91" s="854" t="str">
        <f>'HyARC Physical Property Data'!A72</f>
        <v>Industrial Natural Gas</v>
      </c>
      <c r="B91" s="260">
        <v>2012</v>
      </c>
      <c r="C91" s="855">
        <f t="shared" si="221"/>
        <v>1.0589185747008452</v>
      </c>
      <c r="D91" s="1239" t="str">
        <f>'HyARC Physical Property Data'!H72</f>
        <v>mmBtu</v>
      </c>
      <c r="E91" s="855" t="s">
        <v>1059</v>
      </c>
      <c r="F91" s="260">
        <f>'HyARC Physical Property Data'!$E$6</f>
        <v>47.141269049911173</v>
      </c>
      <c r="G91" s="260">
        <f>'HyARC Physical Property Data'!$I$6</f>
        <v>52.224661236371581</v>
      </c>
      <c r="H91" s="1050">
        <v>7.3783194821098821</v>
      </c>
      <c r="I91" s="1050">
        <v>7.3783194821098821</v>
      </c>
      <c r="J91" s="1050">
        <v>7.3783194821098821</v>
      </c>
      <c r="K91" s="1050">
        <v>7.3783194821098821</v>
      </c>
      <c r="L91" s="1050">
        <v>8.8676108815331158</v>
      </c>
      <c r="M91" s="1050">
        <v>4.0882509003775072</v>
      </c>
      <c r="N91" s="1050">
        <v>4.7404242582948717</v>
      </c>
      <c r="O91" s="260">
        <f t="shared" ref="O91:AR91" si="230">O108*($C91/mmBTU_to_GJ*$G91/$F91)</f>
        <v>5.6639494209981782</v>
      </c>
      <c r="P91" s="260">
        <f t="shared" si="230"/>
        <v>4.1936228360778802</v>
      </c>
      <c r="Q91" s="260">
        <f t="shared" si="230"/>
        <v>5.1091841203909469</v>
      </c>
      <c r="R91" s="260">
        <f t="shared" si="230"/>
        <v>5.3368743716159921</v>
      </c>
      <c r="S91" s="260">
        <f t="shared" si="230"/>
        <v>5.4922435264745477</v>
      </c>
      <c r="T91" s="260">
        <f t="shared" si="230"/>
        <v>5.7249186404765142</v>
      </c>
      <c r="U91" s="260">
        <f t="shared" si="230"/>
        <v>6.0332162243860541</v>
      </c>
      <c r="V91" s="260">
        <f t="shared" si="230"/>
        <v>6.5003155465564157</v>
      </c>
      <c r="W91" s="260">
        <f t="shared" si="230"/>
        <v>6.6134284544266668</v>
      </c>
      <c r="X91" s="260">
        <f t="shared" si="230"/>
        <v>6.4407629487996489</v>
      </c>
      <c r="Y91" s="260">
        <f t="shared" si="230"/>
        <v>6.5991877366965674</v>
      </c>
      <c r="Z91" s="260">
        <f t="shared" si="230"/>
        <v>6.6211298061092361</v>
      </c>
      <c r="AA91" s="260">
        <f t="shared" si="230"/>
        <v>6.729798257918957</v>
      </c>
      <c r="AB91" s="260">
        <f t="shared" si="230"/>
        <v>6.9245136919123249</v>
      </c>
      <c r="AC91" s="260">
        <f t="shared" si="230"/>
        <v>7.0285708954650996</v>
      </c>
      <c r="AD91" s="260">
        <f t="shared" si="230"/>
        <v>7.0676625385133827</v>
      </c>
      <c r="AE91" s="260">
        <f t="shared" si="230"/>
        <v>7.1490882649082979</v>
      </c>
      <c r="AF91" s="260">
        <f t="shared" si="230"/>
        <v>7.2626859820961345</v>
      </c>
      <c r="AG91" s="260">
        <f t="shared" si="230"/>
        <v>7.4897713336221727</v>
      </c>
      <c r="AH91" s="260">
        <f t="shared" si="230"/>
        <v>7.7715211596019786</v>
      </c>
      <c r="AI91" s="260">
        <f t="shared" si="230"/>
        <v>7.8991127420692164</v>
      </c>
      <c r="AJ91" s="260">
        <f t="shared" si="230"/>
        <v>8.0328945389194857</v>
      </c>
      <c r="AK91" s="260">
        <f t="shared" si="230"/>
        <v>8.2510220375499461</v>
      </c>
      <c r="AL91" s="260">
        <f t="shared" si="230"/>
        <v>8.4203839457399265</v>
      </c>
      <c r="AM91" s="260">
        <f t="shared" si="230"/>
        <v>8.6260409478182627</v>
      </c>
      <c r="AN91" s="260">
        <f t="shared" si="230"/>
        <v>8.9436310809641917</v>
      </c>
      <c r="AO91" s="260">
        <f t="shared" si="230"/>
        <v>9.0003437635899601</v>
      </c>
      <c r="AP91" s="260">
        <f t="shared" si="230"/>
        <v>9.040412808909247</v>
      </c>
      <c r="AQ91" s="260">
        <f t="shared" si="230"/>
        <v>9.2706004952886456</v>
      </c>
      <c r="AR91" s="260">
        <f t="shared" si="230"/>
        <v>9.5554192976825281</v>
      </c>
      <c r="AS91" s="260">
        <f t="shared" ref="AS91:BA91" si="231">($BB91-$AR91)/10+AR91</f>
        <v>9.5705034586117605</v>
      </c>
      <c r="AT91" s="260">
        <f t="shared" si="231"/>
        <v>9.585587619540993</v>
      </c>
      <c r="AU91" s="260">
        <f t="shared" si="231"/>
        <v>9.6006717804702255</v>
      </c>
      <c r="AV91" s="260">
        <f t="shared" si="231"/>
        <v>9.615755941399458</v>
      </c>
      <c r="AW91" s="260">
        <f t="shared" si="231"/>
        <v>9.6308401023286905</v>
      </c>
      <c r="AX91" s="260">
        <f t="shared" si="231"/>
        <v>9.645924263257923</v>
      </c>
      <c r="AY91" s="260">
        <f t="shared" si="231"/>
        <v>9.6610084241871554</v>
      </c>
      <c r="AZ91" s="260">
        <f t="shared" si="231"/>
        <v>9.6760925851163879</v>
      </c>
      <c r="BA91" s="260">
        <f t="shared" si="231"/>
        <v>9.6911767460456204</v>
      </c>
      <c r="BB91" s="920">
        <f>'AEO Data'!$B$30*AM91</f>
        <v>9.7062609069748458</v>
      </c>
      <c r="BC91" s="260">
        <f t="shared" si="224"/>
        <v>9.7853507323227493</v>
      </c>
      <c r="BD91" s="260">
        <f t="shared" si="224"/>
        <v>9.8644405576706529</v>
      </c>
      <c r="BE91" s="260">
        <f t="shared" si="224"/>
        <v>9.9435303830185564</v>
      </c>
      <c r="BF91" s="260">
        <f t="shared" si="224"/>
        <v>10.02262020836646</v>
      </c>
      <c r="BG91" s="260">
        <f t="shared" si="224"/>
        <v>10.101710033714363</v>
      </c>
      <c r="BH91" s="260">
        <f t="shared" si="224"/>
        <v>10.180799859062267</v>
      </c>
      <c r="BI91" s="260">
        <f t="shared" si="224"/>
        <v>10.259889684410171</v>
      </c>
      <c r="BJ91" s="260">
        <f t="shared" si="224"/>
        <v>10.338979509758074</v>
      </c>
      <c r="BK91" s="260">
        <f t="shared" si="224"/>
        <v>10.418069335105978</v>
      </c>
      <c r="BL91" s="260">
        <f t="shared" si="224"/>
        <v>10.497159160453881</v>
      </c>
      <c r="BM91" s="260">
        <f t="shared" si="224"/>
        <v>10.576248985801785</v>
      </c>
      <c r="BN91" s="260">
        <f t="shared" si="224"/>
        <v>10.655338811149688</v>
      </c>
      <c r="BO91" s="260">
        <f t="shared" si="224"/>
        <v>10.734428636497592</v>
      </c>
      <c r="BP91" s="260">
        <f t="shared" si="224"/>
        <v>10.813518461845495</v>
      </c>
      <c r="BQ91" s="920">
        <f>'AEO Data'!$C$30*BB91</f>
        <v>10.892608287193402</v>
      </c>
      <c r="BR91" s="260">
        <f t="shared" si="225"/>
        <v>10.954869013566299</v>
      </c>
      <c r="BS91" s="260">
        <f t="shared" si="225"/>
        <v>11.017129739939195</v>
      </c>
      <c r="BT91" s="260">
        <f t="shared" si="225"/>
        <v>11.079390466312091</v>
      </c>
      <c r="BU91" s="260">
        <f t="shared" si="225"/>
        <v>11.141651192684987</v>
      </c>
      <c r="BV91" s="944">
        <f>'AEO Data'!$D$30*BQ91</f>
        <v>11.203911919057887</v>
      </c>
      <c r="BW91" s="1384">
        <f>+BV91*BW$135/BV$135</f>
        <v>11.241112201031763</v>
      </c>
      <c r="BX91" s="1384">
        <f t="shared" ref="BX91:CZ91" si="232">+BW91*BX$135/BW$135</f>
        <v>11.278435998880177</v>
      </c>
      <c r="BY91" s="1384">
        <f t="shared" si="232"/>
        <v>11.315883722712151</v>
      </c>
      <c r="BZ91" s="1384">
        <f t="shared" si="232"/>
        <v>11.35345578399839</v>
      </c>
      <c r="CA91" s="1384">
        <f t="shared" si="232"/>
        <v>11.391152595575804</v>
      </c>
      <c r="CB91" s="1384">
        <f t="shared" si="232"/>
        <v>11.415460497794959</v>
      </c>
      <c r="CC91" s="1384">
        <f t="shared" si="232"/>
        <v>11.439820271333133</v>
      </c>
      <c r="CD91" s="1384">
        <f t="shared" si="232"/>
        <v>11.464232026880003</v>
      </c>
      <c r="CE91" s="1384">
        <f t="shared" si="232"/>
        <v>11.488695875361442</v>
      </c>
      <c r="CF91" s="1384">
        <f t="shared" si="232"/>
        <v>11.513211927940032</v>
      </c>
      <c r="CG91" s="1384">
        <f t="shared" si="232"/>
        <v>11.521172134697148</v>
      </c>
      <c r="CH91" s="1384">
        <f t="shared" si="232"/>
        <v>11.529137845121877</v>
      </c>
      <c r="CI91" s="1384">
        <f t="shared" si="232"/>
        <v>11.537109063019443</v>
      </c>
      <c r="CJ91" s="1384">
        <f t="shared" si="232"/>
        <v>11.545085792197696</v>
      </c>
      <c r="CK91" s="1384">
        <f t="shared" si="232"/>
        <v>11.553068036467128</v>
      </c>
      <c r="CL91" s="1384">
        <f t="shared" si="232"/>
        <v>11.55577366294014</v>
      </c>
      <c r="CM91" s="1384">
        <f t="shared" si="232"/>
        <v>11.558479923046971</v>
      </c>
      <c r="CN91" s="1384">
        <f t="shared" si="232"/>
        <v>11.56118681693601</v>
      </c>
      <c r="CO91" s="1384">
        <f t="shared" si="232"/>
        <v>11.563894344755685</v>
      </c>
      <c r="CP91" s="1384">
        <f t="shared" si="232"/>
        <v>11.566602506654455</v>
      </c>
      <c r="CQ91" s="1384">
        <f t="shared" si="232"/>
        <v>11.570706986028089</v>
      </c>
      <c r="CR91" s="1384">
        <f t="shared" si="232"/>
        <v>11.574812921901238</v>
      </c>
      <c r="CS91" s="1384">
        <f t="shared" si="232"/>
        <v>11.578920314790748</v>
      </c>
      <c r="CT91" s="1384">
        <f t="shared" si="232"/>
        <v>11.583029165213651</v>
      </c>
      <c r="CU91" s="1384">
        <f t="shared" si="232"/>
        <v>11.587139473687161</v>
      </c>
      <c r="CV91" s="1384">
        <f t="shared" si="232"/>
        <v>11.593465255829788</v>
      </c>
      <c r="CW91" s="1384">
        <f t="shared" si="232"/>
        <v>11.599794491414899</v>
      </c>
      <c r="CX91" s="1384">
        <f t="shared" si="232"/>
        <v>11.606127182327835</v>
      </c>
      <c r="CY91" s="1384">
        <f t="shared" si="232"/>
        <v>11.612463330454966</v>
      </c>
      <c r="CZ91" s="1384">
        <f t="shared" si="232"/>
        <v>11.618802937683697</v>
      </c>
    </row>
    <row r="92" spans="1:104" x14ac:dyDescent="0.2">
      <c r="A92" s="854" t="str">
        <f>'HyARC Physical Property Data'!A74</f>
        <v>Electric Utility Natural Gas</v>
      </c>
      <c r="B92" s="260">
        <v>2012</v>
      </c>
      <c r="C92" s="855">
        <f t="shared" si="221"/>
        <v>1.0589185747008452</v>
      </c>
      <c r="D92" s="1239" t="str">
        <f>'HyARC Physical Property Data'!H74</f>
        <v>mmBtu</v>
      </c>
      <c r="E92" s="855" t="s">
        <v>1059</v>
      </c>
      <c r="F92" s="260">
        <f>'HyARC Physical Property Data'!$E$6</f>
        <v>47.141269049911173</v>
      </c>
      <c r="G92" s="260">
        <f>'HyARC Physical Property Data'!$I$6</f>
        <v>52.224661236371581</v>
      </c>
      <c r="H92" s="1050">
        <v>7.0668336992239764</v>
      </c>
      <c r="I92" s="1050">
        <v>7.0668336992239764</v>
      </c>
      <c r="J92" s="1050">
        <v>7.0668336992239764</v>
      </c>
      <c r="K92" s="1050">
        <v>7.0668336992239764</v>
      </c>
      <c r="L92" s="1050">
        <v>8.8481430201027482</v>
      </c>
      <c r="M92" s="1050">
        <v>4.0298473160863999</v>
      </c>
      <c r="N92" s="1050">
        <v>4.7209563968645023</v>
      </c>
      <c r="O92" s="260">
        <f t="shared" ref="O92:AR92" si="233">O109*($C92/mmBTU_to_GJ*$G92/$F92)</f>
        <v>5.428419936541526</v>
      </c>
      <c r="P92" s="260">
        <f t="shared" si="233"/>
        <v>3.8227359244888057</v>
      </c>
      <c r="Q92" s="260">
        <f t="shared" si="233"/>
        <v>4.804318007935696</v>
      </c>
      <c r="R92" s="260">
        <f t="shared" si="233"/>
        <v>4.9697558517179701</v>
      </c>
      <c r="S92" s="260">
        <f t="shared" si="233"/>
        <v>4.9242593883272674</v>
      </c>
      <c r="T92" s="260">
        <f t="shared" si="233"/>
        <v>4.9757470274132745</v>
      </c>
      <c r="U92" s="260">
        <f t="shared" si="233"/>
        <v>5.2156664824796266</v>
      </c>
      <c r="V92" s="260">
        <f t="shared" si="233"/>
        <v>5.6287951857333169</v>
      </c>
      <c r="W92" s="260">
        <f t="shared" si="233"/>
        <v>5.7592455864471468</v>
      </c>
      <c r="X92" s="260">
        <f t="shared" si="233"/>
        <v>5.6424810414233342</v>
      </c>
      <c r="Y92" s="260">
        <f t="shared" si="233"/>
        <v>5.8292060172603444</v>
      </c>
      <c r="Z92" s="260">
        <f t="shared" si="233"/>
        <v>5.8870328717581808</v>
      </c>
      <c r="AA92" s="260">
        <f t="shared" si="233"/>
        <v>6.0268258593673236</v>
      </c>
      <c r="AB92" s="260">
        <f t="shared" si="233"/>
        <v>6.2516128144267338</v>
      </c>
      <c r="AC92" s="260">
        <f t="shared" si="233"/>
        <v>6.4022817651902537</v>
      </c>
      <c r="AD92" s="260">
        <f t="shared" si="233"/>
        <v>6.4648666450778842</v>
      </c>
      <c r="AE92" s="260">
        <f t="shared" si="233"/>
        <v>6.5662751885515531</v>
      </c>
      <c r="AF92" s="260">
        <f t="shared" si="233"/>
        <v>6.7024543452383245</v>
      </c>
      <c r="AG92" s="260">
        <f t="shared" si="233"/>
        <v>6.9426740262582278</v>
      </c>
      <c r="AH92" s="260">
        <f t="shared" si="233"/>
        <v>7.2203541226454542</v>
      </c>
      <c r="AI92" s="260">
        <f t="shared" si="233"/>
        <v>7.3578387062561834</v>
      </c>
      <c r="AJ92" s="260">
        <f t="shared" si="233"/>
        <v>7.4795914499008447</v>
      </c>
      <c r="AK92" s="260">
        <f t="shared" si="233"/>
        <v>7.7064221653403528</v>
      </c>
      <c r="AL92" s="260">
        <f t="shared" si="233"/>
        <v>7.8847308069461519</v>
      </c>
      <c r="AM92" s="260">
        <f t="shared" si="233"/>
        <v>8.102560303519013</v>
      </c>
      <c r="AN92" s="260">
        <f t="shared" si="233"/>
        <v>8.418335737567924</v>
      </c>
      <c r="AO92" s="260">
        <f t="shared" si="233"/>
        <v>8.4846512029154173</v>
      </c>
      <c r="AP92" s="260">
        <f t="shared" si="233"/>
        <v>8.5378634733123793</v>
      </c>
      <c r="AQ92" s="260">
        <f t="shared" si="233"/>
        <v>8.7815535439657371</v>
      </c>
      <c r="AR92" s="260">
        <f t="shared" si="233"/>
        <v>9.0721244532400576</v>
      </c>
      <c r="AS92" s="260">
        <f t="shared" ref="AS92:BA92" si="234">($BB92-$AR92)/10+AR92</f>
        <v>9.0766346022812474</v>
      </c>
      <c r="AT92" s="260">
        <f t="shared" si="234"/>
        <v>9.0811447513224373</v>
      </c>
      <c r="AU92" s="260">
        <f t="shared" si="234"/>
        <v>9.0856549003636271</v>
      </c>
      <c r="AV92" s="260">
        <f t="shared" si="234"/>
        <v>9.090165049404817</v>
      </c>
      <c r="AW92" s="260">
        <f t="shared" si="234"/>
        <v>9.0946751984460068</v>
      </c>
      <c r="AX92" s="260">
        <f t="shared" si="234"/>
        <v>9.0991853474871967</v>
      </c>
      <c r="AY92" s="260">
        <f t="shared" si="234"/>
        <v>9.1036954965283865</v>
      </c>
      <c r="AZ92" s="260">
        <f t="shared" si="234"/>
        <v>9.1082056455695763</v>
      </c>
      <c r="BA92" s="260">
        <f t="shared" si="234"/>
        <v>9.1127157946107662</v>
      </c>
      <c r="BB92" s="920">
        <f>'AEO Data'!$B$30*AM92</f>
        <v>9.1172259436519631</v>
      </c>
      <c r="BC92" s="260">
        <f t="shared" si="224"/>
        <v>9.1915161172266959</v>
      </c>
      <c r="BD92" s="260">
        <f t="shared" si="224"/>
        <v>9.2658062908014287</v>
      </c>
      <c r="BE92" s="260">
        <f t="shared" si="224"/>
        <v>9.3400964643761615</v>
      </c>
      <c r="BF92" s="260">
        <f t="shared" si="224"/>
        <v>9.4143866379508943</v>
      </c>
      <c r="BG92" s="260">
        <f t="shared" si="224"/>
        <v>9.488676811525627</v>
      </c>
      <c r="BH92" s="260">
        <f t="shared" si="224"/>
        <v>9.5629669851003598</v>
      </c>
      <c r="BI92" s="260">
        <f t="shared" si="224"/>
        <v>9.6372571586750926</v>
      </c>
      <c r="BJ92" s="260">
        <f t="shared" si="224"/>
        <v>9.7115473322498254</v>
      </c>
      <c r="BK92" s="260">
        <f t="shared" si="224"/>
        <v>9.7858375058245581</v>
      </c>
      <c r="BL92" s="260">
        <f t="shared" si="224"/>
        <v>9.8601276793992909</v>
      </c>
      <c r="BM92" s="260">
        <f t="shared" si="224"/>
        <v>9.9344178529740237</v>
      </c>
      <c r="BN92" s="260">
        <f t="shared" si="224"/>
        <v>10.008708026548756</v>
      </c>
      <c r="BO92" s="260">
        <f t="shared" si="224"/>
        <v>10.082998200123489</v>
      </c>
      <c r="BP92" s="260">
        <f t="shared" si="224"/>
        <v>10.157288373698222</v>
      </c>
      <c r="BQ92" s="920">
        <f>'AEO Data'!$C$30*BB92</f>
        <v>10.231578547272965</v>
      </c>
      <c r="BR92" s="260">
        <f t="shared" si="225"/>
        <v>10.2900609139843</v>
      </c>
      <c r="BS92" s="260">
        <f t="shared" si="225"/>
        <v>10.348543280695635</v>
      </c>
      <c r="BT92" s="260">
        <f t="shared" si="225"/>
        <v>10.40702564740697</v>
      </c>
      <c r="BU92" s="260">
        <f t="shared" si="225"/>
        <v>10.465508014118305</v>
      </c>
      <c r="BV92" s="944">
        <f>'AEO Data'!$D$30*BQ92</f>
        <v>10.523990380829638</v>
      </c>
      <c r="BW92" s="1384">
        <f>+BV92*BW$136/BV$136</f>
        <v>10.558933123372203</v>
      </c>
      <c r="BX92" s="1384">
        <f t="shared" ref="BX92:CZ92" si="235">+BW92*BX$136/BW$136</f>
        <v>10.593991886094585</v>
      </c>
      <c r="BY92" s="1384">
        <f t="shared" si="235"/>
        <v>10.6291670542179</v>
      </c>
      <c r="BZ92" s="1384">
        <f t="shared" si="235"/>
        <v>10.664459014242302</v>
      </c>
      <c r="CA92" s="1384">
        <f t="shared" si="235"/>
        <v>10.699868153951249</v>
      </c>
      <c r="CB92" s="1384">
        <f t="shared" si="235"/>
        <v>10.722700904777984</v>
      </c>
      <c r="CC92" s="1384">
        <f t="shared" si="235"/>
        <v>10.745582379056525</v>
      </c>
      <c r="CD92" s="1384">
        <f t="shared" si="235"/>
        <v>10.768512680759219</v>
      </c>
      <c r="CE92" s="1384">
        <f t="shared" si="235"/>
        <v>10.791491914080288</v>
      </c>
      <c r="CF92" s="1384">
        <f t="shared" si="235"/>
        <v>10.814520183436294</v>
      </c>
      <c r="CG92" s="1384">
        <f t="shared" si="235"/>
        <v>10.82199731641864</v>
      </c>
      <c r="CH92" s="1384">
        <f t="shared" si="235"/>
        <v>10.829479619072567</v>
      </c>
      <c r="CI92" s="1384">
        <f t="shared" si="235"/>
        <v>10.836967094972369</v>
      </c>
      <c r="CJ92" s="1384">
        <f t="shared" si="235"/>
        <v>10.84445974769482</v>
      </c>
      <c r="CK92" s="1384">
        <f t="shared" si="235"/>
        <v>10.851957580819162</v>
      </c>
      <c r="CL92" s="1384">
        <f t="shared" si="235"/>
        <v>10.854499013417151</v>
      </c>
      <c r="CM92" s="1384">
        <f t="shared" si="235"/>
        <v>10.857041041196203</v>
      </c>
      <c r="CN92" s="1384">
        <f t="shared" si="235"/>
        <v>10.859583664295704</v>
      </c>
      <c r="CO92" s="1384">
        <f t="shared" si="235"/>
        <v>10.862126882855071</v>
      </c>
      <c r="CP92" s="1384">
        <f t="shared" si="235"/>
        <v>10.864670697013759</v>
      </c>
      <c r="CQ92" s="1384">
        <f t="shared" si="235"/>
        <v>10.868526091607942</v>
      </c>
      <c r="CR92" s="1384">
        <f t="shared" si="235"/>
        <v>10.872382854312388</v>
      </c>
      <c r="CS92" s="1384">
        <f t="shared" si="235"/>
        <v>10.876240985612579</v>
      </c>
      <c r="CT92" s="1384">
        <f t="shared" si="235"/>
        <v>10.88010048599417</v>
      </c>
      <c r="CU92" s="1384">
        <f t="shared" si="235"/>
        <v>10.883961355942985</v>
      </c>
      <c r="CV92" s="1384">
        <f t="shared" si="235"/>
        <v>10.889903251140053</v>
      </c>
      <c r="CW92" s="1384">
        <f t="shared" si="235"/>
        <v>10.895848390203703</v>
      </c>
      <c r="CX92" s="1384">
        <f t="shared" si="235"/>
        <v>10.901796774904867</v>
      </c>
      <c r="CY92" s="1384">
        <f t="shared" si="235"/>
        <v>10.907748407015436</v>
      </c>
      <c r="CZ92" s="1384">
        <f t="shared" si="235"/>
        <v>10.913703288308273</v>
      </c>
    </row>
    <row r="93" spans="1:104" x14ac:dyDescent="0.2">
      <c r="A93" s="854" t="str">
        <f>'HyARC Physical Property Data'!A75</f>
        <v>Bio Methane</v>
      </c>
      <c r="B93" s="260">
        <v>2007</v>
      </c>
      <c r="C93" s="855">
        <f t="shared" si="221"/>
        <v>1.1446359956438654</v>
      </c>
      <c r="D93" s="1239" t="str">
        <f>'HyARC Physical Property Data'!H75</f>
        <v>mmBtu</v>
      </c>
      <c r="E93" s="855" t="s">
        <v>1059</v>
      </c>
      <c r="F93" s="260">
        <f>'HyARC Physical Property Data'!$E$6</f>
        <v>47.141269049911173</v>
      </c>
      <c r="G93" s="260">
        <f>'HyARC Physical Property Data'!$I$6</f>
        <v>52.224661236371581</v>
      </c>
      <c r="H93" s="1050">
        <v>12.42654028436019</v>
      </c>
      <c r="I93" s="1050">
        <v>12.42654028436019</v>
      </c>
      <c r="J93" s="1050">
        <v>12.42654028436019</v>
      </c>
      <c r="K93" s="1050">
        <v>12.42654028436019</v>
      </c>
      <c r="L93" s="1050">
        <v>12.42654028436019</v>
      </c>
      <c r="M93" s="1050">
        <v>12.42654028436019</v>
      </c>
      <c r="N93" s="1050">
        <v>12.42654028436019</v>
      </c>
      <c r="O93" s="260">
        <f t="shared" ref="O93:AM93" si="236">13.11*($C$93/mmBTU_to_GJ)</f>
        <v>14.223865310797228</v>
      </c>
      <c r="P93" s="260">
        <f t="shared" si="236"/>
        <v>14.223865310797228</v>
      </c>
      <c r="Q93" s="260">
        <f t="shared" si="236"/>
        <v>14.223865310797228</v>
      </c>
      <c r="R93" s="260">
        <f t="shared" si="236"/>
        <v>14.223865310797228</v>
      </c>
      <c r="S93" s="260">
        <f t="shared" si="236"/>
        <v>14.223865310797228</v>
      </c>
      <c r="T93" s="260">
        <f t="shared" si="236"/>
        <v>14.223865310797228</v>
      </c>
      <c r="U93" s="260">
        <f t="shared" si="236"/>
        <v>14.223865310797228</v>
      </c>
      <c r="V93" s="260">
        <f t="shared" si="236"/>
        <v>14.223865310797228</v>
      </c>
      <c r="W93" s="260">
        <f t="shared" si="236"/>
        <v>14.223865310797228</v>
      </c>
      <c r="X93" s="260">
        <f t="shared" si="236"/>
        <v>14.223865310797228</v>
      </c>
      <c r="Y93" s="260">
        <f t="shared" si="236"/>
        <v>14.223865310797228</v>
      </c>
      <c r="Z93" s="260">
        <f t="shared" si="236"/>
        <v>14.223865310797228</v>
      </c>
      <c r="AA93" s="260">
        <f t="shared" si="236"/>
        <v>14.223865310797228</v>
      </c>
      <c r="AB93" s="260">
        <f t="shared" si="236"/>
        <v>14.223865310797228</v>
      </c>
      <c r="AC93" s="260">
        <f t="shared" si="236"/>
        <v>14.223865310797228</v>
      </c>
      <c r="AD93" s="260">
        <f t="shared" si="236"/>
        <v>14.223865310797228</v>
      </c>
      <c r="AE93" s="260">
        <f t="shared" si="236"/>
        <v>14.223865310797228</v>
      </c>
      <c r="AF93" s="260">
        <f t="shared" si="236"/>
        <v>14.223865310797228</v>
      </c>
      <c r="AG93" s="260">
        <f t="shared" si="236"/>
        <v>14.223865310797228</v>
      </c>
      <c r="AH93" s="260">
        <f t="shared" si="236"/>
        <v>14.223865310797228</v>
      </c>
      <c r="AI93" s="260">
        <f t="shared" si="236"/>
        <v>14.223865310797228</v>
      </c>
      <c r="AJ93" s="260">
        <f t="shared" si="236"/>
        <v>14.223865310797228</v>
      </c>
      <c r="AK93" s="260">
        <f t="shared" si="236"/>
        <v>14.223865310797228</v>
      </c>
      <c r="AL93" s="260">
        <f t="shared" si="236"/>
        <v>14.223865310797228</v>
      </c>
      <c r="AM93" s="260">
        <f t="shared" si="236"/>
        <v>14.223865310797228</v>
      </c>
      <c r="AN93" s="260">
        <f t="shared" ref="AN93:BV93" si="237">13.11*($C$93/mmBTU_to_GJ)</f>
        <v>14.223865310797228</v>
      </c>
      <c r="AO93" s="260">
        <f t="shared" si="237"/>
        <v>14.223865310797228</v>
      </c>
      <c r="AP93" s="260">
        <f t="shared" si="237"/>
        <v>14.223865310797228</v>
      </c>
      <c r="AQ93" s="260">
        <f t="shared" si="237"/>
        <v>14.223865310797228</v>
      </c>
      <c r="AR93" s="260">
        <f t="shared" si="237"/>
        <v>14.223865310797228</v>
      </c>
      <c r="AS93" s="260">
        <f t="shared" si="237"/>
        <v>14.223865310797228</v>
      </c>
      <c r="AT93" s="260">
        <f t="shared" si="237"/>
        <v>14.223865310797228</v>
      </c>
      <c r="AU93" s="260">
        <f t="shared" si="237"/>
        <v>14.223865310797228</v>
      </c>
      <c r="AV93" s="260">
        <f t="shared" si="237"/>
        <v>14.223865310797228</v>
      </c>
      <c r="AW93" s="260">
        <f t="shared" si="237"/>
        <v>14.223865310797228</v>
      </c>
      <c r="AX93" s="260">
        <f t="shared" si="237"/>
        <v>14.223865310797228</v>
      </c>
      <c r="AY93" s="260">
        <f t="shared" si="237"/>
        <v>14.223865310797228</v>
      </c>
      <c r="AZ93" s="260">
        <f t="shared" si="237"/>
        <v>14.223865310797228</v>
      </c>
      <c r="BA93" s="260">
        <f t="shared" si="237"/>
        <v>14.223865310797228</v>
      </c>
      <c r="BB93" s="260">
        <f t="shared" si="237"/>
        <v>14.223865310797228</v>
      </c>
      <c r="BC93" s="260">
        <f t="shared" si="237"/>
        <v>14.223865310797228</v>
      </c>
      <c r="BD93" s="260">
        <f t="shared" si="237"/>
        <v>14.223865310797228</v>
      </c>
      <c r="BE93" s="260">
        <f t="shared" si="237"/>
        <v>14.223865310797228</v>
      </c>
      <c r="BF93" s="260">
        <f t="shared" si="237"/>
        <v>14.223865310797228</v>
      </c>
      <c r="BG93" s="260">
        <f t="shared" si="237"/>
        <v>14.223865310797228</v>
      </c>
      <c r="BH93" s="260">
        <f t="shared" si="237"/>
        <v>14.223865310797228</v>
      </c>
      <c r="BI93" s="260">
        <f t="shared" si="237"/>
        <v>14.223865310797228</v>
      </c>
      <c r="BJ93" s="260">
        <f t="shared" si="237"/>
        <v>14.223865310797228</v>
      </c>
      <c r="BK93" s="260">
        <f t="shared" si="237"/>
        <v>14.223865310797228</v>
      </c>
      <c r="BL93" s="260">
        <f t="shared" si="237"/>
        <v>14.223865310797228</v>
      </c>
      <c r="BM93" s="260">
        <f t="shared" si="237"/>
        <v>14.223865310797228</v>
      </c>
      <c r="BN93" s="260">
        <f t="shared" si="237"/>
        <v>14.223865310797228</v>
      </c>
      <c r="BO93" s="260">
        <f t="shared" si="237"/>
        <v>14.223865310797228</v>
      </c>
      <c r="BP93" s="260">
        <f t="shared" si="237"/>
        <v>14.223865310797228</v>
      </c>
      <c r="BQ93" s="260">
        <f t="shared" si="237"/>
        <v>14.223865310797228</v>
      </c>
      <c r="BR93" s="260">
        <f t="shared" si="237"/>
        <v>14.223865310797228</v>
      </c>
      <c r="BS93" s="260">
        <f t="shared" si="237"/>
        <v>14.223865310797228</v>
      </c>
      <c r="BT93" s="260">
        <f t="shared" si="237"/>
        <v>14.223865310797228</v>
      </c>
      <c r="BU93" s="260">
        <f t="shared" si="237"/>
        <v>14.223865310797228</v>
      </c>
      <c r="BV93" s="857">
        <f t="shared" si="237"/>
        <v>14.223865310797228</v>
      </c>
      <c r="BW93" s="1384">
        <f>+BV93*BW$136/BV$136</f>
        <v>14.271092726019944</v>
      </c>
      <c r="BX93" s="1384">
        <f t="shared" ref="BX93:CZ93" si="238">+BW93*BX$136/BW$136</f>
        <v>14.318476950147966</v>
      </c>
      <c r="BY93" s="1384">
        <f t="shared" si="238"/>
        <v>14.366018503832969</v>
      </c>
      <c r="BZ93" s="1384">
        <f t="shared" si="238"/>
        <v>14.413717909455341</v>
      </c>
      <c r="CA93" s="1384">
        <f t="shared" si="238"/>
        <v>14.461575691129934</v>
      </c>
      <c r="CB93" s="1384">
        <f t="shared" si="238"/>
        <v>14.49243565590395</v>
      </c>
      <c r="CC93" s="1384">
        <f t="shared" si="238"/>
        <v>14.523361473628309</v>
      </c>
      <c r="CD93" s="1384">
        <f t="shared" si="238"/>
        <v>14.554353284828478</v>
      </c>
      <c r="CE93" s="1384">
        <f t="shared" si="238"/>
        <v>14.585411230329802</v>
      </c>
      <c r="CF93" s="1384">
        <f t="shared" si="238"/>
        <v>14.616535451258134</v>
      </c>
      <c r="CG93" s="1384">
        <f t="shared" si="238"/>
        <v>14.626641288360148</v>
      </c>
      <c r="CH93" s="1384">
        <f t="shared" si="238"/>
        <v>14.636754112613382</v>
      </c>
      <c r="CI93" s="1384">
        <f t="shared" si="238"/>
        <v>14.646873928848736</v>
      </c>
      <c r="CJ93" s="1384">
        <f t="shared" si="238"/>
        <v>14.657000741900452</v>
      </c>
      <c r="CK93" s="1384">
        <f t="shared" si="238"/>
        <v>14.667134556606111</v>
      </c>
      <c r="CL93" s="1384">
        <f t="shared" si="238"/>
        <v>14.670569469948116</v>
      </c>
      <c r="CM93" s="1384">
        <f t="shared" si="238"/>
        <v>14.674005187716483</v>
      </c>
      <c r="CN93" s="1384">
        <f t="shared" si="238"/>
        <v>14.6774417100996</v>
      </c>
      <c r="CO93" s="1384">
        <f t="shared" si="238"/>
        <v>14.6808790372859</v>
      </c>
      <c r="CP93" s="1384">
        <f t="shared" si="238"/>
        <v>14.684317169463862</v>
      </c>
      <c r="CQ93" s="1384">
        <f t="shared" si="238"/>
        <v>14.689527988881515</v>
      </c>
      <c r="CR93" s="1384">
        <f t="shared" si="238"/>
        <v>14.69474065739019</v>
      </c>
      <c r="CS93" s="1384">
        <f t="shared" si="238"/>
        <v>14.699955175646044</v>
      </c>
      <c r="CT93" s="1384">
        <f t="shared" si="238"/>
        <v>14.705171544305472</v>
      </c>
      <c r="CU93" s="1384">
        <f t="shared" si="238"/>
        <v>14.710389764025104</v>
      </c>
      <c r="CV93" s="1384">
        <f t="shared" si="238"/>
        <v>14.718420626266095</v>
      </c>
      <c r="CW93" s="1384">
        <f t="shared" si="238"/>
        <v>14.726455872806168</v>
      </c>
      <c r="CX93" s="1384">
        <f t="shared" si="238"/>
        <v>14.734495506038849</v>
      </c>
      <c r="CY93" s="1384">
        <f t="shared" si="238"/>
        <v>14.74253952835897</v>
      </c>
      <c r="CZ93" s="1384">
        <f t="shared" si="238"/>
        <v>14.750587942162673</v>
      </c>
    </row>
    <row r="94" spans="1:104" x14ac:dyDescent="0.2">
      <c r="A94" s="945" t="str">
        <f>'HyARC Physical Property Data'!A85</f>
        <v>Woody Biomass</v>
      </c>
      <c r="B94" s="260">
        <v>2005</v>
      </c>
      <c r="C94" s="855">
        <f t="shared" si="221"/>
        <v>1.2112501494873942</v>
      </c>
      <c r="D94" s="1241" t="str">
        <f>+'HyARC Physical Property Data'!$H$85</f>
        <v>kg</v>
      </c>
      <c r="E94" s="855" t="s">
        <v>1059</v>
      </c>
      <c r="F94" s="260">
        <f>'HyARC Physical Property Data'!$E$45</f>
        <v>19.551069237418005</v>
      </c>
      <c r="G94" s="260">
        <f>'HyARC Physical Property Data'!$I$45</f>
        <v>20.588656379262464</v>
      </c>
      <c r="H94" s="1050">
        <v>1.3438238843289665</v>
      </c>
      <c r="I94" s="1050">
        <v>1.3438238843289665</v>
      </c>
      <c r="J94" s="1050">
        <v>1.3438238843289665</v>
      </c>
      <c r="K94" s="1050">
        <v>1.3438238843289665</v>
      </c>
      <c r="L94" s="1050">
        <v>1.3438238843289665</v>
      </c>
      <c r="M94" s="1050">
        <v>1.3438238843289665</v>
      </c>
      <c r="N94" s="1050">
        <v>1.3438238843289665</v>
      </c>
      <c r="O94" s="260">
        <f>1.27*($C$94)</f>
        <v>1.5382876898489906</v>
      </c>
      <c r="P94" s="260">
        <f>1.28*($C$94)</f>
        <v>1.5504001913438645</v>
      </c>
      <c r="Q94" s="260">
        <f>1.32*($C$94)</f>
        <v>1.5988501973233604</v>
      </c>
      <c r="R94" s="260">
        <f>1.32*($C$94)</f>
        <v>1.5988501973233604</v>
      </c>
      <c r="S94" s="260">
        <f>1.34*($C$94)</f>
        <v>1.6230752003131084</v>
      </c>
      <c r="T94" s="260">
        <f>1.34*($C$94)</f>
        <v>1.6230752003131084</v>
      </c>
      <c r="U94" s="260">
        <f>1.36*($C$94)</f>
        <v>1.6473002033028561</v>
      </c>
      <c r="V94" s="260">
        <f>1.36*($C$94)</f>
        <v>1.6473002033028561</v>
      </c>
      <c r="W94" s="260">
        <f>1.38*($C$94)</f>
        <v>1.6715252062926038</v>
      </c>
      <c r="X94" s="260">
        <f>1.4*($C$94)</f>
        <v>1.6957502092823518</v>
      </c>
      <c r="Y94" s="260">
        <f>1.46*($C$94)</f>
        <v>1.7684252182515954</v>
      </c>
      <c r="Z94" s="260">
        <f>1.48*($C$94)</f>
        <v>1.7926502212413433</v>
      </c>
      <c r="AA94" s="260">
        <f>1.48*($C$94)</f>
        <v>1.7926502212413433</v>
      </c>
      <c r="AB94" s="260">
        <f>1.51*($C$94)</f>
        <v>1.8289877257259652</v>
      </c>
      <c r="AC94" s="260">
        <f>1.52*($C$94)</f>
        <v>1.8411002272208392</v>
      </c>
      <c r="AD94" s="260">
        <f>1.62*($C$94)</f>
        <v>1.9622252421695787</v>
      </c>
      <c r="AE94" s="260">
        <f>1.72*($C$94)</f>
        <v>2.083350257118318</v>
      </c>
      <c r="AF94" s="260">
        <f>1.82*($C$94)</f>
        <v>2.2044752720670573</v>
      </c>
      <c r="AG94" s="260">
        <f>1.91*($C$94)</f>
        <v>2.3134877855209228</v>
      </c>
      <c r="AH94" s="260">
        <f>2.01*($C$94)</f>
        <v>2.4346128004696621</v>
      </c>
      <c r="AI94" s="260">
        <f>2.11*($C$94)</f>
        <v>2.5557378154184014</v>
      </c>
      <c r="AJ94" s="260">
        <f>2.2*($C$94)</f>
        <v>2.6647503288722674</v>
      </c>
      <c r="AK94" s="260">
        <f>2.3*($C$94)</f>
        <v>2.7858753438210062</v>
      </c>
      <c r="AL94" s="260">
        <f>2.4*($C$94)</f>
        <v>2.9070003587697459</v>
      </c>
      <c r="AM94" s="260">
        <f>2.5*($C$94)</f>
        <v>3.0281253737184857</v>
      </c>
      <c r="AN94" s="260">
        <f>2.57*($C$94)</f>
        <v>3.1129128841826028</v>
      </c>
      <c r="AO94" s="260">
        <f>2.64*($C$94)</f>
        <v>3.1977003946467208</v>
      </c>
      <c r="AP94" s="260">
        <f>2.71*($C$94)</f>
        <v>3.282487905110838</v>
      </c>
      <c r="AQ94" s="260">
        <f>2.78*($C$94)</f>
        <v>3.3672754155749556</v>
      </c>
      <c r="AR94" s="260">
        <f>2.85*($C$94)</f>
        <v>3.4520629260390736</v>
      </c>
      <c r="AS94" s="260">
        <f>2.92*($C$94)</f>
        <v>3.5368504365031908</v>
      </c>
      <c r="AT94" s="260">
        <f>2.99*($C$94)</f>
        <v>3.6216379469673088</v>
      </c>
      <c r="AU94" s="260">
        <f>3.07*($C$94)</f>
        <v>3.7185379589263001</v>
      </c>
      <c r="AV94" s="260">
        <f>3.14*($C$94)</f>
        <v>3.8033254693904177</v>
      </c>
      <c r="AW94" s="260">
        <f>3.21*($C$94)</f>
        <v>3.8881129798545353</v>
      </c>
      <c r="AX94" s="260">
        <f>3.28*($C$94)</f>
        <v>3.9729004903186529</v>
      </c>
      <c r="AY94" s="260">
        <f>3.35*($C$94)</f>
        <v>4.0576880007827709</v>
      </c>
      <c r="AZ94" s="260">
        <f>3.42*($C$94)</f>
        <v>4.1424755112468876</v>
      </c>
      <c r="BA94" s="260">
        <f>3.49*($C$94)</f>
        <v>4.2272630217110061</v>
      </c>
      <c r="BB94" s="260">
        <f>3.56*($C$94)</f>
        <v>4.3120505321751237</v>
      </c>
      <c r="BC94" s="260">
        <f>3.64*($C$94)</f>
        <v>4.4089505441341146</v>
      </c>
      <c r="BD94" s="260">
        <f>3.71*($C$94)</f>
        <v>4.4937380545982322</v>
      </c>
      <c r="BE94" s="260">
        <f>3.78*($C$94)</f>
        <v>4.5785255650623498</v>
      </c>
      <c r="BF94" s="260">
        <f>3.85*($C$94)</f>
        <v>4.6633130755264673</v>
      </c>
      <c r="BG94" s="260">
        <f>3.92*($C$94)</f>
        <v>4.7481005859905849</v>
      </c>
      <c r="BH94" s="260">
        <f>3.99*($C$94)</f>
        <v>4.8328880964547034</v>
      </c>
      <c r="BI94" s="260">
        <f>4.06*($C$94)</f>
        <v>4.9176756069188201</v>
      </c>
      <c r="BJ94" s="260">
        <f>4.14*($C$94)</f>
        <v>5.0145756188778119</v>
      </c>
      <c r="BK94" s="260">
        <f>4.21*($C$94)</f>
        <v>5.0993631293419295</v>
      </c>
      <c r="BL94" s="260">
        <f>4.28*($C$94)</f>
        <v>5.1841506398060471</v>
      </c>
      <c r="BM94" s="260">
        <f>4.35*($C$94)</f>
        <v>5.2689381502701647</v>
      </c>
      <c r="BN94" s="260">
        <f>4.42*($C$94)</f>
        <v>5.3537256607342822</v>
      </c>
      <c r="BO94" s="260">
        <f>4.49*($C$94)</f>
        <v>5.4385131711983998</v>
      </c>
      <c r="BP94" s="260">
        <f>4.56*($C$94)</f>
        <v>5.5233006816625174</v>
      </c>
      <c r="BQ94" s="260">
        <f>4.63*($C$94)</f>
        <v>5.608088192126635</v>
      </c>
      <c r="BR94" s="260">
        <f>4.71*($C$94)</f>
        <v>5.7049882040856268</v>
      </c>
      <c r="BS94" s="260">
        <f>4.78*($C$94)</f>
        <v>5.7897757145497444</v>
      </c>
      <c r="BT94" s="260">
        <f>4.85*($C$94)</f>
        <v>5.8745632250138611</v>
      </c>
      <c r="BU94" s="260">
        <f>4.92*($C$94)</f>
        <v>5.9593507354779796</v>
      </c>
      <c r="BV94" s="857">
        <f>4.99*($C$94)</f>
        <v>6.0441382459420971</v>
      </c>
      <c r="BW94" s="1384">
        <f>+BV94*BW$137/BV$137</f>
        <v>6.0586659764672328</v>
      </c>
      <c r="BX94" s="1384">
        <f t="shared" ref="BX94:CZ94" si="239">+BW94*BX$137/BW$137</f>
        <v>6.0732286259412112</v>
      </c>
      <c r="BY94" s="1384">
        <f t="shared" si="239"/>
        <v>6.0878262782954495</v>
      </c>
      <c r="BZ94" s="1384">
        <f t="shared" si="239"/>
        <v>6.1024590176630999</v>
      </c>
      <c r="CA94" s="1384">
        <f t="shared" si="239"/>
        <v>6.1171269283795393</v>
      </c>
      <c r="CB94" s="1384">
        <f t="shared" si="239"/>
        <v>6.1299667153690152</v>
      </c>
      <c r="CC94" s="1384">
        <f t="shared" si="239"/>
        <v>6.1428334529403346</v>
      </c>
      <c r="CD94" s="1384">
        <f t="shared" si="239"/>
        <v>6.155727197662495</v>
      </c>
      <c r="CE94" s="1384">
        <f t="shared" si="239"/>
        <v>6.1686480062232301</v>
      </c>
      <c r="CF94" s="1384">
        <f t="shared" si="239"/>
        <v>6.18159593542926</v>
      </c>
      <c r="CG94" s="1384">
        <f t="shared" si="239"/>
        <v>6.197524392005751</v>
      </c>
      <c r="CH94" s="1384">
        <f t="shared" si="239"/>
        <v>6.2134938923080965</v>
      </c>
      <c r="CI94" s="1384">
        <f t="shared" si="239"/>
        <v>6.229504542095909</v>
      </c>
      <c r="CJ94" s="1384">
        <f t="shared" si="239"/>
        <v>6.245556447401321</v>
      </c>
      <c r="CK94" s="1384">
        <f t="shared" si="239"/>
        <v>6.2616497145296828</v>
      </c>
      <c r="CL94" s="1384">
        <f t="shared" si="239"/>
        <v>6.2750522655841658</v>
      </c>
      <c r="CM94" s="1384">
        <f t="shared" si="239"/>
        <v>6.2884835037072264</v>
      </c>
      <c r="CN94" s="1384">
        <f t="shared" si="239"/>
        <v>6.3019434903011975</v>
      </c>
      <c r="CO94" s="1384">
        <f t="shared" si="239"/>
        <v>6.3154322868998385</v>
      </c>
      <c r="CP94" s="1384">
        <f t="shared" si="239"/>
        <v>6.3289499551686168</v>
      </c>
      <c r="CQ94" s="1384">
        <f t="shared" si="239"/>
        <v>6.3413225489579119</v>
      </c>
      <c r="CR94" s="1384">
        <f t="shared" si="239"/>
        <v>6.3537193301840116</v>
      </c>
      <c r="CS94" s="1384">
        <f t="shared" si="239"/>
        <v>6.3661403461314299</v>
      </c>
      <c r="CT94" s="1384">
        <f t="shared" si="239"/>
        <v>6.3785856441771198</v>
      </c>
      <c r="CU94" s="1384">
        <f t="shared" si="239"/>
        <v>6.3910552717906537</v>
      </c>
      <c r="CV94" s="1384">
        <f t="shared" si="239"/>
        <v>6.4057772391562917</v>
      </c>
      <c r="CW94" s="1384">
        <f t="shared" si="239"/>
        <v>6.4205331189689208</v>
      </c>
      <c r="CX94" s="1384">
        <f t="shared" si="239"/>
        <v>6.4353229893467718</v>
      </c>
      <c r="CY94" s="1384">
        <f t="shared" si="239"/>
        <v>6.4501469285880244</v>
      </c>
      <c r="CZ94" s="1384">
        <f t="shared" si="239"/>
        <v>6.4650050151712186</v>
      </c>
    </row>
    <row r="95" spans="1:104" x14ac:dyDescent="0.2">
      <c r="A95" s="891" t="str">
        <f>'HyARC Physical Property Data'!A80</f>
        <v>Metallurgical Coal</v>
      </c>
      <c r="B95" s="260">
        <v>2012</v>
      </c>
      <c r="C95" s="855">
        <f t="shared" si="221"/>
        <v>1.0589185747008452</v>
      </c>
      <c r="D95" s="1240" t="str">
        <f>+'HyARC Physical Property Data'!H80</f>
        <v>kg</v>
      </c>
      <c r="E95" s="882" t="s">
        <v>1053</v>
      </c>
      <c r="F95" s="260">
        <f>'HyARC Physical Property Data'!$E$44</f>
        <v>28.610197070281195</v>
      </c>
      <c r="G95" s="260">
        <f>'HyARC Physical Property Data'!$I$44</f>
        <v>29.865267156269461</v>
      </c>
      <c r="H95" s="1051">
        <v>3.3844321322674711</v>
      </c>
      <c r="I95" s="1051">
        <v>3.3844321322674711</v>
      </c>
      <c r="J95" s="1051">
        <v>3.3844321322674711</v>
      </c>
      <c r="K95" s="1051">
        <v>3.3844321322674711</v>
      </c>
      <c r="L95" s="1051">
        <v>4.1181843560652975</v>
      </c>
      <c r="M95" s="1051">
        <v>4.3291381204071717</v>
      </c>
      <c r="N95" s="1051">
        <v>4.4025133427869543</v>
      </c>
      <c r="O95" s="946">
        <f t="shared" ref="O95:AR95" si="240">O111*($C95/mmBTU_to_GJ*$G95/$F95)</f>
        <v>7.4754647098413036</v>
      </c>
      <c r="P95" s="946">
        <f t="shared" si="240"/>
        <v>7.5961523788362539</v>
      </c>
      <c r="Q95" s="946">
        <f t="shared" si="240"/>
        <v>7.7888515723825718</v>
      </c>
      <c r="R95" s="946">
        <f t="shared" si="240"/>
        <v>7.8710115565120651</v>
      </c>
      <c r="S95" s="946">
        <f t="shared" si="240"/>
        <v>8.1298664269345355</v>
      </c>
      <c r="T95" s="946">
        <f t="shared" si="240"/>
        <v>8.3275528874219908</v>
      </c>
      <c r="U95" s="946">
        <f t="shared" si="240"/>
        <v>8.4326459175194799</v>
      </c>
      <c r="V95" s="946">
        <f t="shared" si="240"/>
        <v>8.5820072281905144</v>
      </c>
      <c r="W95" s="946">
        <f t="shared" si="240"/>
        <v>8.6973241555173413</v>
      </c>
      <c r="X95" s="946">
        <f t="shared" si="240"/>
        <v>8.8306675382480098</v>
      </c>
      <c r="Y95" s="946">
        <f t="shared" si="240"/>
        <v>8.9332721736007059</v>
      </c>
      <c r="Z95" s="946">
        <f t="shared" si="240"/>
        <v>9.0455694993887992</v>
      </c>
      <c r="AA95" s="946">
        <f t="shared" si="240"/>
        <v>9.1556508441725821</v>
      </c>
      <c r="AB95" s="946">
        <f t="shared" si="240"/>
        <v>9.2678109153452777</v>
      </c>
      <c r="AC95" s="946">
        <f t="shared" si="240"/>
        <v>9.379158984022304</v>
      </c>
      <c r="AD95" s="946">
        <f t="shared" si="240"/>
        <v>9.4759674931736608</v>
      </c>
      <c r="AE95" s="946">
        <f t="shared" si="240"/>
        <v>9.5858141430425672</v>
      </c>
      <c r="AF95" s="946">
        <f t="shared" si="240"/>
        <v>9.7090321165885385</v>
      </c>
      <c r="AG95" s="946">
        <f t="shared" si="240"/>
        <v>9.8280622527471682</v>
      </c>
      <c r="AH95" s="946">
        <f t="shared" si="240"/>
        <v>9.9673233001172399</v>
      </c>
      <c r="AI95" s="946">
        <f t="shared" si="240"/>
        <v>10.050780392749491</v>
      </c>
      <c r="AJ95" s="946">
        <f t="shared" si="240"/>
        <v>10.135476967900939</v>
      </c>
      <c r="AK95" s="946">
        <f t="shared" si="240"/>
        <v>10.225183860386949</v>
      </c>
      <c r="AL95" s="946">
        <f t="shared" si="240"/>
        <v>10.307087146953293</v>
      </c>
      <c r="AM95" s="946">
        <f t="shared" si="240"/>
        <v>10.409246490614819</v>
      </c>
      <c r="AN95" s="260">
        <f t="shared" si="240"/>
        <v>10.490880506676149</v>
      </c>
      <c r="AO95" s="260">
        <f t="shared" si="240"/>
        <v>10.58291758438844</v>
      </c>
      <c r="AP95" s="260">
        <f t="shared" si="240"/>
        <v>10.589678683878184</v>
      </c>
      <c r="AQ95" s="260">
        <f t="shared" si="240"/>
        <v>10.619779354456332</v>
      </c>
      <c r="AR95" s="260">
        <f t="shared" si="240"/>
        <v>10.683904501220734</v>
      </c>
      <c r="AS95" s="260">
        <f>($BB95-$AR95)/10+AR95</f>
        <v>10.706641272001209</v>
      </c>
      <c r="AT95" s="260">
        <f t="shared" ref="AT95:BA95" si="241">($BB95-$AR95)/10+AS95</f>
        <v>10.729378042781683</v>
      </c>
      <c r="AU95" s="260">
        <f t="shared" si="241"/>
        <v>10.752114813562157</v>
      </c>
      <c r="AV95" s="260">
        <f t="shared" si="241"/>
        <v>10.774851584342631</v>
      </c>
      <c r="AW95" s="260">
        <f t="shared" si="241"/>
        <v>10.797588355123105</v>
      </c>
      <c r="AX95" s="260">
        <f t="shared" si="241"/>
        <v>10.82032512590358</v>
      </c>
      <c r="AY95" s="260">
        <f t="shared" si="241"/>
        <v>10.843061896684054</v>
      </c>
      <c r="AZ95" s="260">
        <f t="shared" si="241"/>
        <v>10.865798667464528</v>
      </c>
      <c r="BA95" s="260">
        <f t="shared" si="241"/>
        <v>10.888535438245002</v>
      </c>
      <c r="BB95" s="920">
        <f>('AEO Data'!$B$28*AM95)</f>
        <v>10.911272209025483</v>
      </c>
      <c r="BC95" s="260">
        <f t="shared" ref="BC95:BP95" si="242">($BQ95-$BB95)/15+BB95</f>
        <v>10.949564626152206</v>
      </c>
      <c r="BD95" s="260">
        <f t="shared" si="242"/>
        <v>10.987857043278929</v>
      </c>
      <c r="BE95" s="260">
        <f t="shared" si="242"/>
        <v>11.026149460405652</v>
      </c>
      <c r="BF95" s="260">
        <f t="shared" si="242"/>
        <v>11.064441877532374</v>
      </c>
      <c r="BG95" s="260">
        <f t="shared" si="242"/>
        <v>11.102734294659097</v>
      </c>
      <c r="BH95" s="260">
        <f t="shared" si="242"/>
        <v>11.14102671178582</v>
      </c>
      <c r="BI95" s="260">
        <f t="shared" si="242"/>
        <v>11.179319128912542</v>
      </c>
      <c r="BJ95" s="260">
        <f t="shared" si="242"/>
        <v>11.217611546039265</v>
      </c>
      <c r="BK95" s="260">
        <f t="shared" si="242"/>
        <v>11.255903963165988</v>
      </c>
      <c r="BL95" s="260">
        <f t="shared" si="242"/>
        <v>11.294196380292711</v>
      </c>
      <c r="BM95" s="260">
        <f t="shared" si="242"/>
        <v>11.332488797419433</v>
      </c>
      <c r="BN95" s="260">
        <f t="shared" si="242"/>
        <v>11.370781214546156</v>
      </c>
      <c r="BO95" s="260">
        <f t="shared" si="242"/>
        <v>11.409073631672879</v>
      </c>
      <c r="BP95" s="260">
        <f t="shared" si="242"/>
        <v>11.447366048799601</v>
      </c>
      <c r="BQ95" s="920">
        <f>('AEO Data'!$C$28*BB95)</f>
        <v>11.485658465926328</v>
      </c>
      <c r="BR95" s="260">
        <f t="shared" ref="BR95:BU100" si="243">($BV95-$BQ95)/5+BQ95</f>
        <v>11.522480349055732</v>
      </c>
      <c r="BS95" s="260">
        <f t="shared" si="243"/>
        <v>11.559302232185136</v>
      </c>
      <c r="BT95" s="260">
        <f t="shared" si="243"/>
        <v>11.59612411531454</v>
      </c>
      <c r="BU95" s="260">
        <f t="shared" si="243"/>
        <v>11.632945998443944</v>
      </c>
      <c r="BV95" s="944">
        <f>('AEO Data'!$D$28*BQ95)</f>
        <v>11.669767881573351</v>
      </c>
      <c r="BW95" s="1384">
        <f t="shared" ref="BW95:CZ95" si="244">+BV95*BW$138/BV$138</f>
        <v>11.709222844508201</v>
      </c>
      <c r="BX95" s="1384">
        <f t="shared" si="244"/>
        <v>11.748811202906952</v>
      </c>
      <c r="BY95" s="1384">
        <f t="shared" si="244"/>
        <v>11.788533407773697</v>
      </c>
      <c r="BZ95" s="1384">
        <f t="shared" si="244"/>
        <v>11.828389911637355</v>
      </c>
      <c r="CA95" s="1384">
        <f t="shared" si="244"/>
        <v>11.868381168556825</v>
      </c>
      <c r="CB95" s="1384">
        <f t="shared" si="244"/>
        <v>11.902362207175498</v>
      </c>
      <c r="CC95" s="1384">
        <f t="shared" si="244"/>
        <v>11.936440538842751</v>
      </c>
      <c r="CD95" s="1384">
        <f t="shared" si="244"/>
        <v>11.970616442123857</v>
      </c>
      <c r="CE95" s="1384">
        <f t="shared" si="244"/>
        <v>12.004890196381666</v>
      </c>
      <c r="CF95" s="1384">
        <f t="shared" si="244"/>
        <v>12.039262081778887</v>
      </c>
      <c r="CG95" s="1384">
        <f t="shared" si="244"/>
        <v>12.065505052077379</v>
      </c>
      <c r="CH95" s="1384">
        <f t="shared" si="244"/>
        <v>12.091805226337826</v>
      </c>
      <c r="CI95" s="1384">
        <f t="shared" si="244"/>
        <v>12.118162729252409</v>
      </c>
      <c r="CJ95" s="1384">
        <f t="shared" si="244"/>
        <v>12.144577685785119</v>
      </c>
      <c r="CK95" s="1384">
        <f t="shared" si="244"/>
        <v>12.171050221172331</v>
      </c>
      <c r="CL95" s="1384">
        <f t="shared" si="244"/>
        <v>12.188996392854733</v>
      </c>
      <c r="CM95" s="1384">
        <f t="shared" si="244"/>
        <v>12.206969026105547</v>
      </c>
      <c r="CN95" s="1384">
        <f t="shared" si="244"/>
        <v>12.224968159942263</v>
      </c>
      <c r="CO95" s="1384">
        <f t="shared" si="244"/>
        <v>12.242993833439904</v>
      </c>
      <c r="CP95" s="1384">
        <f t="shared" si="244"/>
        <v>12.261046085731108</v>
      </c>
      <c r="CQ95" s="1384">
        <f t="shared" si="244"/>
        <v>12.267091502720543</v>
      </c>
      <c r="CR95" s="1384">
        <f t="shared" si="244"/>
        <v>12.273139900456183</v>
      </c>
      <c r="CS95" s="1384">
        <f t="shared" si="244"/>
        <v>12.27919128040771</v>
      </c>
      <c r="CT95" s="1384">
        <f t="shared" si="244"/>
        <v>12.285245644045531</v>
      </c>
      <c r="CU95" s="1384">
        <f t="shared" si="244"/>
        <v>12.291302992840782</v>
      </c>
      <c r="CV95" s="1384">
        <f t="shared" si="244"/>
        <v>12.282597276301862</v>
      </c>
      <c r="CW95" s="1384">
        <f t="shared" si="244"/>
        <v>12.273897725870841</v>
      </c>
      <c r="CX95" s="1384">
        <f t="shared" si="244"/>
        <v>12.26520433718037</v>
      </c>
      <c r="CY95" s="1384">
        <f t="shared" si="244"/>
        <v>12.256517105866193</v>
      </c>
      <c r="CZ95" s="1384">
        <f t="shared" si="244"/>
        <v>12.247836027567152</v>
      </c>
    </row>
    <row r="96" spans="1:104" x14ac:dyDescent="0.2">
      <c r="A96" s="891" t="str">
        <f>'HyARC Physical Property Data'!A81</f>
        <v>Other Industrial Coal</v>
      </c>
      <c r="B96" s="260">
        <v>2012</v>
      </c>
      <c r="C96" s="855">
        <f t="shared" si="221"/>
        <v>1.0589185747008452</v>
      </c>
      <c r="D96" s="1240" t="str">
        <f>+'HyARC Physical Property Data'!H81</f>
        <v>kg</v>
      </c>
      <c r="E96" s="882" t="s">
        <v>1053</v>
      </c>
      <c r="F96" s="260">
        <f>'HyARC Physical Property Data'!$E$42</f>
        <v>22.7322030001394</v>
      </c>
      <c r="G96" s="260">
        <f>'HyARC Physical Property Data'!$I$42</f>
        <v>23.967615189707661</v>
      </c>
      <c r="H96" s="1051">
        <v>1.7045706620386931</v>
      </c>
      <c r="I96" s="1051">
        <v>1.7045706620386931</v>
      </c>
      <c r="J96" s="1051">
        <v>1.7045706620386931</v>
      </c>
      <c r="K96" s="1051">
        <v>1.7045706620386931</v>
      </c>
      <c r="L96" s="1051">
        <v>1.9454339077615519</v>
      </c>
      <c r="M96" s="1051">
        <v>2.0288096466656182</v>
      </c>
      <c r="N96" s="1051">
        <v>1.8805861108361666</v>
      </c>
      <c r="O96" s="946">
        <f t="shared" ref="O96:AR96" si="245">O112*($C96/mmBTU_to_GJ*$G96/$F96)</f>
        <v>3.5000719734406505</v>
      </c>
      <c r="P96" s="946">
        <f t="shared" si="245"/>
        <v>3.4283630486034649</v>
      </c>
      <c r="Q96" s="946">
        <f t="shared" si="245"/>
        <v>3.5082354103172322</v>
      </c>
      <c r="R96" s="946">
        <f t="shared" si="245"/>
        <v>3.4729360065765973</v>
      </c>
      <c r="S96" s="946">
        <f t="shared" si="245"/>
        <v>3.5728444520840283</v>
      </c>
      <c r="T96" s="946">
        <f t="shared" si="245"/>
        <v>3.6374683095257363</v>
      </c>
      <c r="U96" s="946">
        <f t="shared" si="245"/>
        <v>3.6626327333639828</v>
      </c>
      <c r="V96" s="946">
        <f t="shared" si="245"/>
        <v>3.7258057129267965</v>
      </c>
      <c r="W96" s="946">
        <f t="shared" si="245"/>
        <v>3.7685626924606996</v>
      </c>
      <c r="X96" s="946">
        <f t="shared" si="245"/>
        <v>3.8026038220962977</v>
      </c>
      <c r="Y96" s="946">
        <f t="shared" si="245"/>
        <v>3.8249701999011396</v>
      </c>
      <c r="Z96" s="946">
        <f t="shared" si="245"/>
        <v>3.8516352399554865</v>
      </c>
      <c r="AA96" s="946">
        <f t="shared" si="245"/>
        <v>3.8787257015323093</v>
      </c>
      <c r="AB96" s="946">
        <f t="shared" si="245"/>
        <v>3.9124059636575477</v>
      </c>
      <c r="AC96" s="946">
        <f t="shared" si="245"/>
        <v>3.9446681540411968</v>
      </c>
      <c r="AD96" s="946">
        <f t="shared" si="245"/>
        <v>3.9749376361491651</v>
      </c>
      <c r="AE96" s="946">
        <f t="shared" si="245"/>
        <v>4.0052642644317942</v>
      </c>
      <c r="AF96" s="946">
        <f t="shared" si="245"/>
        <v>4.0387455732082129</v>
      </c>
      <c r="AG96" s="946">
        <f t="shared" si="245"/>
        <v>4.0690235214161303</v>
      </c>
      <c r="AH96" s="946">
        <f t="shared" si="245"/>
        <v>4.1108047829308205</v>
      </c>
      <c r="AI96" s="946">
        <f t="shared" si="245"/>
        <v>4.1436733577233733</v>
      </c>
      <c r="AJ96" s="946">
        <f t="shared" si="245"/>
        <v>4.1746317687147547</v>
      </c>
      <c r="AK96" s="946">
        <f t="shared" si="245"/>
        <v>4.2078082978929805</v>
      </c>
      <c r="AL96" s="946">
        <f t="shared" si="245"/>
        <v>4.2335251347529512</v>
      </c>
      <c r="AM96" s="946">
        <f t="shared" si="245"/>
        <v>4.2641893487710778</v>
      </c>
      <c r="AN96" s="260">
        <f t="shared" si="245"/>
        <v>4.2965838219664425</v>
      </c>
      <c r="AO96" s="260">
        <f t="shared" si="245"/>
        <v>4.3287105547508951</v>
      </c>
      <c r="AP96" s="260">
        <f t="shared" si="245"/>
        <v>4.3570423582328557</v>
      </c>
      <c r="AQ96" s="260">
        <f t="shared" si="245"/>
        <v>4.3910559730436169</v>
      </c>
      <c r="AR96" s="260">
        <f t="shared" si="245"/>
        <v>4.4340140224513274</v>
      </c>
      <c r="AS96" s="260">
        <f t="shared" ref="AS96:BA96" si="246">($BB96-$AR96)/10+AR96</f>
        <v>4.4375972389028373</v>
      </c>
      <c r="AT96" s="260">
        <f t="shared" si="246"/>
        <v>4.4411804553543472</v>
      </c>
      <c r="AU96" s="260">
        <f t="shared" si="246"/>
        <v>4.4447636718058572</v>
      </c>
      <c r="AV96" s="260">
        <f t="shared" si="246"/>
        <v>4.4483468882573671</v>
      </c>
      <c r="AW96" s="260">
        <f t="shared" si="246"/>
        <v>4.4519301047088771</v>
      </c>
      <c r="AX96" s="260">
        <f t="shared" si="246"/>
        <v>4.455513321160387</v>
      </c>
      <c r="AY96" s="260">
        <f t="shared" si="246"/>
        <v>4.4590965376118969</v>
      </c>
      <c r="AZ96" s="260">
        <f t="shared" si="246"/>
        <v>4.4626797540634069</v>
      </c>
      <c r="BA96" s="260">
        <f t="shared" si="246"/>
        <v>4.4662629705149168</v>
      </c>
      <c r="BB96" s="920">
        <f>('AEO Data'!$B$28*AM96)</f>
        <v>4.4698461869664294</v>
      </c>
      <c r="BC96" s="260">
        <f t="shared" ref="BC96:BP96" si="247">($BQ96-$BB96)/15+BB96</f>
        <v>4.4855328283960176</v>
      </c>
      <c r="BD96" s="260">
        <f t="shared" si="247"/>
        <v>4.5012194698256058</v>
      </c>
      <c r="BE96" s="260">
        <f t="shared" si="247"/>
        <v>4.516906111255194</v>
      </c>
      <c r="BF96" s="260">
        <f t="shared" si="247"/>
        <v>4.5325927526847822</v>
      </c>
      <c r="BG96" s="260">
        <f t="shared" si="247"/>
        <v>4.5482793941143704</v>
      </c>
      <c r="BH96" s="260">
        <f t="shared" si="247"/>
        <v>4.5639660355439586</v>
      </c>
      <c r="BI96" s="260">
        <f t="shared" si="247"/>
        <v>4.5796526769735468</v>
      </c>
      <c r="BJ96" s="260">
        <f t="shared" si="247"/>
        <v>4.595339318403135</v>
      </c>
      <c r="BK96" s="260">
        <f t="shared" si="247"/>
        <v>4.6110259598327232</v>
      </c>
      <c r="BL96" s="260">
        <f t="shared" si="247"/>
        <v>4.6267126012623114</v>
      </c>
      <c r="BM96" s="260">
        <f t="shared" si="247"/>
        <v>4.6423992426918996</v>
      </c>
      <c r="BN96" s="260">
        <f t="shared" si="247"/>
        <v>4.6580858841214878</v>
      </c>
      <c r="BO96" s="260">
        <f t="shared" si="247"/>
        <v>4.673772525551076</v>
      </c>
      <c r="BP96" s="260">
        <f t="shared" si="247"/>
        <v>4.6894591669806642</v>
      </c>
      <c r="BQ96" s="920">
        <f>('AEO Data'!$C$28*BB96)</f>
        <v>4.705145808410248</v>
      </c>
      <c r="BR96" s="260">
        <f t="shared" si="243"/>
        <v>4.7202300397216757</v>
      </c>
      <c r="BS96" s="260">
        <f t="shared" si="243"/>
        <v>4.7353142710331033</v>
      </c>
      <c r="BT96" s="260">
        <f t="shared" si="243"/>
        <v>4.750398502344531</v>
      </c>
      <c r="BU96" s="260">
        <f t="shared" si="243"/>
        <v>4.7654827336559586</v>
      </c>
      <c r="BV96" s="944">
        <f>('AEO Data'!$D$28*BQ96)</f>
        <v>4.7805669649673872</v>
      </c>
      <c r="BW96" s="1384">
        <f t="shared" ref="BW96:CZ96" si="248">+BV96*BW$138/BV$138</f>
        <v>4.7967298479248255</v>
      </c>
      <c r="BX96" s="1384">
        <f t="shared" si="248"/>
        <v>4.8129473768661839</v>
      </c>
      <c r="BY96" s="1384">
        <f t="shared" si="248"/>
        <v>4.8292197365470884</v>
      </c>
      <c r="BZ96" s="1384">
        <f t="shared" si="248"/>
        <v>4.8455471123478153</v>
      </c>
      <c r="CA96" s="1384">
        <f t="shared" si="248"/>
        <v>4.8619296902754039</v>
      </c>
      <c r="CB96" s="1384">
        <f t="shared" si="248"/>
        <v>4.8758501583004978</v>
      </c>
      <c r="CC96" s="1384">
        <f t="shared" si="248"/>
        <v>4.8898104828110576</v>
      </c>
      <c r="CD96" s="1384">
        <f t="shared" si="248"/>
        <v>4.9038107779224589</v>
      </c>
      <c r="CE96" s="1384">
        <f t="shared" si="248"/>
        <v>4.9178511580768074</v>
      </c>
      <c r="CF96" s="1384">
        <f t="shared" si="248"/>
        <v>4.9319317380438736</v>
      </c>
      <c r="CG96" s="1384">
        <f t="shared" si="248"/>
        <v>4.9426822755134054</v>
      </c>
      <c r="CH96" s="1384">
        <f t="shared" si="248"/>
        <v>4.9534562468141461</v>
      </c>
      <c r="CI96" s="1384">
        <f t="shared" si="248"/>
        <v>4.9642537030267464</v>
      </c>
      <c r="CJ96" s="1384">
        <f t="shared" si="248"/>
        <v>4.9750746953432019</v>
      </c>
      <c r="CK96" s="1384">
        <f t="shared" si="248"/>
        <v>4.9859192750670944</v>
      </c>
      <c r="CL96" s="1384">
        <f t="shared" si="248"/>
        <v>4.993270995886494</v>
      </c>
      <c r="CM96" s="1384">
        <f t="shared" si="248"/>
        <v>5.0006335567929519</v>
      </c>
      <c r="CN96" s="1384">
        <f t="shared" si="248"/>
        <v>5.0080069737701391</v>
      </c>
      <c r="CO96" s="1384">
        <f t="shared" si="248"/>
        <v>5.015391262825295</v>
      </c>
      <c r="CP96" s="1384">
        <f t="shared" si="248"/>
        <v>5.0227864399892601</v>
      </c>
      <c r="CQ96" s="1384">
        <f t="shared" si="248"/>
        <v>5.0252629691749675</v>
      </c>
      <c r="CR96" s="1384">
        <f t="shared" si="248"/>
        <v>5.0277407194352479</v>
      </c>
      <c r="CS96" s="1384">
        <f t="shared" si="248"/>
        <v>5.0302196913721628</v>
      </c>
      <c r="CT96" s="1384">
        <f t="shared" si="248"/>
        <v>5.0326998855880705</v>
      </c>
      <c r="CU96" s="1384">
        <f t="shared" si="248"/>
        <v>5.0351813026856274</v>
      </c>
      <c r="CV96" s="1384">
        <f t="shared" si="248"/>
        <v>5.0316149711771789</v>
      </c>
      <c r="CW96" s="1384">
        <f t="shared" si="248"/>
        <v>5.0280511656394289</v>
      </c>
      <c r="CX96" s="1384">
        <f t="shared" si="248"/>
        <v>5.024489884283275</v>
      </c>
      <c r="CY96" s="1384">
        <f t="shared" si="248"/>
        <v>5.0209311253208835</v>
      </c>
      <c r="CZ96" s="1384">
        <f t="shared" si="248"/>
        <v>5.0173748869656869</v>
      </c>
    </row>
    <row r="97" spans="1:104" x14ac:dyDescent="0.2">
      <c r="A97" s="891" t="str">
        <f>'HyARC Physical Property Data'!A79</f>
        <v>Electric Utility Steam Coal</v>
      </c>
      <c r="B97" s="260">
        <v>2012</v>
      </c>
      <c r="C97" s="855">
        <f t="shared" si="221"/>
        <v>1.0589185747008452</v>
      </c>
      <c r="D97" s="1241" t="str">
        <f>+'HyARC Physical Property Data'!$H$79</f>
        <v>kg</v>
      </c>
      <c r="E97" s="882" t="s">
        <v>1053</v>
      </c>
      <c r="F97" s="260">
        <f>'HyARC Physical Property Data'!$E$42</f>
        <v>22.7322030001394</v>
      </c>
      <c r="G97" s="260">
        <f>'HyARC Physical Property Data'!$I$42</f>
        <v>23.967615189707661</v>
      </c>
      <c r="H97" s="1050">
        <v>1.6675147780813302</v>
      </c>
      <c r="I97" s="1050">
        <v>1.6675147780813302</v>
      </c>
      <c r="J97" s="1050">
        <v>1.6675147780813302</v>
      </c>
      <c r="K97" s="1050">
        <v>1.6675147780813302</v>
      </c>
      <c r="L97" s="1050">
        <v>1.899114052814848</v>
      </c>
      <c r="M97" s="1050">
        <v>1.9917537627082553</v>
      </c>
      <c r="N97" s="1050">
        <v>1.8435302268788039</v>
      </c>
      <c r="O97" s="260">
        <f t="shared" ref="O97:AR97" si="249">O113*($C97/mmBTU_to_GJ*$G97/$F97)</f>
        <v>2.563508608233021</v>
      </c>
      <c r="P97" s="260">
        <f t="shared" si="249"/>
        <v>2.5292473599987289</v>
      </c>
      <c r="Q97" s="260">
        <f t="shared" si="249"/>
        <v>2.512156420725097</v>
      </c>
      <c r="R97" s="260">
        <f t="shared" si="249"/>
        <v>2.4655759388013712</v>
      </c>
      <c r="S97" s="260">
        <f t="shared" si="249"/>
        <v>2.5439953061112566</v>
      </c>
      <c r="T97" s="260">
        <f t="shared" si="249"/>
        <v>2.5633361114465441</v>
      </c>
      <c r="U97" s="260">
        <f t="shared" si="249"/>
        <v>2.6312374078313132</v>
      </c>
      <c r="V97" s="260">
        <f t="shared" si="249"/>
        <v>2.6989005951549947</v>
      </c>
      <c r="W97" s="260">
        <f t="shared" si="249"/>
        <v>2.7399495390240283</v>
      </c>
      <c r="X97" s="260">
        <f t="shared" si="249"/>
        <v>2.7634874134094223</v>
      </c>
      <c r="Y97" s="260">
        <f t="shared" si="249"/>
        <v>2.7969877709107278</v>
      </c>
      <c r="Z97" s="260">
        <f t="shared" si="249"/>
        <v>2.8315834300930369</v>
      </c>
      <c r="AA97" s="260">
        <f t="shared" si="249"/>
        <v>2.8599236996749471</v>
      </c>
      <c r="AB97" s="260">
        <f t="shared" si="249"/>
        <v>2.8986106016579902</v>
      </c>
      <c r="AC97" s="260">
        <f t="shared" si="249"/>
        <v>2.9354709425768672</v>
      </c>
      <c r="AD97" s="260">
        <f t="shared" si="249"/>
        <v>2.9708190263922138</v>
      </c>
      <c r="AE97" s="260">
        <f t="shared" si="249"/>
        <v>3.0020991491816877</v>
      </c>
      <c r="AF97" s="260">
        <f t="shared" si="249"/>
        <v>3.0319082871048861</v>
      </c>
      <c r="AG97" s="260">
        <f t="shared" si="249"/>
        <v>3.0598453586766876</v>
      </c>
      <c r="AH97" s="260">
        <f t="shared" si="249"/>
        <v>3.0960559264244187</v>
      </c>
      <c r="AI97" s="260">
        <f t="shared" si="249"/>
        <v>3.1212584477124392</v>
      </c>
      <c r="AJ97" s="260">
        <f t="shared" si="249"/>
        <v>3.1476800873932294</v>
      </c>
      <c r="AK97" s="260">
        <f t="shared" si="249"/>
        <v>3.1754446621785544</v>
      </c>
      <c r="AL97" s="260">
        <f t="shared" si="249"/>
        <v>3.2007075044287174</v>
      </c>
      <c r="AM97" s="260">
        <f t="shared" si="249"/>
        <v>3.2277789172806535</v>
      </c>
      <c r="AN97" s="260">
        <f t="shared" si="249"/>
        <v>3.2553731118044889</v>
      </c>
      <c r="AO97" s="260">
        <f t="shared" si="249"/>
        <v>3.279584041135891</v>
      </c>
      <c r="AP97" s="260">
        <f t="shared" si="249"/>
        <v>3.3026478139240969</v>
      </c>
      <c r="AQ97" s="260">
        <f t="shared" si="249"/>
        <v>3.3375450779171172</v>
      </c>
      <c r="AR97" s="260">
        <f t="shared" si="249"/>
        <v>3.3755134196669223</v>
      </c>
      <c r="AS97" s="260">
        <f t="shared" ref="AS97:BA97" si="250">($BB97-$AR97)/10+AR97</f>
        <v>3.3763071676042595</v>
      </c>
      <c r="AT97" s="260">
        <f t="shared" si="250"/>
        <v>3.3771009155415967</v>
      </c>
      <c r="AU97" s="260">
        <f t="shared" si="250"/>
        <v>3.377894663478934</v>
      </c>
      <c r="AV97" s="260">
        <f t="shared" si="250"/>
        <v>3.3786884114162712</v>
      </c>
      <c r="AW97" s="260">
        <f t="shared" si="250"/>
        <v>3.3794821593536084</v>
      </c>
      <c r="AX97" s="260">
        <f t="shared" si="250"/>
        <v>3.3802759072909456</v>
      </c>
      <c r="AY97" s="260">
        <f t="shared" si="250"/>
        <v>3.3810696552282828</v>
      </c>
      <c r="AZ97" s="260">
        <f t="shared" si="250"/>
        <v>3.3818634031656201</v>
      </c>
      <c r="BA97" s="260">
        <f t="shared" si="250"/>
        <v>3.3826571511029573</v>
      </c>
      <c r="BB97" s="920">
        <f>('AEO Data'!$B$28*AM97)</f>
        <v>3.3834508990402963</v>
      </c>
      <c r="BC97" s="260">
        <f t="shared" ref="BC97:BP97" si="251">($BQ97-$BB97)/15+BB97</f>
        <v>3.3953249051755909</v>
      </c>
      <c r="BD97" s="260">
        <f t="shared" si="251"/>
        <v>3.4071989113108856</v>
      </c>
      <c r="BE97" s="260">
        <f t="shared" si="251"/>
        <v>3.4190729174461802</v>
      </c>
      <c r="BF97" s="260">
        <f t="shared" si="251"/>
        <v>3.4309469235814749</v>
      </c>
      <c r="BG97" s="260">
        <f t="shared" si="251"/>
        <v>3.4428209297167696</v>
      </c>
      <c r="BH97" s="260">
        <f t="shared" si="251"/>
        <v>3.4546949358520642</v>
      </c>
      <c r="BI97" s="260">
        <f t="shared" si="251"/>
        <v>3.4665689419873589</v>
      </c>
      <c r="BJ97" s="260">
        <f t="shared" si="251"/>
        <v>3.4784429481226535</v>
      </c>
      <c r="BK97" s="260">
        <f t="shared" si="251"/>
        <v>3.4903169542579482</v>
      </c>
      <c r="BL97" s="260">
        <f t="shared" si="251"/>
        <v>3.5021909603932428</v>
      </c>
      <c r="BM97" s="260">
        <f t="shared" si="251"/>
        <v>3.5140649665285375</v>
      </c>
      <c r="BN97" s="260">
        <f t="shared" si="251"/>
        <v>3.5259389726638322</v>
      </c>
      <c r="BO97" s="260">
        <f t="shared" si="251"/>
        <v>3.5378129787991268</v>
      </c>
      <c r="BP97" s="260">
        <f t="shared" si="251"/>
        <v>3.5496869849344215</v>
      </c>
      <c r="BQ97" s="920">
        <f>('AEO Data'!$C$28*BB97)</f>
        <v>3.5615609910697135</v>
      </c>
      <c r="BR97" s="260">
        <f t="shared" si="243"/>
        <v>3.5729790027545003</v>
      </c>
      <c r="BS97" s="260">
        <f t="shared" si="243"/>
        <v>3.5843970144392872</v>
      </c>
      <c r="BT97" s="260">
        <f t="shared" si="243"/>
        <v>3.595815026124074</v>
      </c>
      <c r="BU97" s="260">
        <f t="shared" si="243"/>
        <v>3.6072330378088608</v>
      </c>
      <c r="BV97" s="944">
        <f>('AEO Data'!$D$28*BQ97)</f>
        <v>3.6186510494936472</v>
      </c>
      <c r="BW97" s="1384">
        <f t="shared" ref="BW97:CZ97" si="252">+BV97*BW$138/BV$138</f>
        <v>3.6308855467416481</v>
      </c>
      <c r="BX97" s="1384">
        <f t="shared" si="252"/>
        <v>3.6431614082772978</v>
      </c>
      <c r="BY97" s="1384">
        <f t="shared" si="252"/>
        <v>3.6554787739514016</v>
      </c>
      <c r="BZ97" s="1384">
        <f t="shared" si="252"/>
        <v>3.6678377840875944</v>
      </c>
      <c r="CA97" s="1384">
        <f t="shared" si="252"/>
        <v>3.6802385794839378</v>
      </c>
      <c r="CB97" s="1384">
        <f t="shared" si="252"/>
        <v>3.6907756803336049</v>
      </c>
      <c r="CC97" s="1384">
        <f t="shared" si="252"/>
        <v>3.701342950557327</v>
      </c>
      <c r="CD97" s="1384">
        <f t="shared" si="252"/>
        <v>3.7119404765347586</v>
      </c>
      <c r="CE97" s="1384">
        <f t="shared" si="252"/>
        <v>3.7225683448928724</v>
      </c>
      <c r="CF97" s="1384">
        <f t="shared" si="252"/>
        <v>3.7332266425066685</v>
      </c>
      <c r="CG97" s="1384">
        <f t="shared" si="252"/>
        <v>3.7413642638352314</v>
      </c>
      <c r="CH97" s="1384">
        <f t="shared" si="252"/>
        <v>3.7495196234066683</v>
      </c>
      <c r="CI97" s="1384">
        <f t="shared" si="252"/>
        <v>3.7576927598864862</v>
      </c>
      <c r="CJ97" s="1384">
        <f t="shared" si="252"/>
        <v>3.7658837120244759</v>
      </c>
      <c r="CK97" s="1384">
        <f t="shared" si="252"/>
        <v>3.7740925186548933</v>
      </c>
      <c r="CL97" s="1384">
        <f t="shared" si="252"/>
        <v>3.7796574050906777</v>
      </c>
      <c r="CM97" s="1384">
        <f t="shared" si="252"/>
        <v>3.785230496932368</v>
      </c>
      <c r="CN97" s="1384">
        <f t="shared" si="252"/>
        <v>3.7908118062788079</v>
      </c>
      <c r="CO97" s="1384">
        <f t="shared" si="252"/>
        <v>3.7964013452466796</v>
      </c>
      <c r="CP97" s="1384">
        <f t="shared" si="252"/>
        <v>3.8019991259705304</v>
      </c>
      <c r="CQ97" s="1384">
        <f t="shared" si="252"/>
        <v>3.803873735196305</v>
      </c>
      <c r="CR97" s="1384">
        <f t="shared" si="252"/>
        <v>3.8057492687147039</v>
      </c>
      <c r="CS97" s="1384">
        <f t="shared" si="252"/>
        <v>3.807625726981458</v>
      </c>
      <c r="CT97" s="1384">
        <f t="shared" si="252"/>
        <v>3.8095031104525217</v>
      </c>
      <c r="CU97" s="1384">
        <f t="shared" si="252"/>
        <v>3.8113814195840758</v>
      </c>
      <c r="CV97" s="1384">
        <f t="shared" si="252"/>
        <v>3.808681884288271</v>
      </c>
      <c r="CW97" s="1384">
        <f t="shared" si="252"/>
        <v>3.8059842610264538</v>
      </c>
      <c r="CX97" s="1384">
        <f t="shared" si="252"/>
        <v>3.8032885484443635</v>
      </c>
      <c r="CY97" s="1384">
        <f t="shared" si="252"/>
        <v>3.8005947451886986</v>
      </c>
      <c r="CZ97" s="1384">
        <f t="shared" si="252"/>
        <v>3.7979028499071168</v>
      </c>
    </row>
    <row r="98" spans="1:104" x14ac:dyDescent="0.2">
      <c r="A98" s="858" t="str">
        <f>'HyARC Physical Property Data'!A76</f>
        <v>Commercial Electricity</v>
      </c>
      <c r="B98" s="260">
        <v>2012</v>
      </c>
      <c r="C98" s="855">
        <f t="shared" si="221"/>
        <v>1.0589185747008452</v>
      </c>
      <c r="D98" s="1229" t="str">
        <f>'HyARC Physical Property Data'!$H$76</f>
        <v>kWh</v>
      </c>
      <c r="E98" s="855" t="s">
        <v>1072</v>
      </c>
      <c r="F98" s="859"/>
      <c r="G98" s="855"/>
      <c r="H98" s="1050">
        <v>26.706046857142852</v>
      </c>
      <c r="I98" s="1050">
        <v>26.706046857142852</v>
      </c>
      <c r="J98" s="1050">
        <v>26.706046857142852</v>
      </c>
      <c r="K98" s="1050">
        <v>26.706046857142852</v>
      </c>
      <c r="L98" s="1050">
        <v>28.244819428571425</v>
      </c>
      <c r="M98" s="1050">
        <v>26.82655314285714</v>
      </c>
      <c r="N98" s="1050">
        <v>25.371207999999996</v>
      </c>
      <c r="O98" s="260">
        <f>O114*($C98)</f>
        <v>32.330007136570579</v>
      </c>
      <c r="P98" s="260">
        <f t="shared" ref="P98:AR98" si="253">P114*($C98)</f>
        <v>31.294588082879496</v>
      </c>
      <c r="Q98" s="260">
        <f t="shared" si="253"/>
        <v>31.198589701652843</v>
      </c>
      <c r="R98" s="260">
        <f t="shared" si="253"/>
        <v>31.36496487027269</v>
      </c>
      <c r="S98" s="260">
        <f t="shared" si="253"/>
        <v>31.759086951346323</v>
      </c>
      <c r="T98" s="260">
        <f t="shared" si="253"/>
        <v>31.913488927642028</v>
      </c>
      <c r="U98" s="260">
        <f t="shared" si="253"/>
        <v>32.158172183779577</v>
      </c>
      <c r="V98" s="260">
        <f t="shared" si="253"/>
        <v>32.533567289859626</v>
      </c>
      <c r="W98" s="260">
        <f t="shared" si="253"/>
        <v>32.841645883227365</v>
      </c>
      <c r="X98" s="260">
        <f t="shared" si="253"/>
        <v>32.614198644730223</v>
      </c>
      <c r="Y98" s="260">
        <f t="shared" si="253"/>
        <v>32.436733421877534</v>
      </c>
      <c r="Z98" s="260">
        <f t="shared" si="253"/>
        <v>32.079793148717371</v>
      </c>
      <c r="AA98" s="260">
        <f t="shared" si="253"/>
        <v>31.936446282341542</v>
      </c>
      <c r="AB98" s="260">
        <f t="shared" si="253"/>
        <v>32.294334287626057</v>
      </c>
      <c r="AC98" s="260">
        <f t="shared" si="253"/>
        <v>32.349416055126277</v>
      </c>
      <c r="AD98" s="260">
        <f t="shared" si="253"/>
        <v>32.432684117247874</v>
      </c>
      <c r="AE98" s="260">
        <f t="shared" si="253"/>
        <v>32.648171929362348</v>
      </c>
      <c r="AF98" s="260">
        <f t="shared" si="253"/>
        <v>32.727937088838836</v>
      </c>
      <c r="AG98" s="260">
        <f t="shared" si="253"/>
        <v>32.843544524231802</v>
      </c>
      <c r="AH98" s="260">
        <f t="shared" si="253"/>
        <v>33.101402845275778</v>
      </c>
      <c r="AI98" s="260">
        <f t="shared" si="253"/>
        <v>33.362655000351673</v>
      </c>
      <c r="AJ98" s="260">
        <f t="shared" si="253"/>
        <v>33.40757114953476</v>
      </c>
      <c r="AK98" s="260">
        <f t="shared" si="253"/>
        <v>33.395441237261558</v>
      </c>
      <c r="AL98" s="260">
        <f t="shared" si="253"/>
        <v>33.59644198435555</v>
      </c>
      <c r="AM98" s="260">
        <f t="shared" si="253"/>
        <v>33.868319328409996</v>
      </c>
      <c r="AN98" s="260">
        <f t="shared" si="253"/>
        <v>34.152252460437403</v>
      </c>
      <c r="AO98" s="260">
        <f t="shared" si="253"/>
        <v>34.36864670685182</v>
      </c>
      <c r="AP98" s="260">
        <f t="shared" si="253"/>
        <v>34.442402503416886</v>
      </c>
      <c r="AQ98" s="260">
        <f t="shared" si="253"/>
        <v>34.677078979023513</v>
      </c>
      <c r="AR98" s="260">
        <f t="shared" si="253"/>
        <v>34.95210131124481</v>
      </c>
      <c r="AS98" s="260">
        <f t="shared" ref="AS98:BA98" si="254">($BB98-$AR98)/10+AR98</f>
        <v>34.759294585447087</v>
      </c>
      <c r="AT98" s="260">
        <f t="shared" si="254"/>
        <v>34.566487859649364</v>
      </c>
      <c r="AU98" s="260">
        <f t="shared" si="254"/>
        <v>34.37368113385164</v>
      </c>
      <c r="AV98" s="260">
        <f t="shared" si="254"/>
        <v>34.180874408053917</v>
      </c>
      <c r="AW98" s="260">
        <f t="shared" si="254"/>
        <v>33.988067682256194</v>
      </c>
      <c r="AX98" s="260">
        <f t="shared" si="254"/>
        <v>33.795260956458471</v>
      </c>
      <c r="AY98" s="260">
        <f t="shared" si="254"/>
        <v>33.602454230660747</v>
      </c>
      <c r="AZ98" s="260">
        <f t="shared" si="254"/>
        <v>33.409647504863024</v>
      </c>
      <c r="BA98" s="260">
        <f t="shared" si="254"/>
        <v>33.216840779065301</v>
      </c>
      <c r="BB98" s="920">
        <f>'AEO Data'!$B$33*AM98</f>
        <v>33.024034053267563</v>
      </c>
      <c r="BC98" s="260">
        <f t="shared" ref="BC98:BP98" si="255">($BQ98-$BB98)/15+BB98</f>
        <v>33.043274641864315</v>
      </c>
      <c r="BD98" s="260">
        <f t="shared" si="255"/>
        <v>33.062515230461067</v>
      </c>
      <c r="BE98" s="260">
        <f t="shared" si="255"/>
        <v>33.081755819057818</v>
      </c>
      <c r="BF98" s="260">
        <f t="shared" si="255"/>
        <v>33.10099640765457</v>
      </c>
      <c r="BG98" s="260">
        <f t="shared" si="255"/>
        <v>33.120236996251322</v>
      </c>
      <c r="BH98" s="260">
        <f t="shared" si="255"/>
        <v>33.139477584848073</v>
      </c>
      <c r="BI98" s="260">
        <f t="shared" si="255"/>
        <v>33.158718173444825</v>
      </c>
      <c r="BJ98" s="260">
        <f t="shared" si="255"/>
        <v>33.177958762041577</v>
      </c>
      <c r="BK98" s="260">
        <f t="shared" si="255"/>
        <v>33.197199350638328</v>
      </c>
      <c r="BL98" s="260">
        <f t="shared" si="255"/>
        <v>33.21643993923508</v>
      </c>
      <c r="BM98" s="260">
        <f t="shared" si="255"/>
        <v>33.235680527831832</v>
      </c>
      <c r="BN98" s="260">
        <f t="shared" si="255"/>
        <v>33.254921116428584</v>
      </c>
      <c r="BO98" s="260">
        <f t="shared" si="255"/>
        <v>33.274161705025335</v>
      </c>
      <c r="BP98" s="260">
        <f t="shared" si="255"/>
        <v>33.293402293622087</v>
      </c>
      <c r="BQ98" s="920">
        <f>'AEO Data'!$C$33*BB98</f>
        <v>33.312642882218888</v>
      </c>
      <c r="BR98" s="260">
        <f t="shared" si="243"/>
        <v>33.29021180684974</v>
      </c>
      <c r="BS98" s="260">
        <f t="shared" si="243"/>
        <v>33.267780731480592</v>
      </c>
      <c r="BT98" s="260">
        <f t="shared" si="243"/>
        <v>33.245349656111443</v>
      </c>
      <c r="BU98" s="260">
        <f t="shared" si="243"/>
        <v>33.222918580742295</v>
      </c>
      <c r="BV98" s="944">
        <f>'AEO Data'!$D$33*BQ98</f>
        <v>33.200487505373161</v>
      </c>
      <c r="BW98" s="1384">
        <f>+BV98*BW$139/BV$139</f>
        <v>33.185869205539639</v>
      </c>
      <c r="BX98" s="1384">
        <f t="shared" ref="BX98:CZ98" si="256">+BW98*BX$139/BW$139</f>
        <v>33.171257342198651</v>
      </c>
      <c r="BY98" s="1384">
        <f t="shared" si="256"/>
        <v>33.156651912516189</v>
      </c>
      <c r="BZ98" s="1384">
        <f t="shared" si="256"/>
        <v>33.142052913659484</v>
      </c>
      <c r="CA98" s="1384">
        <f t="shared" si="256"/>
        <v>33.127460342797029</v>
      </c>
      <c r="CB98" s="1384">
        <f t="shared" si="256"/>
        <v>33.100925764400195</v>
      </c>
      <c r="CC98" s="1384">
        <f t="shared" si="256"/>
        <v>33.074412439786272</v>
      </c>
      <c r="CD98" s="1384">
        <f t="shared" si="256"/>
        <v>33.047920351931317</v>
      </c>
      <c r="CE98" s="1384">
        <f t="shared" si="256"/>
        <v>33.021449483825023</v>
      </c>
      <c r="CF98" s="1384">
        <f t="shared" si="256"/>
        <v>32.994999818470696</v>
      </c>
      <c r="CG98" s="1384">
        <f t="shared" si="256"/>
        <v>32.958563922192354</v>
      </c>
      <c r="CH98" s="1384">
        <f t="shared" si="256"/>
        <v>32.922168261541977</v>
      </c>
      <c r="CI98" s="1384">
        <f t="shared" si="256"/>
        <v>32.885812792087954</v>
      </c>
      <c r="CJ98" s="1384">
        <f t="shared" si="256"/>
        <v>32.849497469447741</v>
      </c>
      <c r="CK98" s="1384">
        <f t="shared" si="256"/>
        <v>32.81322224928779</v>
      </c>
      <c r="CL98" s="1384">
        <f t="shared" si="256"/>
        <v>32.773673393987664</v>
      </c>
      <c r="CM98" s="1384">
        <f t="shared" si="256"/>
        <v>32.734172205812207</v>
      </c>
      <c r="CN98" s="1384">
        <f t="shared" si="256"/>
        <v>32.694718627309562</v>
      </c>
      <c r="CO98" s="1384">
        <f t="shared" si="256"/>
        <v>32.65531260109713</v>
      </c>
      <c r="CP98" s="1384">
        <f t="shared" si="256"/>
        <v>32.615954069861473</v>
      </c>
      <c r="CQ98" s="1384">
        <f t="shared" si="256"/>
        <v>32.57036661325251</v>
      </c>
      <c r="CR98" s="1384">
        <f t="shared" si="256"/>
        <v>32.524842874423982</v>
      </c>
      <c r="CS98" s="1384">
        <f t="shared" si="256"/>
        <v>32.479382764317279</v>
      </c>
      <c r="CT98" s="1384">
        <f t="shared" si="256"/>
        <v>32.433986193998265</v>
      </c>
      <c r="CU98" s="1384">
        <f t="shared" si="256"/>
        <v>32.388653074657114</v>
      </c>
      <c r="CV98" s="1384">
        <f t="shared" si="256"/>
        <v>32.344399879459552</v>
      </c>
      <c r="CW98" s="1384">
        <f t="shared" si="256"/>
        <v>32.300207148193003</v>
      </c>
      <c r="CX98" s="1384">
        <f t="shared" si="256"/>
        <v>32.256074798244526</v>
      </c>
      <c r="CY98" s="1384">
        <f t="shared" si="256"/>
        <v>32.212002747114042</v>
      </c>
      <c r="CZ98" s="1384">
        <f t="shared" si="256"/>
        <v>32.167990912414197</v>
      </c>
    </row>
    <row r="99" spans="1:104" x14ac:dyDescent="0.2">
      <c r="A99" s="858" t="str">
        <f>'HyARC Physical Property Data'!A77</f>
        <v>Industrial Electricity</v>
      </c>
      <c r="B99" s="260">
        <v>2012</v>
      </c>
      <c r="C99" s="855">
        <f t="shared" si="221"/>
        <v>1.0589185747008452</v>
      </c>
      <c r="D99" s="1229" t="str">
        <f>'HyARC Physical Property Data'!$H$77</f>
        <v>kWh</v>
      </c>
      <c r="E99" s="855" t="s">
        <v>1072</v>
      </c>
      <c r="F99" s="866"/>
      <c r="G99" s="222"/>
      <c r="H99" s="1050">
        <v>17.630996571428568</v>
      </c>
      <c r="I99" s="1050">
        <v>17.630996571428568</v>
      </c>
      <c r="J99" s="1050">
        <v>17.630996571428568</v>
      </c>
      <c r="K99" s="1050">
        <v>17.630996571428568</v>
      </c>
      <c r="L99" s="1050">
        <v>18.734092571428569</v>
      </c>
      <c r="M99" s="1050">
        <v>18.576507428571425</v>
      </c>
      <c r="N99" s="1050">
        <v>17.751502857142853</v>
      </c>
      <c r="O99" s="260">
        <f t="shared" ref="O99:AR99" si="257">O115*($C99)</f>
        <v>21.546913279081487</v>
      </c>
      <c r="P99" s="260">
        <f t="shared" si="257"/>
        <v>20.644255082774947</v>
      </c>
      <c r="Q99" s="260">
        <f t="shared" si="257"/>
        <v>21.265150930132211</v>
      </c>
      <c r="R99" s="260">
        <f t="shared" si="257"/>
        <v>21.043453619495697</v>
      </c>
      <c r="S99" s="260">
        <f t="shared" si="257"/>
        <v>21.290934538507603</v>
      </c>
      <c r="T99" s="260">
        <f t="shared" si="257"/>
        <v>21.295208333875095</v>
      </c>
      <c r="U99" s="260">
        <f t="shared" si="257"/>
        <v>21.481681777042766</v>
      </c>
      <c r="V99" s="260">
        <f t="shared" si="257"/>
        <v>21.805181401613872</v>
      </c>
      <c r="W99" s="260">
        <f t="shared" si="257"/>
        <v>22.088499301949383</v>
      </c>
      <c r="X99" s="260">
        <f t="shared" si="257"/>
        <v>21.993341702071042</v>
      </c>
      <c r="Y99" s="260">
        <f t="shared" si="257"/>
        <v>21.973911605143858</v>
      </c>
      <c r="Z99" s="260">
        <f t="shared" si="257"/>
        <v>21.871052490471715</v>
      </c>
      <c r="AA99" s="260">
        <f t="shared" si="257"/>
        <v>21.880460982007932</v>
      </c>
      <c r="AB99" s="260">
        <f t="shared" si="257"/>
        <v>22.180329779666014</v>
      </c>
      <c r="AC99" s="260">
        <f t="shared" si="257"/>
        <v>22.321195599821319</v>
      </c>
      <c r="AD99" s="260">
        <f t="shared" si="257"/>
        <v>22.488160586087275</v>
      </c>
      <c r="AE99" s="260">
        <f t="shared" si="257"/>
        <v>22.726148300076993</v>
      </c>
      <c r="AF99" s="260">
        <f t="shared" si="257"/>
        <v>22.858293925769633</v>
      </c>
      <c r="AG99" s="260">
        <f t="shared" si="257"/>
        <v>23.018536896923386</v>
      </c>
      <c r="AH99" s="260">
        <f t="shared" si="257"/>
        <v>23.283823531768892</v>
      </c>
      <c r="AI99" s="260">
        <f t="shared" si="257"/>
        <v>23.547517553078045</v>
      </c>
      <c r="AJ99" s="260">
        <f t="shared" si="257"/>
        <v>23.658798247174783</v>
      </c>
      <c r="AK99" s="260">
        <f t="shared" si="257"/>
        <v>23.759156196173482</v>
      </c>
      <c r="AL99" s="260">
        <f t="shared" si="257"/>
        <v>23.989354505127697</v>
      </c>
      <c r="AM99" s="260">
        <f t="shared" si="257"/>
        <v>24.26178778143386</v>
      </c>
      <c r="AN99" s="260">
        <f t="shared" si="257"/>
        <v>24.557527855569184</v>
      </c>
      <c r="AO99" s="260">
        <f t="shared" si="257"/>
        <v>24.788558474523114</v>
      </c>
      <c r="AP99" s="260">
        <f t="shared" si="257"/>
        <v>24.907507856937837</v>
      </c>
      <c r="AQ99" s="260">
        <f t="shared" si="257"/>
        <v>25.164130420005137</v>
      </c>
      <c r="AR99" s="260">
        <f t="shared" si="257"/>
        <v>25.469928102762971</v>
      </c>
      <c r="AS99" s="260">
        <f t="shared" ref="AS99:BA99" si="258">($BB99-$AR99)/10+AR99</f>
        <v>25.288633153422833</v>
      </c>
      <c r="AT99" s="260">
        <f t="shared" si="258"/>
        <v>25.107338204082694</v>
      </c>
      <c r="AU99" s="260">
        <f t="shared" si="258"/>
        <v>24.926043254742556</v>
      </c>
      <c r="AV99" s="260">
        <f t="shared" si="258"/>
        <v>24.744748305402418</v>
      </c>
      <c r="AW99" s="260">
        <f t="shared" si="258"/>
        <v>24.563453356062279</v>
      </c>
      <c r="AX99" s="260">
        <f t="shared" si="258"/>
        <v>24.382158406722141</v>
      </c>
      <c r="AY99" s="260">
        <f t="shared" si="258"/>
        <v>24.200863457382003</v>
      </c>
      <c r="AZ99" s="260">
        <f t="shared" si="258"/>
        <v>24.019568508041864</v>
      </c>
      <c r="BA99" s="260">
        <f t="shared" si="258"/>
        <v>23.838273558701726</v>
      </c>
      <c r="BB99" s="920">
        <f>'AEO Data'!$B$33*AM99</f>
        <v>23.65697860936158</v>
      </c>
      <c r="BC99" s="260">
        <f t="shared" ref="BC99:BP99" si="259">($BQ99-$BB99)/15+BB99</f>
        <v>23.670761728411506</v>
      </c>
      <c r="BD99" s="260">
        <f t="shared" si="259"/>
        <v>23.684544847461432</v>
      </c>
      <c r="BE99" s="260">
        <f t="shared" si="259"/>
        <v>23.698327966511357</v>
      </c>
      <c r="BF99" s="260">
        <f t="shared" si="259"/>
        <v>23.712111085561283</v>
      </c>
      <c r="BG99" s="260">
        <f t="shared" si="259"/>
        <v>23.725894204611208</v>
      </c>
      <c r="BH99" s="260">
        <f t="shared" si="259"/>
        <v>23.739677323661134</v>
      </c>
      <c r="BI99" s="260">
        <f t="shared" si="259"/>
        <v>23.753460442711059</v>
      </c>
      <c r="BJ99" s="260">
        <f t="shared" si="259"/>
        <v>23.767243561760985</v>
      </c>
      <c r="BK99" s="260">
        <f t="shared" si="259"/>
        <v>23.781026680810911</v>
      </c>
      <c r="BL99" s="260">
        <f t="shared" si="259"/>
        <v>23.794809799860836</v>
      </c>
      <c r="BM99" s="260">
        <f t="shared" si="259"/>
        <v>23.808592918910762</v>
      </c>
      <c r="BN99" s="260">
        <f t="shared" si="259"/>
        <v>23.822376037960687</v>
      </c>
      <c r="BO99" s="260">
        <f t="shared" si="259"/>
        <v>23.836159157010613</v>
      </c>
      <c r="BP99" s="260">
        <f t="shared" si="259"/>
        <v>23.849942276060538</v>
      </c>
      <c r="BQ99" s="920">
        <f>'AEO Data'!$C$33*BB99</f>
        <v>23.863725395110453</v>
      </c>
      <c r="BR99" s="260">
        <f t="shared" si="243"/>
        <v>23.847656750397427</v>
      </c>
      <c r="BS99" s="260">
        <f t="shared" si="243"/>
        <v>23.8315881056844</v>
      </c>
      <c r="BT99" s="260">
        <f t="shared" si="243"/>
        <v>23.815519460971373</v>
      </c>
      <c r="BU99" s="260">
        <f t="shared" si="243"/>
        <v>23.799450816258346</v>
      </c>
      <c r="BV99" s="944">
        <f>'AEO Data'!$D$33*BQ99</f>
        <v>23.783382171545323</v>
      </c>
      <c r="BW99" s="1384">
        <f>+BV99*BW$140/BV$140</f>
        <v>23.79056855003947</v>
      </c>
      <c r="BX99" s="1384">
        <f t="shared" ref="BX99:CZ99" si="260">+BW99*BX$140/BW$140</f>
        <v>23.797757099967246</v>
      </c>
      <c r="BY99" s="1384">
        <f t="shared" si="260"/>
        <v>23.804947821984772</v>
      </c>
      <c r="BZ99" s="1384">
        <f t="shared" si="260"/>
        <v>23.812140716748367</v>
      </c>
      <c r="CA99" s="1384">
        <f t="shared" si="260"/>
        <v>23.819335784914539</v>
      </c>
      <c r="CB99" s="1384">
        <f t="shared" si="260"/>
        <v>23.816642001078176</v>
      </c>
      <c r="CC99" s="1384">
        <f t="shared" si="260"/>
        <v>23.813948521888062</v>
      </c>
      <c r="CD99" s="1384">
        <f t="shared" si="260"/>
        <v>23.811255347309746</v>
      </c>
      <c r="CE99" s="1384">
        <f t="shared" si="260"/>
        <v>23.808562477308776</v>
      </c>
      <c r="CF99" s="1384">
        <f t="shared" si="260"/>
        <v>23.805869911850717</v>
      </c>
      <c r="CG99" s="1384">
        <f t="shared" si="260"/>
        <v>23.795071358532098</v>
      </c>
      <c r="CH99" s="1384">
        <f t="shared" si="260"/>
        <v>23.784277703532847</v>
      </c>
      <c r="CI99" s="1384">
        <f t="shared" si="260"/>
        <v>23.773488944631048</v>
      </c>
      <c r="CJ99" s="1384">
        <f t="shared" si="260"/>
        <v>23.762705079605791</v>
      </c>
      <c r="CK99" s="1384">
        <f t="shared" si="260"/>
        <v>23.751926106237168</v>
      </c>
      <c r="CL99" s="1384">
        <f t="shared" si="260"/>
        <v>23.738702519984074</v>
      </c>
      <c r="CM99" s="1384">
        <f t="shared" si="260"/>
        <v>23.725486295796383</v>
      </c>
      <c r="CN99" s="1384">
        <f t="shared" si="260"/>
        <v>23.712277429575355</v>
      </c>
      <c r="CO99" s="1384">
        <f t="shared" si="260"/>
        <v>23.699075917224537</v>
      </c>
      <c r="CP99" s="1384">
        <f t="shared" si="260"/>
        <v>23.685881754649749</v>
      </c>
      <c r="CQ99" s="1384">
        <f t="shared" si="260"/>
        <v>23.667805095398695</v>
      </c>
      <c r="CR99" s="1384">
        <f t="shared" si="260"/>
        <v>23.649742231944352</v>
      </c>
      <c r="CS99" s="1384">
        <f t="shared" si="260"/>
        <v>23.631693153758011</v>
      </c>
      <c r="CT99" s="1384">
        <f t="shared" si="260"/>
        <v>23.613657850318987</v>
      </c>
      <c r="CU99" s="1384">
        <f t="shared" si="260"/>
        <v>23.595636311114628</v>
      </c>
      <c r="CV99" s="1384">
        <f t="shared" si="260"/>
        <v>23.578692647144699</v>
      </c>
      <c r="CW99" s="1384">
        <f t="shared" si="260"/>
        <v>23.561761150159583</v>
      </c>
      <c r="CX99" s="1384">
        <f t="shared" si="260"/>
        <v>23.544841811422359</v>
      </c>
      <c r="CY99" s="1384">
        <f t="shared" si="260"/>
        <v>23.527934622202373</v>
      </c>
      <c r="CZ99" s="1384">
        <f t="shared" si="260"/>
        <v>23.511039573775246</v>
      </c>
    </row>
    <row r="100" spans="1:104" ht="13.5" thickBot="1" x14ac:dyDescent="0.25">
      <c r="A100" s="860" t="str">
        <f>'HyARC Physical Property Data'!A78</f>
        <v>Residential Electricity</v>
      </c>
      <c r="B100" s="861">
        <v>2012</v>
      </c>
      <c r="C100" s="862">
        <f t="shared" si="221"/>
        <v>1.0589185747008452</v>
      </c>
      <c r="D100" s="1230" t="str">
        <f>'HyARC Physical Property Data'!$H$78</f>
        <v>kWh</v>
      </c>
      <c r="E100" s="862" t="s">
        <v>1072</v>
      </c>
      <c r="F100" s="867"/>
      <c r="G100" s="569"/>
      <c r="H100" s="1052">
        <v>29.496230857142855</v>
      </c>
      <c r="I100" s="1052">
        <v>29.496230857142855</v>
      </c>
      <c r="J100" s="1052">
        <v>29.496230857142855</v>
      </c>
      <c r="K100" s="1052">
        <v>29.496230857142855</v>
      </c>
      <c r="L100" s="1052">
        <v>30.858878857142852</v>
      </c>
      <c r="M100" s="1052">
        <v>29.96898628571428</v>
      </c>
      <c r="N100" s="1052">
        <v>28.680495999999998</v>
      </c>
      <c r="O100" s="861">
        <f t="shared" ref="O100:AR100" si="261">O116*($C100)</f>
        <v>37.012259165882554</v>
      </c>
      <c r="P100" s="861">
        <f t="shared" si="261"/>
        <v>36.883387716422881</v>
      </c>
      <c r="Q100" s="861">
        <f t="shared" si="261"/>
        <v>36.020153058652454</v>
      </c>
      <c r="R100" s="861">
        <f t="shared" si="261"/>
        <v>36.437036594489285</v>
      </c>
      <c r="S100" s="861">
        <f t="shared" si="261"/>
        <v>37.000471284308979</v>
      </c>
      <c r="T100" s="861">
        <f t="shared" si="261"/>
        <v>37.234901031887702</v>
      </c>
      <c r="U100" s="861">
        <f t="shared" si="261"/>
        <v>37.611895105015549</v>
      </c>
      <c r="V100" s="861">
        <f t="shared" si="261"/>
        <v>38.029256213129564</v>
      </c>
      <c r="W100" s="861">
        <f t="shared" si="261"/>
        <v>38.30980398247366</v>
      </c>
      <c r="X100" s="861">
        <f t="shared" si="261"/>
        <v>38.276616415423959</v>
      </c>
      <c r="Y100" s="861">
        <f t="shared" si="261"/>
        <v>38.186511974984086</v>
      </c>
      <c r="Z100" s="861">
        <f t="shared" si="261"/>
        <v>37.913659366922346</v>
      </c>
      <c r="AA100" s="861">
        <f t="shared" si="261"/>
        <v>37.798756112381561</v>
      </c>
      <c r="AB100" s="861">
        <f t="shared" si="261"/>
        <v>38.164246094113849</v>
      </c>
      <c r="AC100" s="861">
        <f t="shared" si="261"/>
        <v>38.270815659471751</v>
      </c>
      <c r="AD100" s="861">
        <f t="shared" si="261"/>
        <v>38.382554865311334</v>
      </c>
      <c r="AE100" s="861">
        <f t="shared" si="261"/>
        <v>38.619545078003675</v>
      </c>
      <c r="AF100" s="861">
        <f t="shared" si="261"/>
        <v>38.734851780521424</v>
      </c>
      <c r="AG100" s="861">
        <f t="shared" si="261"/>
        <v>38.88910974389097</v>
      </c>
      <c r="AH100" s="861">
        <f t="shared" si="261"/>
        <v>39.160747772347534</v>
      </c>
      <c r="AI100" s="861">
        <f t="shared" si="261"/>
        <v>39.451321382756888</v>
      </c>
      <c r="AJ100" s="861">
        <f t="shared" si="261"/>
        <v>39.535438697575401</v>
      </c>
      <c r="AK100" s="861">
        <f t="shared" si="261"/>
        <v>39.570735630425908</v>
      </c>
      <c r="AL100" s="861">
        <f t="shared" si="261"/>
        <v>39.780803897275057</v>
      </c>
      <c r="AM100" s="861">
        <f t="shared" si="261"/>
        <v>40.046078884016239</v>
      </c>
      <c r="AN100" s="861">
        <f t="shared" si="261"/>
        <v>40.326008244912707</v>
      </c>
      <c r="AO100" s="861">
        <f t="shared" si="261"/>
        <v>40.555429307633098</v>
      </c>
      <c r="AP100" s="861">
        <f t="shared" si="261"/>
        <v>40.630021649872177</v>
      </c>
      <c r="AQ100" s="861">
        <f t="shared" si="261"/>
        <v>40.855427293357288</v>
      </c>
      <c r="AR100" s="861">
        <f t="shared" si="261"/>
        <v>41.122689870263187</v>
      </c>
      <c r="AS100" s="861">
        <f t="shared" ref="AS100:BA100" si="262">($BB100-$AR100)/10+AR100</f>
        <v>40.915200036704469</v>
      </c>
      <c r="AT100" s="861">
        <f t="shared" si="262"/>
        <v>40.707710203145751</v>
      </c>
      <c r="AU100" s="861">
        <f t="shared" si="262"/>
        <v>40.500220369587034</v>
      </c>
      <c r="AV100" s="861">
        <f t="shared" si="262"/>
        <v>40.292730536028316</v>
      </c>
      <c r="AW100" s="861">
        <f t="shared" si="262"/>
        <v>40.085240702469598</v>
      </c>
      <c r="AX100" s="861">
        <f t="shared" si="262"/>
        <v>39.87775086891088</v>
      </c>
      <c r="AY100" s="861">
        <f t="shared" si="262"/>
        <v>39.670261035352162</v>
      </c>
      <c r="AZ100" s="861">
        <f t="shared" si="262"/>
        <v>39.462771201793444</v>
      </c>
      <c r="BA100" s="861">
        <f t="shared" si="262"/>
        <v>39.255281368234726</v>
      </c>
      <c r="BB100" s="949">
        <f>'AEO Data'!$B$33*AM100</f>
        <v>39.047791534675994</v>
      </c>
      <c r="BC100" s="861">
        <f t="shared" ref="BC100:BP100" si="263">($BQ100-$BB100)/15+BB100</f>
        <v>39.070541707817128</v>
      </c>
      <c r="BD100" s="861">
        <f t="shared" si="263"/>
        <v>39.093291880958262</v>
      </c>
      <c r="BE100" s="861">
        <f t="shared" si="263"/>
        <v>39.116042054099395</v>
      </c>
      <c r="BF100" s="861">
        <f t="shared" si="263"/>
        <v>39.138792227240529</v>
      </c>
      <c r="BG100" s="861">
        <f t="shared" si="263"/>
        <v>39.161542400381663</v>
      </c>
      <c r="BH100" s="861">
        <f t="shared" si="263"/>
        <v>39.184292573522796</v>
      </c>
      <c r="BI100" s="861">
        <f t="shared" si="263"/>
        <v>39.20704274666393</v>
      </c>
      <c r="BJ100" s="861">
        <f t="shared" si="263"/>
        <v>39.229792919805064</v>
      </c>
      <c r="BK100" s="861">
        <f t="shared" si="263"/>
        <v>39.252543092946198</v>
      </c>
      <c r="BL100" s="861">
        <f t="shared" si="263"/>
        <v>39.275293266087331</v>
      </c>
      <c r="BM100" s="861">
        <f t="shared" si="263"/>
        <v>39.298043439228465</v>
      </c>
      <c r="BN100" s="861">
        <f t="shared" si="263"/>
        <v>39.320793612369599</v>
      </c>
      <c r="BO100" s="861">
        <f t="shared" si="263"/>
        <v>39.343543785510732</v>
      </c>
      <c r="BP100" s="861">
        <f t="shared" si="263"/>
        <v>39.366293958651866</v>
      </c>
      <c r="BQ100" s="949">
        <f>'AEO Data'!$C$33*BB100</f>
        <v>39.389044131793007</v>
      </c>
      <c r="BR100" s="861">
        <f t="shared" si="243"/>
        <v>39.362521510313748</v>
      </c>
      <c r="BS100" s="861">
        <f t="shared" si="243"/>
        <v>39.335998888834489</v>
      </c>
      <c r="BT100" s="861">
        <f t="shared" si="243"/>
        <v>39.30947626735523</v>
      </c>
      <c r="BU100" s="861">
        <f t="shared" si="243"/>
        <v>39.28295364587597</v>
      </c>
      <c r="BV100" s="950">
        <f>'AEO Data'!$D$33*BQ100</f>
        <v>39.256431024396711</v>
      </c>
      <c r="BW100" s="1384">
        <f>+BV100*BW$141/BV$141</f>
        <v>39.239146269797381</v>
      </c>
      <c r="BX100" s="1384">
        <f t="shared" ref="BX100:CZ100" si="264">+BW100*BX$141/BW$141</f>
        <v>39.221869125740675</v>
      </c>
      <c r="BY100" s="1384">
        <f t="shared" si="264"/>
        <v>39.204599588875645</v>
      </c>
      <c r="BZ100" s="1384">
        <f t="shared" si="264"/>
        <v>39.187337655852808</v>
      </c>
      <c r="CA100" s="1384">
        <f t="shared" si="264"/>
        <v>39.170083323324171</v>
      </c>
      <c r="CB100" s="1384">
        <f t="shared" si="264"/>
        <v>39.138708698285058</v>
      </c>
      <c r="CC100" s="1384">
        <f t="shared" si="264"/>
        <v>39.107359203830633</v>
      </c>
      <c r="CD100" s="1384">
        <f t="shared" si="264"/>
        <v>39.076034819831698</v>
      </c>
      <c r="CE100" s="1384">
        <f t="shared" si="264"/>
        <v>39.044735526175167</v>
      </c>
      <c r="CF100" s="1384">
        <f t="shared" si="264"/>
        <v>39.013461302764064</v>
      </c>
      <c r="CG100" s="1384">
        <f t="shared" si="264"/>
        <v>38.970379307391816</v>
      </c>
      <c r="CH100" s="1384">
        <f t="shared" si="264"/>
        <v>38.927344886837673</v>
      </c>
      <c r="CI100" s="1384">
        <f t="shared" si="264"/>
        <v>38.884357988565462</v>
      </c>
      <c r="CJ100" s="1384">
        <f t="shared" si="264"/>
        <v>38.841418560097019</v>
      </c>
      <c r="CK100" s="1384">
        <f t="shared" si="264"/>
        <v>38.798526549012138</v>
      </c>
      <c r="CL100" s="1384">
        <f t="shared" si="264"/>
        <v>38.751763774521798</v>
      </c>
      <c r="CM100" s="1384">
        <f t="shared" si="264"/>
        <v>38.70505736189034</v>
      </c>
      <c r="CN100" s="1384">
        <f t="shared" si="264"/>
        <v>38.658407243186389</v>
      </c>
      <c r="CO100" s="1384">
        <f t="shared" si="264"/>
        <v>38.61181335056046</v>
      </c>
      <c r="CP100" s="1384">
        <f t="shared" si="264"/>
        <v>38.565275616244847</v>
      </c>
      <c r="CQ100" s="1384">
        <f t="shared" si="264"/>
        <v>38.511372767810535</v>
      </c>
      <c r="CR100" s="1384">
        <f t="shared" si="264"/>
        <v>38.457545259614896</v>
      </c>
      <c r="CS100" s="1384">
        <f t="shared" si="264"/>
        <v>38.403792986354553</v>
      </c>
      <c r="CT100" s="1384">
        <f t="shared" si="264"/>
        <v>38.350115842873322</v>
      </c>
      <c r="CU100" s="1384">
        <f t="shared" si="264"/>
        <v>38.296513724162004</v>
      </c>
      <c r="CV100" s="1384">
        <f t="shared" si="264"/>
        <v>38.244188513437287</v>
      </c>
      <c r="CW100" s="1384">
        <f t="shared" si="264"/>
        <v>38.191934795582569</v>
      </c>
      <c r="CX100" s="1384">
        <f t="shared" si="264"/>
        <v>38.139752472915873</v>
      </c>
      <c r="CY100" s="1384">
        <f t="shared" si="264"/>
        <v>38.087641447888679</v>
      </c>
      <c r="CZ100" s="1384">
        <f t="shared" si="264"/>
        <v>38.035601623085753</v>
      </c>
    </row>
    <row r="101" spans="1:104" ht="13.5" thickTop="1" x14ac:dyDescent="0.2">
      <c r="D101" s="1077"/>
    </row>
    <row r="102" spans="1:104" ht="13.5" thickBot="1" x14ac:dyDescent="0.25">
      <c r="D102" s="1077"/>
    </row>
    <row r="103" spans="1:104" s="1034" customFormat="1" x14ac:dyDescent="0.2">
      <c r="A103" s="1030" t="s">
        <v>1160</v>
      </c>
      <c r="B103" s="1031"/>
      <c r="C103" s="1032"/>
      <c r="D103" s="1233"/>
      <c r="E103" s="1032"/>
      <c r="F103" s="1031"/>
      <c r="G103" s="1031"/>
      <c r="H103" s="1031"/>
      <c r="I103" s="1031"/>
      <c r="J103" s="1031"/>
      <c r="K103" s="1031"/>
      <c r="L103" s="1031"/>
      <c r="M103" s="1031"/>
      <c r="N103" s="1031"/>
      <c r="O103" s="1031"/>
      <c r="P103" s="1031"/>
      <c r="Q103" s="1031"/>
      <c r="R103" s="1031"/>
      <c r="S103" s="1031"/>
      <c r="T103" s="1031"/>
      <c r="U103" s="1031"/>
      <c r="V103" s="1031"/>
      <c r="W103" s="1031"/>
      <c r="X103" s="1031"/>
      <c r="Y103" s="1031"/>
      <c r="Z103" s="1031"/>
      <c r="AA103" s="1031"/>
      <c r="AB103" s="1031"/>
      <c r="AC103" s="1031"/>
      <c r="AD103" s="1031"/>
      <c r="AE103" s="1031"/>
      <c r="AF103" s="1031"/>
      <c r="AG103" s="1031"/>
      <c r="AH103" s="1031"/>
      <c r="AI103" s="1031"/>
      <c r="AJ103" s="1031"/>
      <c r="AK103" s="1031"/>
      <c r="AL103" s="1031"/>
      <c r="AM103" s="1031"/>
      <c r="AN103" s="1031"/>
      <c r="AO103" s="1031"/>
      <c r="AP103" s="1031"/>
      <c r="AQ103" s="1031"/>
      <c r="AR103" s="1031"/>
      <c r="AS103" s="1031"/>
      <c r="AT103" s="1031"/>
      <c r="AU103" s="1031"/>
      <c r="AV103" s="1031"/>
      <c r="AW103" s="1031"/>
      <c r="AX103" s="1031"/>
      <c r="AY103" s="1031"/>
      <c r="AZ103" s="1031"/>
      <c r="BA103" s="1031"/>
      <c r="BB103" s="1031"/>
      <c r="BC103" s="1031"/>
      <c r="BD103" s="1031"/>
      <c r="BE103" s="1031"/>
      <c r="BF103" s="1031"/>
      <c r="BG103" s="1031"/>
      <c r="BH103" s="1031"/>
      <c r="BI103" s="1031"/>
      <c r="BJ103" s="1031"/>
      <c r="BK103" s="1031"/>
      <c r="BL103" s="1031"/>
      <c r="BM103" s="1031"/>
      <c r="BN103" s="1031"/>
      <c r="BO103" s="1031"/>
      <c r="BP103" s="1031"/>
      <c r="BQ103" s="1031"/>
      <c r="BR103" s="1031"/>
      <c r="BS103" s="1031"/>
      <c r="BT103" s="1031"/>
      <c r="BU103" s="1031"/>
      <c r="BV103" s="1033"/>
    </row>
    <row r="104" spans="1:104" s="1034" customFormat="1" x14ac:dyDescent="0.2">
      <c r="A104" s="1035" t="s">
        <v>1114</v>
      </c>
      <c r="B104" s="1036"/>
      <c r="C104" s="1037"/>
      <c r="D104" s="1234"/>
      <c r="E104" s="1037"/>
      <c r="F104" s="1036"/>
      <c r="G104" s="1036"/>
      <c r="H104" s="1036"/>
      <c r="I104" s="1036"/>
      <c r="J104" s="1036"/>
      <c r="K104" s="1036"/>
      <c r="L104" s="1036"/>
      <c r="M104" s="1036"/>
      <c r="N104" s="1036"/>
      <c r="O104" s="1036"/>
      <c r="P104" s="1036"/>
      <c r="Q104" s="1036"/>
      <c r="R104" s="1036"/>
      <c r="S104" s="1036"/>
      <c r="T104" s="1036"/>
      <c r="U104" s="1036"/>
      <c r="V104" s="1036"/>
      <c r="W104" s="1036"/>
      <c r="X104" s="1036"/>
      <c r="Y104" s="1036"/>
      <c r="Z104" s="1036"/>
      <c r="AA104" s="1036"/>
      <c r="AB104" s="1036"/>
      <c r="AC104" s="1036"/>
      <c r="AD104" s="1036"/>
      <c r="AE104" s="1036"/>
      <c r="AF104" s="1036"/>
      <c r="AG104" s="1036"/>
      <c r="AH104" s="1036"/>
      <c r="AI104" s="1036"/>
      <c r="AJ104" s="1036"/>
      <c r="AK104" s="1036"/>
      <c r="AL104" s="1036"/>
      <c r="AM104" s="1036"/>
      <c r="AN104" s="1036"/>
      <c r="AO104" s="1036"/>
      <c r="AP104" s="1036"/>
      <c r="AQ104" s="1036"/>
      <c r="AR104" s="1036"/>
      <c r="AS104" s="1036"/>
      <c r="AT104" s="1036"/>
      <c r="AU104" s="1036"/>
      <c r="AV104" s="1036"/>
      <c r="AW104" s="1036"/>
      <c r="AX104" s="1036"/>
      <c r="AY104" s="1036"/>
      <c r="AZ104" s="1036"/>
      <c r="BA104" s="1036"/>
      <c r="BB104" s="1036"/>
      <c r="BC104" s="1036"/>
      <c r="BD104" s="1036"/>
      <c r="BE104" s="1036"/>
      <c r="BF104" s="1036"/>
      <c r="BG104" s="1036"/>
      <c r="BH104" s="1036"/>
      <c r="BI104" s="1036"/>
      <c r="BJ104" s="1036"/>
      <c r="BK104" s="1036"/>
      <c r="BL104" s="1036"/>
      <c r="BM104" s="1036"/>
      <c r="BN104" s="1036"/>
      <c r="BO104" s="1036"/>
      <c r="BP104" s="1036"/>
      <c r="BQ104" s="1036"/>
      <c r="BR104" s="1036"/>
      <c r="BS104" s="1036"/>
      <c r="BT104" s="1036"/>
      <c r="BU104" s="1036"/>
      <c r="BV104" s="1038"/>
    </row>
    <row r="105" spans="1:104" s="1034" customFormat="1" x14ac:dyDescent="0.2">
      <c r="A105" s="1039"/>
      <c r="B105" s="1036"/>
      <c r="C105" s="1037"/>
      <c r="D105" s="1234"/>
      <c r="E105" s="1037"/>
      <c r="F105" s="1036"/>
      <c r="G105" s="1036"/>
      <c r="H105" s="1036"/>
      <c r="I105" s="1036"/>
      <c r="J105" s="1036"/>
      <c r="K105" s="1036"/>
      <c r="L105" s="1036"/>
      <c r="M105" s="1036"/>
      <c r="N105" s="1036"/>
      <c r="O105" s="1036"/>
      <c r="P105" s="1036"/>
      <c r="Q105" s="1036"/>
      <c r="R105" s="1036"/>
      <c r="S105" s="1036"/>
      <c r="T105" s="1036"/>
      <c r="U105" s="1036"/>
      <c r="V105" s="1036"/>
      <c r="W105" s="1036"/>
      <c r="X105" s="1036"/>
      <c r="Y105" s="1036"/>
      <c r="Z105" s="1036"/>
      <c r="AA105" s="1036"/>
      <c r="AB105" s="1036"/>
      <c r="AC105" s="1036"/>
      <c r="AD105" s="1036"/>
      <c r="AE105" s="1036"/>
      <c r="AF105" s="1036"/>
      <c r="AG105" s="1036"/>
      <c r="AH105" s="1036"/>
      <c r="AI105" s="1036"/>
      <c r="AJ105" s="1036"/>
      <c r="AK105" s="1036"/>
      <c r="AL105" s="1036"/>
      <c r="AM105" s="1036"/>
      <c r="AN105" s="1036"/>
      <c r="AO105" s="1036"/>
      <c r="AP105" s="1036"/>
      <c r="AQ105" s="1036"/>
      <c r="AR105" s="1036"/>
      <c r="AS105" s="1036"/>
      <c r="AT105" s="1036"/>
      <c r="AU105" s="1036"/>
      <c r="AV105" s="1036"/>
      <c r="AW105" s="1036"/>
      <c r="AX105" s="1036"/>
      <c r="AY105" s="1036"/>
      <c r="AZ105" s="1036"/>
      <c r="BA105" s="1036"/>
      <c r="BB105" s="1036"/>
      <c r="BC105" s="1036"/>
      <c r="BD105" s="1036"/>
      <c r="BE105" s="1036"/>
      <c r="BF105" s="1036"/>
      <c r="BG105" s="1036"/>
      <c r="BH105" s="1036"/>
      <c r="BI105" s="1036"/>
      <c r="BJ105" s="1036"/>
      <c r="BK105" s="1036"/>
      <c r="BL105" s="1036"/>
      <c r="BM105" s="1036"/>
      <c r="BN105" s="1036"/>
      <c r="BO105" s="1036"/>
      <c r="BP105" s="1036"/>
      <c r="BQ105" s="1036"/>
      <c r="BR105" s="1036"/>
      <c r="BS105" s="1036"/>
      <c r="BT105" s="1036"/>
      <c r="BU105" s="1036"/>
      <c r="BV105" s="1038"/>
    </row>
    <row r="106" spans="1:104" s="1034" customFormat="1" x14ac:dyDescent="0.2">
      <c r="A106" s="1039" t="s">
        <v>681</v>
      </c>
      <c r="B106" s="1036"/>
      <c r="C106" s="1037"/>
      <c r="D106" s="1234"/>
      <c r="E106" s="1037"/>
      <c r="F106" s="1036"/>
      <c r="G106" s="1036"/>
      <c r="H106" s="1036"/>
      <c r="I106" s="1036"/>
      <c r="J106" s="1036"/>
      <c r="K106" s="1036"/>
      <c r="L106" s="1036"/>
      <c r="M106" s="1036"/>
      <c r="N106" s="1036"/>
      <c r="O106" s="1040">
        <v>10.979644</v>
      </c>
      <c r="P106" s="1040">
        <v>10.458463</v>
      </c>
      <c r="Q106" s="1040">
        <v>10.386789</v>
      </c>
      <c r="R106" s="1040">
        <v>11.197535999999999</v>
      </c>
      <c r="S106" s="1040">
        <v>10.997512</v>
      </c>
      <c r="T106" s="1040">
        <v>10.684602</v>
      </c>
      <c r="U106" s="1040">
        <v>11.01057</v>
      </c>
      <c r="V106" s="1040">
        <v>11.455973999999999</v>
      </c>
      <c r="W106" s="1040">
        <v>11.627091999999999</v>
      </c>
      <c r="X106" s="1040">
        <v>11.591965</v>
      </c>
      <c r="Y106" s="1040">
        <v>11.804651</v>
      </c>
      <c r="Z106" s="1040">
        <v>11.896172</v>
      </c>
      <c r="AA106" s="1040">
        <v>12.056948999999999</v>
      </c>
      <c r="AB106" s="1040">
        <v>12.305148000000001</v>
      </c>
      <c r="AC106" s="1040">
        <v>12.475469</v>
      </c>
      <c r="AD106" s="1040">
        <v>12.579926</v>
      </c>
      <c r="AE106" s="1040">
        <v>12.716393999999999</v>
      </c>
      <c r="AF106" s="1040">
        <v>12.897914999999999</v>
      </c>
      <c r="AG106" s="1040">
        <v>13.184208999999999</v>
      </c>
      <c r="AH106" s="1040">
        <v>13.502886999999999</v>
      </c>
      <c r="AI106" s="1040">
        <v>13.64997</v>
      </c>
      <c r="AJ106" s="1040">
        <v>13.712135</v>
      </c>
      <c r="AK106" s="1040">
        <v>13.943460999999999</v>
      </c>
      <c r="AL106" s="1040">
        <v>14.339456999999999</v>
      </c>
      <c r="AM106" s="1040">
        <v>14.605688000000001</v>
      </c>
      <c r="AN106" s="1040">
        <v>14.994783</v>
      </c>
      <c r="AO106" s="1040">
        <v>15.152347000000001</v>
      </c>
      <c r="AP106" s="1040">
        <v>15.279963</v>
      </c>
      <c r="AQ106" s="1040">
        <v>15.618371</v>
      </c>
      <c r="AR106" s="1040">
        <v>15.977807</v>
      </c>
      <c r="AS106" s="1036"/>
      <c r="AT106" s="1036"/>
      <c r="AU106" s="1036"/>
      <c r="AV106" s="1036"/>
      <c r="AW106" s="1036"/>
      <c r="AX106" s="1036"/>
      <c r="AY106" s="1036"/>
      <c r="AZ106" s="1036"/>
      <c r="BA106" s="1036"/>
      <c r="BB106" s="1036"/>
      <c r="BC106" s="1036"/>
      <c r="BD106" s="1036"/>
      <c r="BE106" s="1036"/>
      <c r="BF106" s="1036"/>
      <c r="BG106" s="1036"/>
      <c r="BH106" s="1036"/>
      <c r="BI106" s="1036"/>
      <c r="BJ106" s="1036"/>
      <c r="BK106" s="1036"/>
      <c r="BL106" s="1036"/>
      <c r="BM106" s="1036"/>
      <c r="BN106" s="1036"/>
      <c r="BO106" s="1036"/>
      <c r="BP106" s="1036"/>
      <c r="BQ106" s="1036"/>
      <c r="BR106" s="1036"/>
      <c r="BS106" s="1036"/>
      <c r="BT106" s="1036"/>
      <c r="BU106" s="1036"/>
      <c r="BV106" s="1038"/>
    </row>
    <row r="107" spans="1:104" s="1034" customFormat="1" x14ac:dyDescent="0.2">
      <c r="A107" s="1039" t="s">
        <v>1086</v>
      </c>
      <c r="B107" s="1036"/>
      <c r="C107" s="1037"/>
      <c r="D107" s="1234"/>
      <c r="E107" s="1037"/>
      <c r="F107" s="1036"/>
      <c r="G107" s="1036"/>
      <c r="H107" s="1036"/>
      <c r="I107" s="1036"/>
      <c r="J107" s="1036"/>
      <c r="K107" s="1036"/>
      <c r="L107" s="1036"/>
      <c r="M107" s="1036"/>
      <c r="N107" s="1036"/>
      <c r="O107" s="1040">
        <v>8.9608349999999994</v>
      </c>
      <c r="P107" s="1040">
        <v>8.1128640000000001</v>
      </c>
      <c r="Q107" s="1040">
        <v>8.3120530000000006</v>
      </c>
      <c r="R107" s="1040">
        <v>9.0860579999999995</v>
      </c>
      <c r="S107" s="1040">
        <v>8.9185510000000008</v>
      </c>
      <c r="T107" s="1040">
        <v>8.7230709999999991</v>
      </c>
      <c r="U107" s="1040">
        <v>9.0072580000000002</v>
      </c>
      <c r="V107" s="1040">
        <v>9.4091780000000007</v>
      </c>
      <c r="W107" s="1040">
        <v>9.5464699999999993</v>
      </c>
      <c r="X107" s="1040">
        <v>9.490774</v>
      </c>
      <c r="Y107" s="1040">
        <v>9.6849690000000006</v>
      </c>
      <c r="Z107" s="1040">
        <v>9.7584820000000008</v>
      </c>
      <c r="AA107" s="1040">
        <v>9.8987529999999992</v>
      </c>
      <c r="AB107" s="1040">
        <v>10.127039999999999</v>
      </c>
      <c r="AC107" s="1040">
        <v>10.286922000000001</v>
      </c>
      <c r="AD107" s="1040">
        <v>10.380953999999999</v>
      </c>
      <c r="AE107" s="1040">
        <v>10.496881999999999</v>
      </c>
      <c r="AF107" s="1040">
        <v>10.657225</v>
      </c>
      <c r="AG107" s="1040">
        <v>10.911016</v>
      </c>
      <c r="AH107" s="1040">
        <v>11.192325</v>
      </c>
      <c r="AI107" s="1040">
        <v>11.294316</v>
      </c>
      <c r="AJ107" s="1040">
        <v>11.292712999999999</v>
      </c>
      <c r="AK107" s="1040">
        <v>11.478382999999999</v>
      </c>
      <c r="AL107" s="1040">
        <v>11.747921</v>
      </c>
      <c r="AM107" s="1040">
        <v>11.953430000000001</v>
      </c>
      <c r="AN107" s="1040">
        <v>12.263629999999999</v>
      </c>
      <c r="AO107" s="1040">
        <v>12.368285999999999</v>
      </c>
      <c r="AP107" s="1040">
        <v>12.459205000000001</v>
      </c>
      <c r="AQ107" s="1040">
        <v>12.755896</v>
      </c>
      <c r="AR107" s="1040">
        <v>13.077387</v>
      </c>
      <c r="AS107" s="1036"/>
      <c r="AT107" s="1036"/>
      <c r="AU107" s="1036"/>
      <c r="AV107" s="1036"/>
      <c r="AW107" s="1036"/>
      <c r="AX107" s="1036"/>
      <c r="AY107" s="1036"/>
      <c r="AZ107" s="1036"/>
      <c r="BA107" s="1036"/>
      <c r="BB107" s="1036"/>
      <c r="BC107" s="1036"/>
      <c r="BD107" s="1036"/>
      <c r="BE107" s="1036"/>
      <c r="BF107" s="1036"/>
      <c r="BG107" s="1036"/>
      <c r="BH107" s="1036"/>
      <c r="BI107" s="1036"/>
      <c r="BJ107" s="1036"/>
      <c r="BK107" s="1036"/>
      <c r="BL107" s="1036"/>
      <c r="BM107" s="1036"/>
      <c r="BN107" s="1036"/>
      <c r="BO107" s="1036"/>
      <c r="BP107" s="1036"/>
      <c r="BQ107" s="1036"/>
      <c r="BR107" s="1036"/>
      <c r="BS107" s="1036"/>
      <c r="BT107" s="1036"/>
      <c r="BU107" s="1036"/>
      <c r="BV107" s="1038"/>
    </row>
    <row r="108" spans="1:104" s="1034" customFormat="1" x14ac:dyDescent="0.2">
      <c r="A108" s="1039" t="s">
        <v>283</v>
      </c>
      <c r="B108" s="1036"/>
      <c r="C108" s="1037"/>
      <c r="D108" s="1234"/>
      <c r="E108" s="1037"/>
      <c r="F108" s="1036"/>
      <c r="G108" s="1036"/>
      <c r="H108" s="1036"/>
      <c r="I108" s="1036"/>
      <c r="J108" s="1036"/>
      <c r="K108" s="1036"/>
      <c r="L108" s="1036"/>
      <c r="M108" s="1036"/>
      <c r="N108" s="1036"/>
      <c r="O108" s="1040">
        <v>5.093718</v>
      </c>
      <c r="P108" s="1040">
        <v>3.77142</v>
      </c>
      <c r="Q108" s="1040">
        <v>4.594805</v>
      </c>
      <c r="R108" s="1040">
        <v>4.7995720000000004</v>
      </c>
      <c r="S108" s="1040">
        <v>4.9392990000000001</v>
      </c>
      <c r="T108" s="1040">
        <v>5.148549</v>
      </c>
      <c r="U108" s="1040">
        <v>5.425808</v>
      </c>
      <c r="V108" s="1040">
        <v>5.8458810000000003</v>
      </c>
      <c r="W108" s="1040">
        <v>5.9476060000000004</v>
      </c>
      <c r="X108" s="1040">
        <v>5.7923239999999998</v>
      </c>
      <c r="Y108" s="1040">
        <v>5.9347989999999999</v>
      </c>
      <c r="Z108" s="1040">
        <v>5.9545320000000004</v>
      </c>
      <c r="AA108" s="1040">
        <v>6.0522600000000004</v>
      </c>
      <c r="AB108" s="1040">
        <v>6.2273719999999999</v>
      </c>
      <c r="AC108" s="1040">
        <v>6.3209530000000003</v>
      </c>
      <c r="AD108" s="1040">
        <v>6.356109</v>
      </c>
      <c r="AE108" s="1040">
        <v>6.4293370000000003</v>
      </c>
      <c r="AF108" s="1040">
        <v>6.531498</v>
      </c>
      <c r="AG108" s="1040">
        <v>6.7357209999999998</v>
      </c>
      <c r="AH108" s="1040">
        <v>6.9891050000000003</v>
      </c>
      <c r="AI108" s="1040">
        <v>7.1038509999999997</v>
      </c>
      <c r="AJ108" s="1040">
        <v>7.224164</v>
      </c>
      <c r="AK108" s="1040">
        <v>7.420331</v>
      </c>
      <c r="AL108" s="1040">
        <v>7.5726420000000001</v>
      </c>
      <c r="AM108" s="1040">
        <v>7.7575940000000001</v>
      </c>
      <c r="AN108" s="1040">
        <v>8.0432100000000002</v>
      </c>
      <c r="AO108" s="1040">
        <v>8.0942129999999999</v>
      </c>
      <c r="AP108" s="1040">
        <v>8.1302479999999999</v>
      </c>
      <c r="AQ108" s="1040">
        <v>8.3372609999999998</v>
      </c>
      <c r="AR108" s="1040">
        <v>8.5934050000000006</v>
      </c>
      <c r="AS108" s="1036"/>
      <c r="AT108" s="1036"/>
      <c r="AU108" s="1036"/>
      <c r="AV108" s="1036"/>
      <c r="AW108" s="1036"/>
      <c r="AX108" s="1036"/>
      <c r="AY108" s="1036"/>
      <c r="AZ108" s="1036"/>
      <c r="BA108" s="1036"/>
      <c r="BB108" s="1036"/>
      <c r="BC108" s="1036"/>
      <c r="BD108" s="1036"/>
      <c r="BE108" s="1036"/>
      <c r="BF108" s="1036"/>
      <c r="BG108" s="1036"/>
      <c r="BH108" s="1036"/>
      <c r="BI108" s="1036"/>
      <c r="BJ108" s="1036"/>
      <c r="BK108" s="1036"/>
      <c r="BL108" s="1036"/>
      <c r="BM108" s="1036"/>
      <c r="BN108" s="1036"/>
      <c r="BO108" s="1036"/>
      <c r="BP108" s="1036"/>
      <c r="BQ108" s="1036"/>
      <c r="BR108" s="1036"/>
      <c r="BS108" s="1036"/>
      <c r="BT108" s="1036"/>
      <c r="BU108" s="1036"/>
      <c r="BV108" s="1038"/>
    </row>
    <row r="109" spans="1:104" s="1034" customFormat="1" x14ac:dyDescent="0.2">
      <c r="A109" s="1041" t="str">
        <f>'HyARC Physical Property Data'!$A$74</f>
        <v>Electric Utility Natural Gas</v>
      </c>
      <c r="B109" s="1036"/>
      <c r="C109" s="1037"/>
      <c r="D109" s="1234"/>
      <c r="E109" s="1037"/>
      <c r="F109" s="1036"/>
      <c r="G109" s="1036"/>
      <c r="H109" s="1036"/>
      <c r="I109" s="1036"/>
      <c r="J109" s="1036"/>
      <c r="K109" s="1036"/>
      <c r="L109" s="1036"/>
      <c r="M109" s="1036"/>
      <c r="N109" s="1036"/>
      <c r="O109" s="1040">
        <v>4.881901</v>
      </c>
      <c r="P109" s="1040">
        <v>3.4378730000000002</v>
      </c>
      <c r="Q109" s="1040">
        <v>4.3206319999999998</v>
      </c>
      <c r="R109" s="1040">
        <v>4.4694140000000004</v>
      </c>
      <c r="S109" s="1040">
        <v>4.4284980000000003</v>
      </c>
      <c r="T109" s="1040">
        <v>4.4748020000000004</v>
      </c>
      <c r="U109" s="1040">
        <v>4.6905669999999997</v>
      </c>
      <c r="V109" s="1040">
        <v>5.0621029999999996</v>
      </c>
      <c r="W109" s="1040">
        <v>5.1794200000000004</v>
      </c>
      <c r="X109" s="1040">
        <v>5.0744109999999996</v>
      </c>
      <c r="Y109" s="1040">
        <v>5.242337</v>
      </c>
      <c r="Z109" s="1040">
        <v>5.2943420000000003</v>
      </c>
      <c r="AA109" s="1040">
        <v>5.4200609999999996</v>
      </c>
      <c r="AB109" s="1040">
        <v>5.622217</v>
      </c>
      <c r="AC109" s="1040">
        <v>5.7577170000000004</v>
      </c>
      <c r="AD109" s="1040">
        <v>5.8140010000000002</v>
      </c>
      <c r="AE109" s="1040">
        <v>5.9051999999999998</v>
      </c>
      <c r="AF109" s="1040">
        <v>6.0276690000000004</v>
      </c>
      <c r="AG109" s="1040">
        <v>6.2437040000000001</v>
      </c>
      <c r="AH109" s="1040">
        <v>6.4934279999999998</v>
      </c>
      <c r="AI109" s="1040">
        <v>6.6170710000000001</v>
      </c>
      <c r="AJ109" s="1040">
        <v>6.726566</v>
      </c>
      <c r="AK109" s="1040">
        <v>6.9305599999999998</v>
      </c>
      <c r="AL109" s="1040">
        <v>7.0909170000000001</v>
      </c>
      <c r="AM109" s="1040">
        <v>7.286816</v>
      </c>
      <c r="AN109" s="1040">
        <v>7.5708000000000002</v>
      </c>
      <c r="AO109" s="1040">
        <v>7.630439</v>
      </c>
      <c r="AP109" s="1040">
        <v>7.6782940000000002</v>
      </c>
      <c r="AQ109" s="1040">
        <v>7.8974500000000001</v>
      </c>
      <c r="AR109" s="1040">
        <v>8.1587669999999992</v>
      </c>
      <c r="AS109" s="1036"/>
      <c r="AT109" s="1036"/>
      <c r="AU109" s="1036"/>
      <c r="AV109" s="1036"/>
      <c r="AW109" s="1036"/>
      <c r="AX109" s="1036"/>
      <c r="AY109" s="1036"/>
      <c r="AZ109" s="1036"/>
      <c r="BA109" s="1036"/>
      <c r="BB109" s="1036"/>
      <c r="BC109" s="1036"/>
      <c r="BD109" s="1036"/>
      <c r="BE109" s="1036"/>
      <c r="BF109" s="1036"/>
      <c r="BG109" s="1036"/>
      <c r="BH109" s="1036"/>
      <c r="BI109" s="1036"/>
      <c r="BJ109" s="1036"/>
      <c r="BK109" s="1036"/>
      <c r="BL109" s="1036"/>
      <c r="BM109" s="1036"/>
      <c r="BN109" s="1036"/>
      <c r="BO109" s="1036"/>
      <c r="BP109" s="1036"/>
      <c r="BQ109" s="1036"/>
      <c r="BR109" s="1036"/>
      <c r="BS109" s="1036"/>
      <c r="BT109" s="1036"/>
      <c r="BU109" s="1036"/>
      <c r="BV109" s="1038"/>
    </row>
    <row r="110" spans="1:104" s="1034" customFormat="1" x14ac:dyDescent="0.2">
      <c r="A110" s="1036" t="s">
        <v>1082</v>
      </c>
      <c r="B110" s="1036"/>
      <c r="C110" s="1037"/>
      <c r="D110" s="1234"/>
      <c r="E110" s="1037"/>
      <c r="F110" s="1036"/>
      <c r="G110" s="1036"/>
      <c r="H110" s="1036"/>
      <c r="I110" s="1036"/>
      <c r="J110" s="1036"/>
      <c r="K110" s="1036"/>
      <c r="L110" s="1036"/>
      <c r="M110" s="1036"/>
      <c r="N110" s="1036"/>
      <c r="O110" s="1040"/>
      <c r="P110" s="1040"/>
      <c r="Q110" s="1040"/>
      <c r="R110" s="1040"/>
      <c r="S110" s="1040"/>
      <c r="T110" s="1040"/>
      <c r="U110" s="1040"/>
      <c r="V110" s="1040"/>
      <c r="W110" s="1040"/>
      <c r="X110" s="1040"/>
      <c r="Y110" s="1040"/>
      <c r="Z110" s="1040"/>
      <c r="AA110" s="1040"/>
      <c r="AB110" s="1040"/>
      <c r="AC110" s="1040"/>
      <c r="AD110" s="1040"/>
      <c r="AE110" s="1040"/>
      <c r="AF110" s="1040"/>
      <c r="AG110" s="1040"/>
      <c r="AH110" s="1040"/>
      <c r="AI110" s="1040"/>
      <c r="AJ110" s="1040"/>
      <c r="AK110" s="1040"/>
      <c r="AL110" s="1040"/>
      <c r="AM110" s="1040"/>
      <c r="AN110" s="1040"/>
      <c r="AO110" s="1040"/>
      <c r="AP110" s="1040"/>
      <c r="AQ110" s="1040"/>
      <c r="AR110" s="1040"/>
      <c r="AS110" s="1036"/>
      <c r="AT110" s="1036"/>
      <c r="AU110" s="1036"/>
      <c r="AV110" s="1036"/>
      <c r="AW110" s="1036"/>
      <c r="AX110" s="1036"/>
      <c r="AY110" s="1036"/>
      <c r="AZ110" s="1036"/>
      <c r="BA110" s="1036"/>
      <c r="BB110" s="1036"/>
      <c r="BC110" s="1036"/>
      <c r="BD110" s="1036"/>
      <c r="BE110" s="1036"/>
      <c r="BF110" s="1036"/>
      <c r="BG110" s="1036"/>
      <c r="BH110" s="1036"/>
      <c r="BI110" s="1036"/>
      <c r="BJ110" s="1036"/>
      <c r="BK110" s="1036"/>
      <c r="BL110" s="1036"/>
      <c r="BM110" s="1036"/>
      <c r="BN110" s="1036"/>
      <c r="BO110" s="1036"/>
      <c r="BP110" s="1036"/>
      <c r="BQ110" s="1036"/>
      <c r="BR110" s="1036"/>
      <c r="BS110" s="1036"/>
      <c r="BT110" s="1036"/>
      <c r="BU110" s="1036"/>
      <c r="BV110" s="1038"/>
    </row>
    <row r="111" spans="1:104" s="1034" customFormat="1" x14ac:dyDescent="0.2">
      <c r="A111" s="1056" t="s">
        <v>716</v>
      </c>
      <c r="B111" s="1036"/>
      <c r="C111" s="1037"/>
      <c r="D111" s="1234"/>
      <c r="E111" s="1037"/>
      <c r="F111" s="1036"/>
      <c r="G111" s="1036"/>
      <c r="H111" s="1036"/>
      <c r="I111" s="1036"/>
      <c r="J111" s="1036"/>
      <c r="K111" s="1036"/>
      <c r="L111" s="1036"/>
      <c r="M111" s="1036"/>
      <c r="N111" s="1036"/>
      <c r="O111" s="1040">
        <v>7.1348120000000002</v>
      </c>
      <c r="P111" s="1040">
        <v>7.25</v>
      </c>
      <c r="Q111" s="1040">
        <v>7.4339180000000002</v>
      </c>
      <c r="R111" s="1040">
        <v>7.5123340000000001</v>
      </c>
      <c r="S111" s="1040">
        <v>7.7593930000000002</v>
      </c>
      <c r="T111" s="1040">
        <v>7.9480709999999997</v>
      </c>
      <c r="U111" s="1040">
        <v>8.0483750000000001</v>
      </c>
      <c r="V111" s="1040">
        <v>8.1909299999999998</v>
      </c>
      <c r="W111" s="1040">
        <v>8.3009920000000008</v>
      </c>
      <c r="X111" s="1040">
        <v>8.4282590000000006</v>
      </c>
      <c r="Y111" s="1040">
        <v>8.5261879999999994</v>
      </c>
      <c r="Z111" s="1040">
        <v>8.6333680000000008</v>
      </c>
      <c r="AA111" s="1040">
        <v>8.7384330000000006</v>
      </c>
      <c r="AB111" s="1040">
        <v>8.8454820000000005</v>
      </c>
      <c r="AC111" s="1040">
        <v>8.9517559999999996</v>
      </c>
      <c r="AD111" s="1040">
        <v>9.0441529999999997</v>
      </c>
      <c r="AE111" s="1040">
        <v>9.1489940000000001</v>
      </c>
      <c r="AF111" s="1040">
        <v>9.2665970000000009</v>
      </c>
      <c r="AG111" s="1040">
        <v>9.3802029999999998</v>
      </c>
      <c r="AH111" s="1040">
        <v>9.5131180000000004</v>
      </c>
      <c r="AI111" s="1040">
        <v>9.5927720000000001</v>
      </c>
      <c r="AJ111" s="1040">
        <v>9.6736090000000008</v>
      </c>
      <c r="AK111" s="1040">
        <v>9.7592280000000002</v>
      </c>
      <c r="AL111" s="1040">
        <v>9.8373989999999996</v>
      </c>
      <c r="AM111" s="1040">
        <v>9.9349030000000003</v>
      </c>
      <c r="AN111" s="1040">
        <v>10.012817</v>
      </c>
      <c r="AO111" s="1040">
        <v>10.10066</v>
      </c>
      <c r="AP111" s="1040">
        <v>10.107113</v>
      </c>
      <c r="AQ111" s="1040">
        <v>10.135842</v>
      </c>
      <c r="AR111" s="1040">
        <v>10.197044999999999</v>
      </c>
      <c r="AS111" s="1036"/>
      <c r="AT111" s="1036"/>
      <c r="AU111" s="1036"/>
      <c r="AV111" s="1036"/>
      <c r="AW111" s="1036"/>
      <c r="AX111" s="1036"/>
      <c r="AY111" s="1036"/>
      <c r="AZ111" s="1036"/>
      <c r="BA111" s="1036"/>
      <c r="BB111" s="1036"/>
      <c r="BC111" s="1036"/>
      <c r="BD111" s="1036"/>
      <c r="BE111" s="1036"/>
      <c r="BF111" s="1036"/>
      <c r="BG111" s="1036"/>
      <c r="BH111" s="1036"/>
      <c r="BI111" s="1036"/>
      <c r="BJ111" s="1036"/>
      <c r="BK111" s="1036"/>
      <c r="BL111" s="1036"/>
      <c r="BM111" s="1036"/>
      <c r="BN111" s="1036"/>
      <c r="BO111" s="1036"/>
      <c r="BP111" s="1036"/>
      <c r="BQ111" s="1036"/>
      <c r="BR111" s="1036"/>
      <c r="BS111" s="1036"/>
      <c r="BT111" s="1036"/>
      <c r="BU111" s="1036"/>
      <c r="BV111" s="1038"/>
    </row>
    <row r="112" spans="1:104" s="1034" customFormat="1" x14ac:dyDescent="0.2">
      <c r="A112" s="1056" t="s">
        <v>717</v>
      </c>
      <c r="B112" s="1036"/>
      <c r="C112" s="1037"/>
      <c r="D112" s="1234"/>
      <c r="E112" s="1037"/>
      <c r="F112" s="1036"/>
      <c r="G112" s="1036"/>
      <c r="H112" s="1036"/>
      <c r="I112" s="1036"/>
      <c r="J112" s="1036"/>
      <c r="K112" s="1036"/>
      <c r="L112" s="1036"/>
      <c r="M112" s="1036"/>
      <c r="N112" s="1036"/>
      <c r="O112" s="1040">
        <v>3.3073760000000001</v>
      </c>
      <c r="P112" s="1040">
        <v>3.2396150000000001</v>
      </c>
      <c r="Q112" s="1040">
        <v>3.3150900000000001</v>
      </c>
      <c r="R112" s="1040">
        <v>3.2817340000000002</v>
      </c>
      <c r="S112" s="1040">
        <v>3.3761420000000002</v>
      </c>
      <c r="T112" s="1040">
        <v>3.437208</v>
      </c>
      <c r="U112" s="1040">
        <v>3.4609869999999998</v>
      </c>
      <c r="V112" s="1040">
        <v>3.5206819999999999</v>
      </c>
      <c r="W112" s="1040">
        <v>3.5610849999999998</v>
      </c>
      <c r="X112" s="1040">
        <v>3.5932520000000001</v>
      </c>
      <c r="Y112" s="1040">
        <v>3.6143869999999998</v>
      </c>
      <c r="Z112" s="1040">
        <v>3.6395840000000002</v>
      </c>
      <c r="AA112" s="1040">
        <v>3.6651829999999999</v>
      </c>
      <c r="AB112" s="1040">
        <v>3.697009</v>
      </c>
      <c r="AC112" s="1040">
        <v>3.7274949999999998</v>
      </c>
      <c r="AD112" s="1040">
        <v>3.7560980000000002</v>
      </c>
      <c r="AE112" s="1040">
        <v>3.7847550000000001</v>
      </c>
      <c r="AF112" s="1040">
        <v>3.8163930000000001</v>
      </c>
      <c r="AG112" s="1040">
        <v>3.8450039999999999</v>
      </c>
      <c r="AH112" s="1040">
        <v>3.8844850000000002</v>
      </c>
      <c r="AI112" s="1040">
        <v>3.9155440000000001</v>
      </c>
      <c r="AJ112" s="1040">
        <v>3.944798</v>
      </c>
      <c r="AK112" s="1040">
        <v>3.9761479999999998</v>
      </c>
      <c r="AL112" s="1040">
        <v>4.0004489999999997</v>
      </c>
      <c r="AM112" s="1040">
        <v>4.0294249999999998</v>
      </c>
      <c r="AN112" s="1040">
        <v>4.0600360000000002</v>
      </c>
      <c r="AO112" s="1040">
        <v>4.0903939999999999</v>
      </c>
      <c r="AP112" s="1040">
        <v>4.1171660000000001</v>
      </c>
      <c r="AQ112" s="1040">
        <v>4.1493070000000003</v>
      </c>
      <c r="AR112" s="1040">
        <v>4.1898999999999997</v>
      </c>
      <c r="AS112" s="1036"/>
      <c r="AT112" s="1036"/>
      <c r="AU112" s="1036"/>
      <c r="AV112" s="1036"/>
      <c r="AW112" s="1036"/>
      <c r="AX112" s="1036"/>
      <c r="AY112" s="1036"/>
      <c r="AZ112" s="1036"/>
      <c r="BA112" s="1036"/>
      <c r="BB112" s="1036"/>
      <c r="BC112" s="1036"/>
      <c r="BD112" s="1036"/>
      <c r="BE112" s="1036"/>
      <c r="BF112" s="1036"/>
      <c r="BG112" s="1036"/>
      <c r="BH112" s="1036"/>
      <c r="BI112" s="1036"/>
      <c r="BJ112" s="1036"/>
      <c r="BK112" s="1036"/>
      <c r="BL112" s="1036"/>
      <c r="BM112" s="1036"/>
      <c r="BN112" s="1036"/>
      <c r="BO112" s="1036"/>
      <c r="BP112" s="1036"/>
      <c r="BQ112" s="1036"/>
      <c r="BR112" s="1036"/>
      <c r="BS112" s="1036"/>
      <c r="BT112" s="1036"/>
      <c r="BU112" s="1036"/>
      <c r="BV112" s="1038"/>
    </row>
    <row r="113" spans="1:74" s="1034" customFormat="1" x14ac:dyDescent="0.2">
      <c r="A113" s="1039" t="s">
        <v>1088</v>
      </c>
      <c r="B113" s="1036"/>
      <c r="C113" s="1037"/>
      <c r="D113" s="1234"/>
      <c r="E113" s="1037"/>
      <c r="F113" s="1036"/>
      <c r="G113" s="1036"/>
      <c r="H113" s="1036"/>
      <c r="I113" s="1036"/>
      <c r="J113" s="1036"/>
      <c r="K113" s="1036"/>
      <c r="L113" s="1036"/>
      <c r="M113" s="1036"/>
      <c r="N113" s="1036"/>
      <c r="O113" s="1040">
        <v>2.4223750000000002</v>
      </c>
      <c r="P113" s="1040">
        <v>2.39</v>
      </c>
      <c r="Q113" s="1040">
        <v>2.37385</v>
      </c>
      <c r="R113" s="1040">
        <v>2.329834</v>
      </c>
      <c r="S113" s="1040">
        <v>2.4039359999999999</v>
      </c>
      <c r="T113" s="1040">
        <v>2.422212</v>
      </c>
      <c r="U113" s="1040">
        <v>2.4863749999999998</v>
      </c>
      <c r="V113" s="1040">
        <v>2.5503130000000001</v>
      </c>
      <c r="W113" s="1040">
        <v>2.589102</v>
      </c>
      <c r="X113" s="1040">
        <v>2.6113439999999999</v>
      </c>
      <c r="Y113" s="1040">
        <v>2.6429999999999998</v>
      </c>
      <c r="Z113" s="1040">
        <v>2.675691</v>
      </c>
      <c r="AA113" s="1040">
        <v>2.7024710000000001</v>
      </c>
      <c r="AB113" s="1040">
        <v>2.7390279999999998</v>
      </c>
      <c r="AC113" s="1040">
        <v>2.7738589999999999</v>
      </c>
      <c r="AD113" s="1040">
        <v>2.807261</v>
      </c>
      <c r="AE113" s="1040">
        <v>2.8368190000000002</v>
      </c>
      <c r="AF113" s="1040">
        <v>2.8649870000000002</v>
      </c>
      <c r="AG113" s="1040">
        <v>2.8913859999999998</v>
      </c>
      <c r="AH113" s="1040">
        <v>2.9256030000000002</v>
      </c>
      <c r="AI113" s="1040">
        <v>2.9494180000000001</v>
      </c>
      <c r="AJ113" s="1040">
        <v>2.9743849999999998</v>
      </c>
      <c r="AK113" s="1040">
        <v>3.0006210000000002</v>
      </c>
      <c r="AL113" s="1040">
        <v>3.0244930000000001</v>
      </c>
      <c r="AM113" s="1040">
        <v>3.050074</v>
      </c>
      <c r="AN113" s="1040">
        <v>3.076149</v>
      </c>
      <c r="AO113" s="1040">
        <v>3.099027</v>
      </c>
      <c r="AP113" s="1040">
        <v>3.1208209999999998</v>
      </c>
      <c r="AQ113" s="1040">
        <v>3.153797</v>
      </c>
      <c r="AR113" s="1040">
        <v>3.1896749999999998</v>
      </c>
      <c r="AS113" s="1036"/>
      <c r="AT113" s="1036"/>
      <c r="AU113" s="1036"/>
      <c r="AV113" s="1036"/>
      <c r="AW113" s="1036"/>
      <c r="AX113" s="1036"/>
      <c r="AY113" s="1036"/>
      <c r="AZ113" s="1036"/>
      <c r="BA113" s="1036"/>
      <c r="BB113" s="1036"/>
      <c r="BC113" s="1036"/>
      <c r="BD113" s="1036"/>
      <c r="BE113" s="1036"/>
      <c r="BF113" s="1036"/>
      <c r="BG113" s="1036"/>
      <c r="BH113" s="1036"/>
      <c r="BI113" s="1036"/>
      <c r="BJ113" s="1036"/>
      <c r="BK113" s="1036"/>
      <c r="BL113" s="1036"/>
      <c r="BM113" s="1036"/>
      <c r="BN113" s="1036"/>
      <c r="BO113" s="1036"/>
      <c r="BP113" s="1036"/>
      <c r="BQ113" s="1036"/>
      <c r="BR113" s="1036"/>
      <c r="BS113" s="1036"/>
      <c r="BT113" s="1036"/>
      <c r="BU113" s="1036"/>
      <c r="BV113" s="1038"/>
    </row>
    <row r="114" spans="1:74" s="1034" customFormat="1" x14ac:dyDescent="0.2">
      <c r="A114" s="1039" t="s">
        <v>683</v>
      </c>
      <c r="B114" s="1036"/>
      <c r="C114" s="1037"/>
      <c r="D114" s="1234"/>
      <c r="E114" s="1037"/>
      <c r="F114" s="1036"/>
      <c r="G114" s="1036"/>
      <c r="H114" s="1036"/>
      <c r="I114" s="1036"/>
      <c r="J114" s="1036"/>
      <c r="K114" s="1036"/>
      <c r="L114" s="1036"/>
      <c r="M114" s="1036"/>
      <c r="N114" s="1036"/>
      <c r="O114" s="1040">
        <v>30.531154999999998</v>
      </c>
      <c r="P114" s="1040">
        <v>29.553346999999999</v>
      </c>
      <c r="Q114" s="1040">
        <v>29.462689999999998</v>
      </c>
      <c r="R114" s="1040">
        <v>29.619807999999999</v>
      </c>
      <c r="S114" s="1040">
        <v>29.992000999999998</v>
      </c>
      <c r="T114" s="1040">
        <v>30.137812</v>
      </c>
      <c r="U114" s="1040">
        <v>30.368880999999998</v>
      </c>
      <c r="V114" s="1040">
        <v>30.723389000000001</v>
      </c>
      <c r="W114" s="1040">
        <v>31.014326000000001</v>
      </c>
      <c r="X114" s="1040">
        <v>30.799534000000001</v>
      </c>
      <c r="Y114" s="1040">
        <v>30.631943</v>
      </c>
      <c r="Z114" s="1040">
        <v>30.294862999999999</v>
      </c>
      <c r="AA114" s="1040">
        <v>30.159492</v>
      </c>
      <c r="AB114" s="1040">
        <v>30.497467</v>
      </c>
      <c r="AC114" s="1040">
        <v>30.549484</v>
      </c>
      <c r="AD114" s="1040">
        <v>30.628119000000002</v>
      </c>
      <c r="AE114" s="1040">
        <v>30.831617000000001</v>
      </c>
      <c r="AF114" s="1040">
        <v>30.906943999999999</v>
      </c>
      <c r="AG114" s="1040">
        <v>31.016119</v>
      </c>
      <c r="AH114" s="1040">
        <v>31.259630000000001</v>
      </c>
      <c r="AI114" s="1040">
        <v>31.506346000000001</v>
      </c>
      <c r="AJ114" s="1040">
        <v>31.548763000000001</v>
      </c>
      <c r="AK114" s="1040">
        <v>31.537307999999999</v>
      </c>
      <c r="AL114" s="1040">
        <v>31.727125000000001</v>
      </c>
      <c r="AM114" s="1040">
        <v>31.983875000000001</v>
      </c>
      <c r="AN114" s="1040">
        <v>32.252009999999999</v>
      </c>
      <c r="AO114" s="1040">
        <v>32.456364000000001</v>
      </c>
      <c r="AP114" s="1040">
        <v>32.526015999999998</v>
      </c>
      <c r="AQ114" s="1040">
        <v>32.747635000000002</v>
      </c>
      <c r="AR114" s="1040">
        <v>33.007354999999997</v>
      </c>
      <c r="AS114" s="1036"/>
      <c r="AT114" s="1036"/>
      <c r="AU114" s="1036"/>
      <c r="AV114" s="1036"/>
      <c r="AW114" s="1036"/>
      <c r="AX114" s="1036"/>
      <c r="AY114" s="1036"/>
      <c r="AZ114" s="1036"/>
      <c r="BA114" s="1036"/>
      <c r="BB114" s="1036"/>
      <c r="BC114" s="1036"/>
      <c r="BD114" s="1036"/>
      <c r="BE114" s="1036"/>
      <c r="BF114" s="1036"/>
      <c r="BG114" s="1036"/>
      <c r="BH114" s="1036"/>
      <c r="BI114" s="1036"/>
      <c r="BJ114" s="1036"/>
      <c r="BK114" s="1036"/>
      <c r="BL114" s="1036"/>
      <c r="BM114" s="1036"/>
      <c r="BN114" s="1036"/>
      <c r="BO114" s="1036"/>
      <c r="BP114" s="1036"/>
      <c r="BQ114" s="1036"/>
      <c r="BR114" s="1036"/>
      <c r="BS114" s="1036"/>
      <c r="BT114" s="1036"/>
      <c r="BU114" s="1036"/>
      <c r="BV114" s="1038"/>
    </row>
    <row r="115" spans="1:74" s="1034" customFormat="1" x14ac:dyDescent="0.2">
      <c r="A115" s="1039" t="s">
        <v>698</v>
      </c>
      <c r="B115" s="1036"/>
      <c r="C115" s="1037"/>
      <c r="D115" s="1234"/>
      <c r="E115" s="1037"/>
      <c r="F115" s="1036"/>
      <c r="G115" s="1036"/>
      <c r="H115" s="1036"/>
      <c r="I115" s="1036"/>
      <c r="J115" s="1036"/>
      <c r="K115" s="1036"/>
      <c r="L115" s="1036"/>
      <c r="M115" s="1036"/>
      <c r="N115" s="1036"/>
      <c r="O115" s="1040">
        <v>20.348036</v>
      </c>
      <c r="P115" s="1040">
        <v>19.495602000000002</v>
      </c>
      <c r="Q115" s="1040">
        <v>20.081951</v>
      </c>
      <c r="R115" s="1040">
        <v>19.872589000000001</v>
      </c>
      <c r="S115" s="1040">
        <v>20.106300000000001</v>
      </c>
      <c r="T115" s="1040">
        <v>20.110336</v>
      </c>
      <c r="U115" s="1040">
        <v>20.286434</v>
      </c>
      <c r="V115" s="1040">
        <v>20.591933999999998</v>
      </c>
      <c r="W115" s="1040">
        <v>20.859487999999999</v>
      </c>
      <c r="X115" s="1040">
        <v>20.769625000000001</v>
      </c>
      <c r="Y115" s="1040">
        <v>20.751276000000001</v>
      </c>
      <c r="Z115" s="1040">
        <v>20.654140000000002</v>
      </c>
      <c r="AA115" s="1040">
        <v>20.663025000000001</v>
      </c>
      <c r="AB115" s="1040">
        <v>20.946209</v>
      </c>
      <c r="AC115" s="1040">
        <v>21.079236999999999</v>
      </c>
      <c r="AD115" s="1040">
        <v>21.236912</v>
      </c>
      <c r="AE115" s="1040">
        <v>21.461658</v>
      </c>
      <c r="AF115" s="1040">
        <v>21.586451</v>
      </c>
      <c r="AG115" s="1040">
        <v>21.737777999999999</v>
      </c>
      <c r="AH115" s="1040">
        <v>21.988303999999999</v>
      </c>
      <c r="AI115" s="1040">
        <v>22.237325999999999</v>
      </c>
      <c r="AJ115" s="1040">
        <v>22.342414999999999</v>
      </c>
      <c r="AK115" s="1040">
        <v>22.437189</v>
      </c>
      <c r="AL115" s="1040">
        <v>22.654578999999998</v>
      </c>
      <c r="AM115" s="1040">
        <v>22.911854000000002</v>
      </c>
      <c r="AN115" s="1040">
        <v>23.191139</v>
      </c>
      <c r="AO115" s="1040">
        <v>23.409314999999999</v>
      </c>
      <c r="AP115" s="1040">
        <v>23.521646</v>
      </c>
      <c r="AQ115" s="1040">
        <v>23.76399</v>
      </c>
      <c r="AR115" s="1040">
        <v>24.052772999999998</v>
      </c>
      <c r="AS115" s="1036"/>
      <c r="AT115" s="1036"/>
      <c r="AU115" s="1036"/>
      <c r="AV115" s="1036"/>
      <c r="AW115" s="1036"/>
      <c r="AX115" s="1036"/>
      <c r="AY115" s="1036"/>
      <c r="AZ115" s="1036"/>
      <c r="BA115" s="1036"/>
      <c r="BB115" s="1036"/>
      <c r="BC115" s="1036"/>
      <c r="BD115" s="1036"/>
      <c r="BE115" s="1036"/>
      <c r="BF115" s="1036"/>
      <c r="BG115" s="1036"/>
      <c r="BH115" s="1036"/>
      <c r="BI115" s="1036"/>
      <c r="BJ115" s="1036"/>
      <c r="BK115" s="1036"/>
      <c r="BL115" s="1036"/>
      <c r="BM115" s="1036"/>
      <c r="BN115" s="1036"/>
      <c r="BO115" s="1036"/>
      <c r="BP115" s="1036"/>
      <c r="BQ115" s="1036"/>
      <c r="BR115" s="1036"/>
      <c r="BS115" s="1036"/>
      <c r="BT115" s="1036"/>
      <c r="BU115" s="1036"/>
      <c r="BV115" s="1038"/>
    </row>
    <row r="116" spans="1:74" s="1034" customFormat="1" ht="13.5" thickBot="1" x14ac:dyDescent="0.25">
      <c r="A116" s="1043" t="s">
        <v>684</v>
      </c>
      <c r="B116" s="1044"/>
      <c r="C116" s="1045"/>
      <c r="D116" s="1045"/>
      <c r="E116" s="1045"/>
      <c r="F116" s="1044"/>
      <c r="G116" s="1044"/>
      <c r="H116" s="1044"/>
      <c r="I116" s="1044"/>
      <c r="J116" s="1044"/>
      <c r="K116" s="1044"/>
      <c r="L116" s="1044"/>
      <c r="M116" s="1044"/>
      <c r="N116" s="1044"/>
      <c r="O116" s="1046">
        <v>34.952885000000002</v>
      </c>
      <c r="P116" s="1046">
        <v>34.831184</v>
      </c>
      <c r="Q116" s="1046">
        <v>34.015979999999999</v>
      </c>
      <c r="R116" s="1046">
        <v>34.409668000000003</v>
      </c>
      <c r="S116" s="1046">
        <v>34.941752999999999</v>
      </c>
      <c r="T116" s="1046">
        <v>35.163139000000001</v>
      </c>
      <c r="U116" s="1046">
        <v>35.519157</v>
      </c>
      <c r="V116" s="1046">
        <v>35.913296000000003</v>
      </c>
      <c r="W116" s="1046">
        <v>36.178234000000003</v>
      </c>
      <c r="X116" s="1046">
        <v>36.146892999999999</v>
      </c>
      <c r="Y116" s="1046">
        <v>36.061802</v>
      </c>
      <c r="Z116" s="1046">
        <v>35.804130999999998</v>
      </c>
      <c r="AA116" s="1046">
        <v>35.695621000000003</v>
      </c>
      <c r="AB116" s="1046">
        <v>36.040774999999996</v>
      </c>
      <c r="AC116" s="1046">
        <v>36.141415000000002</v>
      </c>
      <c r="AD116" s="1046">
        <v>36.246937000000003</v>
      </c>
      <c r="AE116" s="1046">
        <v>36.470740999999997</v>
      </c>
      <c r="AF116" s="1046">
        <v>36.579631999999997</v>
      </c>
      <c r="AG116" s="1046">
        <v>36.725307000000001</v>
      </c>
      <c r="AH116" s="1046">
        <v>36.981831</v>
      </c>
      <c r="AI116" s="1046">
        <v>37.256236999999999</v>
      </c>
      <c r="AJ116" s="1046">
        <v>37.335673999999997</v>
      </c>
      <c r="AK116" s="1046">
        <v>37.369007000000003</v>
      </c>
      <c r="AL116" s="1046">
        <v>37.567386999999997</v>
      </c>
      <c r="AM116" s="1046">
        <v>37.817901999999997</v>
      </c>
      <c r="AN116" s="1046">
        <v>38.082256000000001</v>
      </c>
      <c r="AO116" s="1046">
        <v>38.298912000000001</v>
      </c>
      <c r="AP116" s="1046">
        <v>38.369354000000001</v>
      </c>
      <c r="AQ116" s="1046">
        <v>38.582217999999997</v>
      </c>
      <c r="AR116" s="1046">
        <v>38.834609999999998</v>
      </c>
      <c r="AS116" s="1044"/>
      <c r="AT116" s="1044"/>
      <c r="AU116" s="1044"/>
      <c r="AV116" s="1044"/>
      <c r="AW116" s="1044"/>
      <c r="AX116" s="1044"/>
      <c r="AY116" s="1044"/>
      <c r="AZ116" s="1044"/>
      <c r="BA116" s="1044"/>
      <c r="BB116" s="1044"/>
      <c r="BC116" s="1044"/>
      <c r="BD116" s="1044"/>
      <c r="BE116" s="1044"/>
      <c r="BF116" s="1044"/>
      <c r="BG116" s="1044"/>
      <c r="BH116" s="1044"/>
      <c r="BI116" s="1044"/>
      <c r="BJ116" s="1044"/>
      <c r="BK116" s="1044"/>
      <c r="BL116" s="1044"/>
      <c r="BM116" s="1044"/>
      <c r="BN116" s="1044"/>
      <c r="BO116" s="1044"/>
      <c r="BP116" s="1044"/>
      <c r="BQ116" s="1044"/>
      <c r="BR116" s="1044"/>
      <c r="BS116" s="1044"/>
      <c r="BT116" s="1044"/>
      <c r="BU116" s="1044"/>
      <c r="BV116" s="1047"/>
    </row>
    <row r="129" spans="1:104" ht="13.5" thickBot="1" x14ac:dyDescent="0.25"/>
    <row r="130" spans="1:104" x14ac:dyDescent="0.2">
      <c r="A130" s="1364" t="s">
        <v>1291</v>
      </c>
      <c r="B130" s="1365" t="s">
        <v>1290</v>
      </c>
      <c r="C130" s="1365"/>
      <c r="D130" s="1366"/>
      <c r="E130" s="1365"/>
      <c r="F130" s="940"/>
      <c r="G130" s="940"/>
      <c r="H130" s="940"/>
      <c r="I130" s="940"/>
      <c r="J130" s="940"/>
      <c r="K130" s="940"/>
      <c r="L130" s="940"/>
      <c r="M130" s="940"/>
      <c r="N130" s="940"/>
      <c r="O130" s="940"/>
      <c r="P130" s="940"/>
      <c r="Q130" s="940"/>
      <c r="R130" s="940"/>
      <c r="S130" s="940"/>
      <c r="T130" s="940"/>
      <c r="U130" s="940"/>
      <c r="V130" s="940"/>
      <c r="W130" s="940"/>
      <c r="X130" s="940"/>
      <c r="Y130" s="940"/>
      <c r="Z130" s="940"/>
      <c r="AA130" s="940"/>
      <c r="AB130" s="940"/>
      <c r="AC130" s="940"/>
      <c r="AD130" s="940"/>
      <c r="AE130" s="940"/>
      <c r="AF130" s="940"/>
      <c r="AG130" s="940"/>
      <c r="AH130" s="940"/>
      <c r="AI130" s="940"/>
      <c r="AJ130" s="940"/>
      <c r="AK130" s="940"/>
      <c r="AL130" s="940"/>
      <c r="AM130" s="940"/>
      <c r="AN130" s="940"/>
      <c r="AO130" s="940"/>
      <c r="AP130" s="940"/>
      <c r="AQ130" s="940"/>
      <c r="AR130" s="940"/>
      <c r="AS130" s="1367"/>
      <c r="AT130" s="1367"/>
      <c r="AU130" s="1367"/>
      <c r="AV130" s="1367"/>
      <c r="AW130" s="1367"/>
      <c r="AX130" s="1367"/>
      <c r="AY130" s="1367"/>
      <c r="AZ130" s="1367"/>
      <c r="BA130" s="1367"/>
      <c r="BB130" s="1368" t="s">
        <v>1292</v>
      </c>
      <c r="BC130" s="1369"/>
      <c r="BD130" s="1369"/>
      <c r="BE130" s="1369"/>
      <c r="BF130" s="1369"/>
      <c r="BG130" s="1369"/>
      <c r="BH130" s="1369"/>
      <c r="BI130" s="1369"/>
      <c r="BJ130" s="1369"/>
      <c r="BK130" s="1369"/>
      <c r="BL130" s="1369"/>
      <c r="BM130" s="1369"/>
      <c r="BN130" s="1369"/>
      <c r="BO130" s="1369"/>
      <c r="BP130" s="1369"/>
      <c r="BQ130" s="1369"/>
      <c r="BR130" s="1369"/>
      <c r="BS130" s="1369"/>
      <c r="BT130" s="1369"/>
      <c r="BU130" s="1369"/>
      <c r="BV130" s="1369"/>
      <c r="BW130" s="1369"/>
      <c r="BX130" s="1369"/>
      <c r="BY130" s="1369"/>
      <c r="BZ130" s="1369"/>
      <c r="CA130" s="1369"/>
      <c r="CB130" s="1369"/>
      <c r="CC130" s="1369"/>
      <c r="CD130" s="1369"/>
      <c r="CE130" s="1369"/>
      <c r="CF130" s="1369"/>
      <c r="CG130" s="1369"/>
      <c r="CH130" s="1369"/>
      <c r="CI130" s="1369"/>
      <c r="CJ130" s="1369"/>
      <c r="CK130" s="1369"/>
      <c r="CL130" s="1369"/>
      <c r="CM130" s="1369"/>
      <c r="CN130" s="1369"/>
      <c r="CO130" s="1369"/>
      <c r="CP130" s="1369"/>
      <c r="CQ130" s="1369"/>
      <c r="CR130" s="1369"/>
      <c r="CS130" s="1369"/>
      <c r="CT130" s="1369"/>
      <c r="CU130" s="1369"/>
      <c r="CV130" s="1369"/>
      <c r="CW130" s="1369"/>
      <c r="CX130" s="1369"/>
      <c r="CY130" s="1369"/>
      <c r="CZ130" s="1370"/>
    </row>
    <row r="131" spans="1:104" ht="51.75" thickBot="1" x14ac:dyDescent="0.25">
      <c r="A131" s="1371" t="s">
        <v>1085</v>
      </c>
      <c r="B131" s="1104" t="s">
        <v>678</v>
      </c>
      <c r="C131" s="1104" t="s">
        <v>679</v>
      </c>
      <c r="D131" s="1237" t="s">
        <v>690</v>
      </c>
      <c r="E131" s="1104" t="s">
        <v>691</v>
      </c>
      <c r="F131" s="1105" t="s">
        <v>680</v>
      </c>
      <c r="G131" s="1105" t="s">
        <v>692</v>
      </c>
      <c r="H131" s="870">
        <v>2004</v>
      </c>
      <c r="I131" s="870">
        <f>+H131+1</f>
        <v>2005</v>
      </c>
      <c r="J131" s="870">
        <f t="shared" ref="J131:BU131" si="265">+I131+1</f>
        <v>2006</v>
      </c>
      <c r="K131" s="870">
        <f t="shared" si="265"/>
        <v>2007</v>
      </c>
      <c r="L131" s="870">
        <f t="shared" si="265"/>
        <v>2008</v>
      </c>
      <c r="M131" s="870">
        <f t="shared" si="265"/>
        <v>2009</v>
      </c>
      <c r="N131" s="870">
        <f t="shared" si="265"/>
        <v>2010</v>
      </c>
      <c r="O131" s="870">
        <f t="shared" si="265"/>
        <v>2011</v>
      </c>
      <c r="P131" s="870">
        <f t="shared" si="265"/>
        <v>2012</v>
      </c>
      <c r="Q131" s="870">
        <f t="shared" si="265"/>
        <v>2013</v>
      </c>
      <c r="R131" s="870">
        <f t="shared" si="265"/>
        <v>2014</v>
      </c>
      <c r="S131" s="870">
        <f t="shared" si="265"/>
        <v>2015</v>
      </c>
      <c r="T131" s="870">
        <f t="shared" si="265"/>
        <v>2016</v>
      </c>
      <c r="U131" s="870">
        <f t="shared" si="265"/>
        <v>2017</v>
      </c>
      <c r="V131" s="870">
        <f t="shared" si="265"/>
        <v>2018</v>
      </c>
      <c r="W131" s="870">
        <f t="shared" si="265"/>
        <v>2019</v>
      </c>
      <c r="X131" s="870">
        <f t="shared" si="265"/>
        <v>2020</v>
      </c>
      <c r="Y131" s="870">
        <f t="shared" si="265"/>
        <v>2021</v>
      </c>
      <c r="Z131" s="870">
        <f t="shared" si="265"/>
        <v>2022</v>
      </c>
      <c r="AA131" s="870">
        <f t="shared" si="265"/>
        <v>2023</v>
      </c>
      <c r="AB131" s="870">
        <f t="shared" si="265"/>
        <v>2024</v>
      </c>
      <c r="AC131" s="870">
        <f t="shared" si="265"/>
        <v>2025</v>
      </c>
      <c r="AD131" s="870">
        <f t="shared" si="265"/>
        <v>2026</v>
      </c>
      <c r="AE131" s="870">
        <f t="shared" si="265"/>
        <v>2027</v>
      </c>
      <c r="AF131" s="870">
        <f t="shared" si="265"/>
        <v>2028</v>
      </c>
      <c r="AG131" s="870">
        <f t="shared" si="265"/>
        <v>2029</v>
      </c>
      <c r="AH131" s="870">
        <f t="shared" si="265"/>
        <v>2030</v>
      </c>
      <c r="AI131" s="870">
        <f t="shared" si="265"/>
        <v>2031</v>
      </c>
      <c r="AJ131" s="870">
        <f t="shared" si="265"/>
        <v>2032</v>
      </c>
      <c r="AK131" s="870">
        <f t="shared" si="265"/>
        <v>2033</v>
      </c>
      <c r="AL131" s="870">
        <f t="shared" si="265"/>
        <v>2034</v>
      </c>
      <c r="AM131" s="870">
        <f t="shared" si="265"/>
        <v>2035</v>
      </c>
      <c r="AN131" s="870">
        <f t="shared" si="265"/>
        <v>2036</v>
      </c>
      <c r="AO131" s="870">
        <f t="shared" si="265"/>
        <v>2037</v>
      </c>
      <c r="AP131" s="870">
        <f t="shared" si="265"/>
        <v>2038</v>
      </c>
      <c r="AQ131" s="870">
        <f t="shared" si="265"/>
        <v>2039</v>
      </c>
      <c r="AR131" s="870">
        <f t="shared" si="265"/>
        <v>2040</v>
      </c>
      <c r="AS131" s="870">
        <f t="shared" si="265"/>
        <v>2041</v>
      </c>
      <c r="AT131" s="870">
        <f t="shared" si="265"/>
        <v>2042</v>
      </c>
      <c r="AU131" s="870">
        <f t="shared" si="265"/>
        <v>2043</v>
      </c>
      <c r="AV131" s="870">
        <f t="shared" si="265"/>
        <v>2044</v>
      </c>
      <c r="AW131" s="870">
        <f t="shared" si="265"/>
        <v>2045</v>
      </c>
      <c r="AX131" s="870">
        <f t="shared" si="265"/>
        <v>2046</v>
      </c>
      <c r="AY131" s="870">
        <f t="shared" si="265"/>
        <v>2047</v>
      </c>
      <c r="AZ131" s="870">
        <f t="shared" si="265"/>
        <v>2048</v>
      </c>
      <c r="BA131" s="870">
        <f t="shared" si="265"/>
        <v>2049</v>
      </c>
      <c r="BB131" s="870">
        <f t="shared" si="265"/>
        <v>2050</v>
      </c>
      <c r="BC131" s="870">
        <f t="shared" si="265"/>
        <v>2051</v>
      </c>
      <c r="BD131" s="870">
        <f t="shared" si="265"/>
        <v>2052</v>
      </c>
      <c r="BE131" s="870">
        <f t="shared" si="265"/>
        <v>2053</v>
      </c>
      <c r="BF131" s="870">
        <f t="shared" si="265"/>
        <v>2054</v>
      </c>
      <c r="BG131" s="870">
        <f t="shared" si="265"/>
        <v>2055</v>
      </c>
      <c r="BH131" s="870">
        <f t="shared" si="265"/>
        <v>2056</v>
      </c>
      <c r="BI131" s="870">
        <f t="shared" si="265"/>
        <v>2057</v>
      </c>
      <c r="BJ131" s="870">
        <f t="shared" si="265"/>
        <v>2058</v>
      </c>
      <c r="BK131" s="870">
        <f t="shared" si="265"/>
        <v>2059</v>
      </c>
      <c r="BL131" s="870">
        <f t="shared" si="265"/>
        <v>2060</v>
      </c>
      <c r="BM131" s="870">
        <f t="shared" si="265"/>
        <v>2061</v>
      </c>
      <c r="BN131" s="870">
        <f t="shared" si="265"/>
        <v>2062</v>
      </c>
      <c r="BO131" s="870">
        <f t="shared" si="265"/>
        <v>2063</v>
      </c>
      <c r="BP131" s="870">
        <f t="shared" si="265"/>
        <v>2064</v>
      </c>
      <c r="BQ131" s="870">
        <f t="shared" si="265"/>
        <v>2065</v>
      </c>
      <c r="BR131" s="870">
        <f t="shared" si="265"/>
        <v>2066</v>
      </c>
      <c r="BS131" s="870">
        <f t="shared" si="265"/>
        <v>2067</v>
      </c>
      <c r="BT131" s="870">
        <f t="shared" si="265"/>
        <v>2068</v>
      </c>
      <c r="BU131" s="870">
        <f t="shared" si="265"/>
        <v>2069</v>
      </c>
      <c r="BV131" s="870">
        <f t="shared" ref="BV131:CZ131" si="266">+BU131+1</f>
        <v>2070</v>
      </c>
      <c r="BW131" s="870">
        <f t="shared" si="266"/>
        <v>2071</v>
      </c>
      <c r="BX131" s="870">
        <f t="shared" si="266"/>
        <v>2072</v>
      </c>
      <c r="BY131" s="870">
        <f t="shared" si="266"/>
        <v>2073</v>
      </c>
      <c r="BZ131" s="870">
        <f t="shared" si="266"/>
        <v>2074</v>
      </c>
      <c r="CA131" s="870">
        <f t="shared" si="266"/>
        <v>2075</v>
      </c>
      <c r="CB131" s="870">
        <f t="shared" si="266"/>
        <v>2076</v>
      </c>
      <c r="CC131" s="870">
        <f t="shared" si="266"/>
        <v>2077</v>
      </c>
      <c r="CD131" s="870">
        <f t="shared" si="266"/>
        <v>2078</v>
      </c>
      <c r="CE131" s="870">
        <f t="shared" si="266"/>
        <v>2079</v>
      </c>
      <c r="CF131" s="870">
        <f t="shared" si="266"/>
        <v>2080</v>
      </c>
      <c r="CG131" s="870">
        <f t="shared" si="266"/>
        <v>2081</v>
      </c>
      <c r="CH131" s="870">
        <f t="shared" si="266"/>
        <v>2082</v>
      </c>
      <c r="CI131" s="870">
        <f t="shared" si="266"/>
        <v>2083</v>
      </c>
      <c r="CJ131" s="870">
        <f t="shared" si="266"/>
        <v>2084</v>
      </c>
      <c r="CK131" s="870">
        <f t="shared" si="266"/>
        <v>2085</v>
      </c>
      <c r="CL131" s="870">
        <f t="shared" si="266"/>
        <v>2086</v>
      </c>
      <c r="CM131" s="870">
        <f t="shared" si="266"/>
        <v>2087</v>
      </c>
      <c r="CN131" s="870">
        <f t="shared" si="266"/>
        <v>2088</v>
      </c>
      <c r="CO131" s="870">
        <f t="shared" si="266"/>
        <v>2089</v>
      </c>
      <c r="CP131" s="870">
        <f t="shared" si="266"/>
        <v>2090</v>
      </c>
      <c r="CQ131" s="870">
        <f t="shared" si="266"/>
        <v>2091</v>
      </c>
      <c r="CR131" s="870">
        <f t="shared" si="266"/>
        <v>2092</v>
      </c>
      <c r="CS131" s="870">
        <f t="shared" si="266"/>
        <v>2093</v>
      </c>
      <c r="CT131" s="870">
        <f t="shared" si="266"/>
        <v>2094</v>
      </c>
      <c r="CU131" s="870">
        <f t="shared" si="266"/>
        <v>2095</v>
      </c>
      <c r="CV131" s="870">
        <f t="shared" si="266"/>
        <v>2096</v>
      </c>
      <c r="CW131" s="870">
        <f t="shared" si="266"/>
        <v>2097</v>
      </c>
      <c r="CX131" s="870">
        <f t="shared" si="266"/>
        <v>2098</v>
      </c>
      <c r="CY131" s="870">
        <f t="shared" si="266"/>
        <v>2099</v>
      </c>
      <c r="CZ131" s="1372">
        <f t="shared" si="266"/>
        <v>2100</v>
      </c>
    </row>
    <row r="132" spans="1:104" ht="13.5" thickBot="1" x14ac:dyDescent="0.25">
      <c r="A132" s="1373" t="s">
        <v>1091</v>
      </c>
      <c r="B132" s="852"/>
      <c r="C132" s="852"/>
      <c r="D132" s="1238"/>
      <c r="E132" s="852"/>
      <c r="F132" s="852"/>
      <c r="G132" s="852"/>
      <c r="H132" s="940"/>
      <c r="I132" s="940"/>
      <c r="J132" s="940"/>
      <c r="K132" s="940"/>
      <c r="L132" s="940"/>
      <c r="M132" s="940"/>
      <c r="N132" s="940"/>
      <c r="O132" s="940"/>
      <c r="P132" s="940"/>
      <c r="Q132" s="940"/>
      <c r="R132" s="940"/>
      <c r="S132" s="940"/>
      <c r="T132" s="940"/>
      <c r="U132" s="940"/>
      <c r="V132" s="940"/>
      <c r="W132" s="940"/>
      <c r="X132" s="940"/>
      <c r="Y132" s="940"/>
      <c r="Z132" s="940"/>
      <c r="AA132" s="940"/>
      <c r="AB132" s="940"/>
      <c r="AC132" s="940"/>
      <c r="AD132" s="940"/>
      <c r="AE132" s="940"/>
      <c r="AF132" s="940"/>
      <c r="AG132" s="940"/>
      <c r="AH132" s="940"/>
      <c r="AI132" s="940"/>
      <c r="AJ132" s="940"/>
      <c r="AK132" s="940"/>
      <c r="AL132" s="940"/>
      <c r="AM132" s="940"/>
      <c r="AN132" s="940"/>
      <c r="AO132" s="940"/>
      <c r="AP132" s="940"/>
      <c r="AQ132" s="940"/>
      <c r="AR132" s="940"/>
      <c r="AS132" s="940"/>
      <c r="AT132" s="940"/>
      <c r="AU132" s="940"/>
      <c r="AV132" s="940"/>
      <c r="AW132" s="940"/>
      <c r="AX132" s="940"/>
      <c r="AY132" s="940"/>
      <c r="AZ132" s="940"/>
      <c r="BA132" s="940"/>
      <c r="BB132" s="940"/>
      <c r="BC132" s="940"/>
      <c r="BD132" s="940"/>
      <c r="BE132" s="940"/>
      <c r="BF132" s="940"/>
      <c r="BG132" s="940"/>
      <c r="BH132" s="940"/>
      <c r="BI132" s="940"/>
      <c r="BJ132" s="940"/>
      <c r="BK132" s="940"/>
      <c r="BL132" s="940"/>
      <c r="BM132" s="940"/>
      <c r="BN132" s="940"/>
      <c r="BO132" s="940"/>
      <c r="BP132" s="940"/>
      <c r="BQ132" s="940"/>
      <c r="BR132" s="940"/>
      <c r="BS132" s="940"/>
      <c r="BT132" s="940"/>
      <c r="BU132" s="940"/>
      <c r="BV132" s="940"/>
      <c r="BW132" s="940"/>
      <c r="BX132" s="940"/>
      <c r="BY132" s="940"/>
      <c r="BZ132" s="940"/>
      <c r="CA132" s="940"/>
      <c r="CB132" s="940"/>
      <c r="CC132" s="940"/>
      <c r="CD132" s="940"/>
      <c r="CE132" s="940"/>
      <c r="CF132" s="940"/>
      <c r="CG132" s="940"/>
      <c r="CH132" s="940"/>
      <c r="CI132" s="940"/>
      <c r="CJ132" s="940"/>
      <c r="CK132" s="940"/>
      <c r="CL132" s="940"/>
      <c r="CM132" s="940"/>
      <c r="CN132" s="940"/>
      <c r="CO132" s="940"/>
      <c r="CP132" s="940"/>
      <c r="CQ132" s="940"/>
      <c r="CR132" s="940"/>
      <c r="CS132" s="940"/>
      <c r="CT132" s="940"/>
      <c r="CU132" s="940"/>
      <c r="CV132" s="940"/>
      <c r="CW132" s="940"/>
      <c r="CX132" s="940"/>
      <c r="CY132" s="940"/>
      <c r="CZ132" s="1374"/>
    </row>
    <row r="133" spans="1:104" x14ac:dyDescent="0.2">
      <c r="A133" s="1375" t="s">
        <v>681</v>
      </c>
      <c r="B133" s="260">
        <v>2016</v>
      </c>
      <c r="C133" s="855">
        <f t="shared" ref="C133:C141" si="267">VLOOKUP(ref_year,DeflatorTable,2,FALSE)/VLOOKUP(B133,DeflatorTable,2,FALSE)</f>
        <v>1</v>
      </c>
      <c r="D133" s="1239" t="s">
        <v>865</v>
      </c>
      <c r="E133" s="855" t="s">
        <v>1059</v>
      </c>
      <c r="F133" s="260">
        <v>47.141269049911173</v>
      </c>
      <c r="G133" s="260">
        <v>52.224661236371581</v>
      </c>
      <c r="H133" s="1049">
        <v>13.604875014867702</v>
      </c>
      <c r="I133" s="1049">
        <v>15.571757228276402</v>
      </c>
      <c r="J133" s="1049">
        <v>16.331995797204218</v>
      </c>
      <c r="K133" s="1049">
        <v>15.155672177020728</v>
      </c>
      <c r="L133" s="1049">
        <v>15.783516201764996</v>
      </c>
      <c r="M133" s="1049">
        <v>13.69149010361817</v>
      </c>
      <c r="N133" s="1049">
        <v>12.691188457250465</v>
      </c>
      <c r="O133" s="940">
        <v>12.04142243701838</v>
      </c>
      <c r="P133" s="940">
        <v>11.415954621928984</v>
      </c>
      <c r="Q133" s="940">
        <v>10.886628367710442</v>
      </c>
      <c r="R133" s="940">
        <v>11.368469484946878</v>
      </c>
      <c r="S133" s="940">
        <v>10.641362038493474</v>
      </c>
      <c r="T133" s="940">
        <v>10.173400019832483</v>
      </c>
      <c r="U133" s="940">
        <v>10.023002570479671</v>
      </c>
      <c r="V133" s="940">
        <v>10.033707215541167</v>
      </c>
      <c r="W133" s="940">
        <v>10.158951752324048</v>
      </c>
      <c r="X133" s="940">
        <v>10.289627280447673</v>
      </c>
      <c r="Y133" s="940">
        <v>10.38663350570965</v>
      </c>
      <c r="Z133" s="940">
        <v>10.458822090960101</v>
      </c>
      <c r="AA133" s="940">
        <v>10.541361785535555</v>
      </c>
      <c r="AB133" s="940">
        <v>10.671303703310535</v>
      </c>
      <c r="AC133" s="940">
        <v>10.821196220864106</v>
      </c>
      <c r="AD133" s="940">
        <v>10.961130973142659</v>
      </c>
      <c r="AE133" s="940">
        <v>11.387951919139837</v>
      </c>
      <c r="AF133" s="940">
        <v>11.524366479125279</v>
      </c>
      <c r="AG133" s="940">
        <v>11.653679994237272</v>
      </c>
      <c r="AH133" s="940">
        <v>11.727599293307653</v>
      </c>
      <c r="AI133" s="940">
        <v>11.827238554162054</v>
      </c>
      <c r="AJ133" s="940">
        <v>11.877874728924342</v>
      </c>
      <c r="AK133" s="940">
        <v>11.891573527850655</v>
      </c>
      <c r="AL133" s="940">
        <v>11.9827791131466</v>
      </c>
      <c r="AM133" s="940">
        <v>12.163475682807357</v>
      </c>
      <c r="AN133" s="940">
        <v>12.259449735369497</v>
      </c>
      <c r="AO133" s="940">
        <v>12.356256919064013</v>
      </c>
      <c r="AP133" s="940">
        <v>12.41256198723101</v>
      </c>
      <c r="AQ133" s="940">
        <v>12.490714236969412</v>
      </c>
      <c r="AR133" s="940">
        <v>12.496378391289182</v>
      </c>
      <c r="AS133" s="940">
        <v>12.55376491863939</v>
      </c>
      <c r="AT133" s="940">
        <v>12.651412816002184</v>
      </c>
      <c r="AU133" s="940">
        <v>12.770777096192051</v>
      </c>
      <c r="AV133" s="940">
        <v>12.886454368298935</v>
      </c>
      <c r="AW133" s="940">
        <v>13.010888521557151</v>
      </c>
      <c r="AX133" s="940">
        <v>13.118997475015544</v>
      </c>
      <c r="AY133" s="940">
        <v>13.217679440712152</v>
      </c>
      <c r="AZ133" s="940">
        <v>13.363983523149482</v>
      </c>
      <c r="BA133" s="940">
        <v>13.453606254075613</v>
      </c>
      <c r="BB133" s="940">
        <v>13.593337225701765</v>
      </c>
      <c r="BC133" s="940">
        <v>13.668907227280409</v>
      </c>
      <c r="BD133" s="940">
        <v>13.744897348292845</v>
      </c>
      <c r="BE133" s="940">
        <v>13.821309924326409</v>
      </c>
      <c r="BF133" s="940">
        <v>13.898147303952761</v>
      </c>
      <c r="BG133" s="940">
        <v>13.975411848800078</v>
      </c>
      <c r="BH133" s="940">
        <v>14.050424531225174</v>
      </c>
      <c r="BI133" s="940">
        <v>14.12583984239463</v>
      </c>
      <c r="BJ133" s="940">
        <v>14.201659943408417</v>
      </c>
      <c r="BK133" s="940">
        <v>14.277887006966159</v>
      </c>
      <c r="BL133" s="940">
        <v>14.354523217429389</v>
      </c>
      <c r="BM133" s="940">
        <v>14.422221698840277</v>
      </c>
      <c r="BN133" s="940">
        <v>14.490239458315362</v>
      </c>
      <c r="BO133" s="940">
        <v>14.558578001626712</v>
      </c>
      <c r="BP133" s="940">
        <v>14.627238841647882</v>
      </c>
      <c r="BQ133" s="940">
        <v>14.696223498387408</v>
      </c>
      <c r="BR133" s="940">
        <v>14.75529333521281</v>
      </c>
      <c r="BS133" s="940">
        <v>14.814600596681556</v>
      </c>
      <c r="BT133" s="940">
        <v>14.874146237095607</v>
      </c>
      <c r="BU133" s="940">
        <v>14.933931214592636</v>
      </c>
      <c r="BV133" s="940">
        <v>14.993956491161448</v>
      </c>
      <c r="BW133" s="940">
        <v>15.043740835540882</v>
      </c>
      <c r="BX133" s="940">
        <v>15.093690478582264</v>
      </c>
      <c r="BY133" s="940">
        <v>15.143805969125756</v>
      </c>
      <c r="BZ133" s="940">
        <v>15.19408785783383</v>
      </c>
      <c r="CA133" s="940">
        <v>15.244536697197322</v>
      </c>
      <c r="CB133" s="940">
        <v>15.277067444573643</v>
      </c>
      <c r="CC133" s="940">
        <v>15.309667610230484</v>
      </c>
      <c r="CD133" s="940">
        <v>15.342337342301477</v>
      </c>
      <c r="CE133" s="940">
        <v>15.375076789236356</v>
      </c>
      <c r="CF133" s="940">
        <v>15.407886099801638</v>
      </c>
      <c r="CG133" s="940">
        <v>15.41853907481957</v>
      </c>
      <c r="CH133" s="940">
        <v>15.42919941527855</v>
      </c>
      <c r="CI133" s="940">
        <v>15.439867126271025</v>
      </c>
      <c r="CJ133" s="940">
        <v>15.450542212892964</v>
      </c>
      <c r="CK133" s="940">
        <v>15.461224680243861</v>
      </c>
      <c r="CL133" s="940">
        <v>15.464845562477739</v>
      </c>
      <c r="CM133" s="940">
        <v>15.468467292690251</v>
      </c>
      <c r="CN133" s="940">
        <v>15.472089871079984</v>
      </c>
      <c r="CO133" s="940">
        <v>15.475713297845573</v>
      </c>
      <c r="CP133" s="940">
        <v>15.479337573185701</v>
      </c>
      <c r="CQ133" s="940">
        <v>15.484830510437597</v>
      </c>
      <c r="CR133" s="940">
        <v>15.490325396891745</v>
      </c>
      <c r="CS133" s="940">
        <v>15.49582223323983</v>
      </c>
      <c r="CT133" s="940">
        <v>15.501321020173785</v>
      </c>
      <c r="CU133" s="940">
        <v>15.506821758385787</v>
      </c>
      <c r="CV133" s="940">
        <v>15.515287417782641</v>
      </c>
      <c r="CW133" s="940">
        <v>15.523757698847955</v>
      </c>
      <c r="CX133" s="940">
        <v>15.532232604104841</v>
      </c>
      <c r="CY133" s="940">
        <v>15.540712136077792</v>
      </c>
      <c r="CZ133" s="1374">
        <v>15.549196297292674</v>
      </c>
    </row>
    <row r="134" spans="1:104" x14ac:dyDescent="0.2">
      <c r="A134" s="1375" t="s">
        <v>1086</v>
      </c>
      <c r="B134" s="260">
        <v>2016</v>
      </c>
      <c r="C134" s="855">
        <f t="shared" si="267"/>
        <v>1</v>
      </c>
      <c r="D134" s="1239" t="s">
        <v>865</v>
      </c>
      <c r="E134" s="855" t="s">
        <v>1059</v>
      </c>
      <c r="F134" s="260">
        <v>47.141269049911173</v>
      </c>
      <c r="G134" s="260">
        <v>52.224661236371581</v>
      </c>
      <c r="H134" s="1050">
        <v>11.934322920018829</v>
      </c>
      <c r="I134" s="1050">
        <v>13.90423046997279</v>
      </c>
      <c r="J134" s="1050">
        <v>14.274140536522257</v>
      </c>
      <c r="K134" s="1050">
        <v>13.139550648884942</v>
      </c>
      <c r="L134" s="1050">
        <v>13.897221248926272</v>
      </c>
      <c r="M134" s="1050">
        <v>11.345666428533674</v>
      </c>
      <c r="N134" s="1050">
        <v>10.551848524158197</v>
      </c>
      <c r="O134" s="260">
        <v>9.7270239269114924</v>
      </c>
      <c r="P134" s="260">
        <v>8.6825570363966911</v>
      </c>
      <c r="Q134" s="260">
        <v>8.5236392646415098</v>
      </c>
      <c r="R134" s="260">
        <v>9.2232797097563566</v>
      </c>
      <c r="S134" s="260">
        <v>8.1091689522623707</v>
      </c>
      <c r="T134" s="260">
        <v>7.3693882730726834</v>
      </c>
      <c r="U134" s="260">
        <v>7.4731047451509687</v>
      </c>
      <c r="V134" s="260">
        <v>7.9843107853990691</v>
      </c>
      <c r="W134" s="260">
        <v>8.5650780622071245</v>
      </c>
      <c r="X134" s="260">
        <v>9.1477570858798014</v>
      </c>
      <c r="Y134" s="260">
        <v>9.2514909161219876</v>
      </c>
      <c r="Z134" s="260">
        <v>9.3094669856386769</v>
      </c>
      <c r="AA134" s="260">
        <v>9.3761326413005577</v>
      </c>
      <c r="AB134" s="260">
        <v>9.4891655040111615</v>
      </c>
      <c r="AC134" s="260">
        <v>9.6143446414218783</v>
      </c>
      <c r="AD134" s="260">
        <v>9.7258827967425425</v>
      </c>
      <c r="AE134" s="260">
        <v>10.087086372666475</v>
      </c>
      <c r="AF134" s="260">
        <v>10.198695614261233</v>
      </c>
      <c r="AG134" s="260">
        <v>10.304737378868989</v>
      </c>
      <c r="AH134" s="260">
        <v>10.357640731866367</v>
      </c>
      <c r="AI134" s="260">
        <v>10.427655972763532</v>
      </c>
      <c r="AJ134" s="260">
        <v>10.453569289213085</v>
      </c>
      <c r="AK134" s="260">
        <v>10.441948105124277</v>
      </c>
      <c r="AL134" s="260">
        <v>10.506270757192036</v>
      </c>
      <c r="AM134" s="260">
        <v>10.658282593530579</v>
      </c>
      <c r="AN134" s="260">
        <v>10.722901912315555</v>
      </c>
      <c r="AO134" s="260">
        <v>10.786351624937444</v>
      </c>
      <c r="AP134" s="260">
        <v>10.817805879498341</v>
      </c>
      <c r="AQ134" s="260">
        <v>10.86596540847121</v>
      </c>
      <c r="AR134" s="260">
        <v>10.838793391061706</v>
      </c>
      <c r="AS134" s="260">
        <v>10.868085675073171</v>
      </c>
      <c r="AT134" s="260">
        <v>10.937640276914211</v>
      </c>
      <c r="AU134" s="260">
        <v>11.027299024885883</v>
      </c>
      <c r="AV134" s="260">
        <v>11.114692490256441</v>
      </c>
      <c r="AW134" s="260">
        <v>11.212257927541287</v>
      </c>
      <c r="AX134" s="260">
        <v>11.293368314098968</v>
      </c>
      <c r="AY134" s="260">
        <v>11.35816487466068</v>
      </c>
      <c r="AZ134" s="260">
        <v>11.46581792814789</v>
      </c>
      <c r="BA134" s="260">
        <v>11.521194135666732</v>
      </c>
      <c r="BB134" s="260">
        <v>11.628119265707223</v>
      </c>
      <c r="BC134" s="260">
        <v>11.692763949840026</v>
      </c>
      <c r="BD134" s="260">
        <v>11.757768015837698</v>
      </c>
      <c r="BE134" s="260">
        <v>11.823133461626696</v>
      </c>
      <c r="BF134" s="260">
        <v>11.888862296240635</v>
      </c>
      <c r="BG134" s="260">
        <v>11.954956539882032</v>
      </c>
      <c r="BH134" s="260">
        <v>12.019124477688386</v>
      </c>
      <c r="BI134" s="260">
        <v>12.083636835336717</v>
      </c>
      <c r="BJ134" s="260">
        <v>12.148495461492134</v>
      </c>
      <c r="BK134" s="260">
        <v>12.213702214742405</v>
      </c>
      <c r="BL134" s="260">
        <v>12.279258963651227</v>
      </c>
      <c r="BM134" s="260">
        <v>12.337170130194249</v>
      </c>
      <c r="BN134" s="260">
        <v>12.395354416085945</v>
      </c>
      <c r="BO134" s="260">
        <v>12.453813109405683</v>
      </c>
      <c r="BP134" s="260">
        <v>12.512547504307637</v>
      </c>
      <c r="BQ134" s="260">
        <v>12.571558901049444</v>
      </c>
      <c r="BR134" s="260">
        <v>12.622088884688262</v>
      </c>
      <c r="BS134" s="260">
        <v>12.672821967979766</v>
      </c>
      <c r="BT134" s="260">
        <v>12.723758967260437</v>
      </c>
      <c r="BU134" s="260">
        <v>12.774900702147928</v>
      </c>
      <c r="BV134" s="260">
        <v>12.826247995554251</v>
      </c>
      <c r="BW134" s="260">
        <v>12.868834910334423</v>
      </c>
      <c r="BX134" s="260">
        <v>12.911563226193937</v>
      </c>
      <c r="BY134" s="260">
        <v>12.954433412625956</v>
      </c>
      <c r="BZ134" s="260">
        <v>12.997445940682496</v>
      </c>
      <c r="CA134" s="260">
        <v>13.040601282979605</v>
      </c>
      <c r="CB134" s="260">
        <v>13.06842899033459</v>
      </c>
      <c r="CC134" s="260">
        <v>13.096316080020177</v>
      </c>
      <c r="CD134" s="260">
        <v>13.124262678753999</v>
      </c>
      <c r="CE134" s="260">
        <v>13.152268913524093</v>
      </c>
      <c r="CF134" s="260">
        <v>13.180334911589481</v>
      </c>
      <c r="CG134" s="260">
        <v>13.189447763127433</v>
      </c>
      <c r="CH134" s="260">
        <v>13.198566915268799</v>
      </c>
      <c r="CI134" s="260">
        <v>13.207692372369801</v>
      </c>
      <c r="CJ134" s="260">
        <v>13.216824138789674</v>
      </c>
      <c r="CK134" s="260">
        <v>13.225962218890665</v>
      </c>
      <c r="CL134" s="260">
        <v>13.22905962240266</v>
      </c>
      <c r="CM134" s="260">
        <v>13.232157751299196</v>
      </c>
      <c r="CN134" s="260">
        <v>13.23525660575015</v>
      </c>
      <c r="CO134" s="260">
        <v>13.23835618592544</v>
      </c>
      <c r="CP134" s="260">
        <v>13.241456491995026</v>
      </c>
      <c r="CQ134" s="260">
        <v>13.246155303510076</v>
      </c>
      <c r="CR134" s="260">
        <v>13.250855782427021</v>
      </c>
      <c r="CS134" s="260">
        <v>13.255557929337549</v>
      </c>
      <c r="CT134" s="260">
        <v>13.260261744833558</v>
      </c>
      <c r="CU134" s="260">
        <v>13.264967229507157</v>
      </c>
      <c r="CV134" s="260">
        <v>13.272208990341527</v>
      </c>
      <c r="CW134" s="260">
        <v>13.279454704679821</v>
      </c>
      <c r="CX134" s="260">
        <v>13.286704374680379</v>
      </c>
      <c r="CY134" s="260">
        <v>13.293958002502723</v>
      </c>
      <c r="CZ134" s="449">
        <v>13.30121559030755</v>
      </c>
    </row>
    <row r="135" spans="1:104" x14ac:dyDescent="0.2">
      <c r="A135" s="1375" t="s">
        <v>283</v>
      </c>
      <c r="B135" s="260">
        <v>2016</v>
      </c>
      <c r="C135" s="855">
        <f t="shared" si="267"/>
        <v>1</v>
      </c>
      <c r="D135" s="1239" t="s">
        <v>865</v>
      </c>
      <c r="E135" s="855" t="s">
        <v>1059</v>
      </c>
      <c r="F135" s="260">
        <v>47.141269049911173</v>
      </c>
      <c r="G135" s="260">
        <v>52.224661236371581</v>
      </c>
      <c r="H135" s="1050">
        <v>8.2641705904266125</v>
      </c>
      <c r="I135" s="1050">
        <v>10.495609596381577</v>
      </c>
      <c r="J135" s="1050">
        <v>9.3614571685358463</v>
      </c>
      <c r="K135" s="1050">
        <v>8.8987432965993278</v>
      </c>
      <c r="L135" s="1050">
        <v>10.965509816201024</v>
      </c>
      <c r="M135" s="1050">
        <v>6.0111731674040234</v>
      </c>
      <c r="N135" s="1050">
        <v>6.1171751211856922</v>
      </c>
      <c r="O135" s="260">
        <v>5.6004077154944953</v>
      </c>
      <c r="P135" s="260">
        <v>4.1590520124961925</v>
      </c>
      <c r="Q135" s="260">
        <v>4.894763142071362</v>
      </c>
      <c r="R135" s="260">
        <v>5.8241384234641265</v>
      </c>
      <c r="S135" s="260">
        <v>4.0289549914527321</v>
      </c>
      <c r="T135" s="260">
        <v>3.5632207034637156</v>
      </c>
      <c r="U135" s="260">
        <v>3.8686572087168831</v>
      </c>
      <c r="V135" s="260">
        <v>4.230424735748624</v>
      </c>
      <c r="W135" s="260">
        <v>4.6374903322667231</v>
      </c>
      <c r="X135" s="260">
        <v>5.0398775041324821</v>
      </c>
      <c r="Y135" s="260">
        <v>5.0452222441273262</v>
      </c>
      <c r="Z135" s="260">
        <v>4.9894479534735598</v>
      </c>
      <c r="AA135" s="260">
        <v>5.0008757828968315</v>
      </c>
      <c r="AB135" s="260">
        <v>5.0866427943161305</v>
      </c>
      <c r="AC135" s="260">
        <v>5.1985543895300337</v>
      </c>
      <c r="AD135" s="260">
        <v>5.3142743134013735</v>
      </c>
      <c r="AE135" s="260">
        <v>5.4069765017212355</v>
      </c>
      <c r="AF135" s="260">
        <v>5.498883471588238</v>
      </c>
      <c r="AG135" s="260">
        <v>5.5761078084954727</v>
      </c>
      <c r="AH135" s="260">
        <v>5.5953977798334869</v>
      </c>
      <c r="AI135" s="260">
        <v>5.6194116710392619</v>
      </c>
      <c r="AJ135" s="260">
        <v>5.6053299540498323</v>
      </c>
      <c r="AK135" s="260">
        <v>5.5496627667157004</v>
      </c>
      <c r="AL135" s="260">
        <v>5.5482476759527453</v>
      </c>
      <c r="AM135" s="260">
        <v>5.6344516310034729</v>
      </c>
      <c r="AN135" s="260">
        <v>5.6381945602887429</v>
      </c>
      <c r="AO135" s="260">
        <v>5.6485162872871211</v>
      </c>
      <c r="AP135" s="260">
        <v>5.6430123140383071</v>
      </c>
      <c r="AQ135" s="260">
        <v>5.6644386648670784</v>
      </c>
      <c r="AR135" s="260">
        <v>5.6215300420072483</v>
      </c>
      <c r="AS135" s="260">
        <v>5.6260767200982693</v>
      </c>
      <c r="AT135" s="260">
        <v>5.6802473044084865</v>
      </c>
      <c r="AU135" s="260">
        <v>5.7631623345111542</v>
      </c>
      <c r="AV135" s="260">
        <v>5.819991545472468</v>
      </c>
      <c r="AW135" s="260">
        <v>5.8947240715184783</v>
      </c>
      <c r="AX135" s="260">
        <v>5.9518546882819487</v>
      </c>
      <c r="AY135" s="260">
        <v>6.0145186606208574</v>
      </c>
      <c r="AZ135" s="260">
        <v>6.1247620979360331</v>
      </c>
      <c r="BA135" s="260">
        <v>6.1606322318436177</v>
      </c>
      <c r="BB135" s="260">
        <v>6.238633778680942</v>
      </c>
      <c r="BC135" s="260">
        <v>6.2733164733478626</v>
      </c>
      <c r="BD135" s="260">
        <v>6.3081919809530058</v>
      </c>
      <c r="BE135" s="260">
        <v>6.3432613734093088</v>
      </c>
      <c r="BF135" s="260">
        <v>6.3785257285888406</v>
      </c>
      <c r="BG135" s="260">
        <v>6.4139861303559274</v>
      </c>
      <c r="BH135" s="260">
        <v>6.4484130445592944</v>
      </c>
      <c r="BI135" s="260">
        <v>6.4830247443854354</v>
      </c>
      <c r="BJ135" s="260">
        <v>6.5178222216666768</v>
      </c>
      <c r="BK135" s="260">
        <v>6.5528064735589808</v>
      </c>
      <c r="BL135" s="260">
        <v>6.5879785025705191</v>
      </c>
      <c r="BM135" s="260">
        <v>6.6190485794679574</v>
      </c>
      <c r="BN135" s="260">
        <v>6.6502651883672899</v>
      </c>
      <c r="BO135" s="260">
        <v>6.6816290203394662</v>
      </c>
      <c r="BP135" s="260">
        <v>6.7131407697146503</v>
      </c>
      <c r="BQ135" s="260">
        <v>6.7448011340975915</v>
      </c>
      <c r="BR135" s="260">
        <v>6.7719111125525773</v>
      </c>
      <c r="BS135" s="260">
        <v>6.7991300565526132</v>
      </c>
      <c r="BT135" s="260">
        <v>6.8264584040725946</v>
      </c>
      <c r="BU135" s="260">
        <v>6.8538965948478108</v>
      </c>
      <c r="BV135" s="260">
        <v>6.8814450703810159</v>
      </c>
      <c r="BW135" s="260">
        <v>6.904293491437457</v>
      </c>
      <c r="BX135" s="260">
        <v>6.9272177759701634</v>
      </c>
      <c r="BY135" s="260">
        <v>6.9502181758681845</v>
      </c>
      <c r="BZ135" s="260">
        <v>6.9732949438569127</v>
      </c>
      <c r="CA135" s="260">
        <v>6.996448333500866</v>
      </c>
      <c r="CB135" s="260">
        <v>7.0113782521851409</v>
      </c>
      <c r="CC135" s="260">
        <v>7.0263400302445289</v>
      </c>
      <c r="CD135" s="260">
        <v>7.0413337356646508</v>
      </c>
      <c r="CE135" s="260">
        <v>7.0563594365762032</v>
      </c>
      <c r="CF135" s="260">
        <v>7.0714172012552687</v>
      </c>
      <c r="CG135" s="260">
        <v>7.0763063619291211</v>
      </c>
      <c r="CH135" s="260">
        <v>7.0811989029567863</v>
      </c>
      <c r="CI135" s="260">
        <v>7.0860948266754322</v>
      </c>
      <c r="CJ135" s="260">
        <v>7.090994135423843</v>
      </c>
      <c r="CK135" s="260">
        <v>7.0958968315424205</v>
      </c>
      <c r="CL135" s="260">
        <v>7.0975586278944007</v>
      </c>
      <c r="CM135" s="260">
        <v>7.0992208134244059</v>
      </c>
      <c r="CN135" s="260">
        <v>7.1008833882235782</v>
      </c>
      <c r="CO135" s="260">
        <v>7.1025463523830812</v>
      </c>
      <c r="CP135" s="260">
        <v>7.1042097059940996</v>
      </c>
      <c r="CQ135" s="260">
        <v>7.1067306780935082</v>
      </c>
      <c r="CR135" s="260">
        <v>7.1092525447752264</v>
      </c>
      <c r="CS135" s="260">
        <v>7.1117753063567024</v>
      </c>
      <c r="CT135" s="260">
        <v>7.1142989631554965</v>
      </c>
      <c r="CU135" s="260">
        <v>7.1168235154892816</v>
      </c>
      <c r="CV135" s="260">
        <v>7.1207088122192239</v>
      </c>
      <c r="CW135" s="260">
        <v>7.1245962300542702</v>
      </c>
      <c r="CX135" s="260">
        <v>7.1284857701523974</v>
      </c>
      <c r="CY135" s="260">
        <v>7.1323774336722154</v>
      </c>
      <c r="CZ135" s="449">
        <v>7.1362712217729669</v>
      </c>
    </row>
    <row r="136" spans="1:104" x14ac:dyDescent="0.2">
      <c r="A136" s="1375" t="s">
        <v>1087</v>
      </c>
      <c r="B136" s="260">
        <v>2016</v>
      </c>
      <c r="C136" s="855">
        <f t="shared" si="267"/>
        <v>1</v>
      </c>
      <c r="D136" s="1239" t="s">
        <v>865</v>
      </c>
      <c r="E136" s="855" t="s">
        <v>1059</v>
      </c>
      <c r="F136" s="260">
        <v>47.141269049911173</v>
      </c>
      <c r="G136" s="260">
        <v>52.224661236371581</v>
      </c>
      <c r="H136" s="1050">
        <v>8.4160389626855991</v>
      </c>
      <c r="I136" s="1050">
        <v>10.630483084185546</v>
      </c>
      <c r="J136" s="1050">
        <v>10.241695834954719</v>
      </c>
      <c r="K136" s="1050">
        <v>9.4549147526367854</v>
      </c>
      <c r="L136" s="1050">
        <v>10.431438353650302</v>
      </c>
      <c r="M136" s="1050">
        <v>7.3081429877632402</v>
      </c>
      <c r="N136" s="1050">
        <v>6.8860004096407268</v>
      </c>
      <c r="O136" s="260">
        <v>6.1462564207083838</v>
      </c>
      <c r="P136" s="260">
        <v>5.0701845410069568</v>
      </c>
      <c r="Q136" s="260">
        <v>5.147940545971605</v>
      </c>
      <c r="R136" s="260">
        <v>5.9174075441245835</v>
      </c>
      <c r="S136" s="260">
        <v>4.3672641892083037</v>
      </c>
      <c r="T136" s="260">
        <v>3.755553639162041</v>
      </c>
      <c r="U136" s="260">
        <v>3.3468214009493336</v>
      </c>
      <c r="V136" s="260">
        <v>3.6078009129373227</v>
      </c>
      <c r="W136" s="260">
        <v>3.9595869792693468</v>
      </c>
      <c r="X136" s="260">
        <v>4.2992239274502966</v>
      </c>
      <c r="Y136" s="260">
        <v>4.3362295461094007</v>
      </c>
      <c r="Z136" s="260">
        <v>4.2972619462853157</v>
      </c>
      <c r="AA136" s="260">
        <v>4.3209431537283329</v>
      </c>
      <c r="AB136" s="260">
        <v>4.4388231525151278</v>
      </c>
      <c r="AC136" s="260">
        <v>4.5598555906037213</v>
      </c>
      <c r="AD136" s="260">
        <v>4.6705511366221319</v>
      </c>
      <c r="AE136" s="260">
        <v>4.7905826799714895</v>
      </c>
      <c r="AF136" s="260">
        <v>4.8909868291351355</v>
      </c>
      <c r="AG136" s="260">
        <v>4.9795195705251665</v>
      </c>
      <c r="AH136" s="260">
        <v>5.0140428564929254</v>
      </c>
      <c r="AI136" s="260">
        <v>5.034241784322349</v>
      </c>
      <c r="AJ136" s="260">
        <v>5.0303794300966009</v>
      </c>
      <c r="AK136" s="260">
        <v>4.9817061843162831</v>
      </c>
      <c r="AL136" s="260">
        <v>5.005816752854825</v>
      </c>
      <c r="AM136" s="260">
        <v>5.1117353012541518</v>
      </c>
      <c r="AN136" s="260">
        <v>5.1218001698488047</v>
      </c>
      <c r="AO136" s="260">
        <v>5.1563490468752367</v>
      </c>
      <c r="AP136" s="260">
        <v>5.1654177598155924</v>
      </c>
      <c r="AQ136" s="260">
        <v>5.1952502995101684</v>
      </c>
      <c r="AR136" s="260">
        <v>5.1548078964528896</v>
      </c>
      <c r="AS136" s="260">
        <v>5.1691436283950809</v>
      </c>
      <c r="AT136" s="260">
        <v>5.2239208155775625</v>
      </c>
      <c r="AU136" s="260">
        <v>5.3036701369405987</v>
      </c>
      <c r="AV136" s="260">
        <v>5.3698761013633396</v>
      </c>
      <c r="AW136" s="260">
        <v>5.4477553798092231</v>
      </c>
      <c r="AX136" s="260">
        <v>5.5105548899774046</v>
      </c>
      <c r="AY136" s="260">
        <v>5.5735610242489493</v>
      </c>
      <c r="AZ136" s="260">
        <v>5.6745566112130543</v>
      </c>
      <c r="BA136" s="260">
        <v>5.7069198222653581</v>
      </c>
      <c r="BB136" s="260">
        <v>5.8107835034348891</v>
      </c>
      <c r="BC136" s="260">
        <v>5.8430876323795795</v>
      </c>
      <c r="BD136" s="260">
        <v>5.8755713510037442</v>
      </c>
      <c r="BE136" s="260">
        <v>5.9082356577077126</v>
      </c>
      <c r="BF136" s="260">
        <v>5.9410815564422617</v>
      </c>
      <c r="BG136" s="260">
        <v>5.974110056739474</v>
      </c>
      <c r="BH136" s="260">
        <v>6.006175946840397</v>
      </c>
      <c r="BI136" s="260">
        <v>6.0384139498247791</v>
      </c>
      <c r="BJ136" s="260">
        <v>6.0708249895043265</v>
      </c>
      <c r="BK136" s="260">
        <v>6.1034099946492821</v>
      </c>
      <c r="BL136" s="260">
        <v>6.1361698990150408</v>
      </c>
      <c r="BM136" s="260">
        <v>6.1651091662794615</v>
      </c>
      <c r="BN136" s="260">
        <v>6.1941849162690321</v>
      </c>
      <c r="BO136" s="260">
        <v>6.2233977926605295</v>
      </c>
      <c r="BP136" s="260">
        <v>6.2527484421664239</v>
      </c>
      <c r="BQ136" s="260">
        <v>6.2822375145491964</v>
      </c>
      <c r="BR136" s="260">
        <v>6.3074882699506478</v>
      </c>
      <c r="BS136" s="260">
        <v>6.3328405179567433</v>
      </c>
      <c r="BT136" s="260">
        <v>6.3582946665057261</v>
      </c>
      <c r="BU136" s="260">
        <v>6.3838511251755019</v>
      </c>
      <c r="BV136" s="260">
        <v>6.4095103051902287</v>
      </c>
      <c r="BW136" s="260">
        <v>6.4307917640583545</v>
      </c>
      <c r="BX136" s="260">
        <v>6.4521438836275307</v>
      </c>
      <c r="BY136" s="260">
        <v>6.473566898512062</v>
      </c>
      <c r="BZ136" s="260">
        <v>6.4950610441052419</v>
      </c>
      <c r="CA136" s="260">
        <v>6.5166265565819383</v>
      </c>
      <c r="CB136" s="260">
        <v>6.5305325700258869</v>
      </c>
      <c r="CC136" s="260">
        <v>6.5444682579046409</v>
      </c>
      <c r="CD136" s="260">
        <v>6.5584336835413142</v>
      </c>
      <c r="CE136" s="260">
        <v>6.5724289103941489</v>
      </c>
      <c r="CF136" s="260">
        <v>6.5864540020568016</v>
      </c>
      <c r="CG136" s="260">
        <v>6.5910078603528843</v>
      </c>
      <c r="CH136" s="260">
        <v>6.5955648671755291</v>
      </c>
      <c r="CI136" s="260">
        <v>6.6001250247016205</v>
      </c>
      <c r="CJ136" s="260">
        <v>6.6046883351095476</v>
      </c>
      <c r="CK136" s="260">
        <v>6.6092548005792047</v>
      </c>
      <c r="CL136" s="260">
        <v>6.6108026296665843</v>
      </c>
      <c r="CM136" s="260">
        <v>6.6123508212418631</v>
      </c>
      <c r="CN136" s="260">
        <v>6.6138993753899316</v>
      </c>
      <c r="CO136" s="260">
        <v>6.6154482921957012</v>
      </c>
      <c r="CP136" s="260">
        <v>6.6169975717441041</v>
      </c>
      <c r="CQ136" s="260">
        <v>6.6193456536491393</v>
      </c>
      <c r="CR136" s="260">
        <v>6.6216945687853457</v>
      </c>
      <c r="CS136" s="260">
        <v>6.6240443174483996</v>
      </c>
      <c r="CT136" s="260">
        <v>6.6263948999340831</v>
      </c>
      <c r="CU136" s="260">
        <v>6.6287463165382841</v>
      </c>
      <c r="CV136" s="260">
        <v>6.6323651566473876</v>
      </c>
      <c r="CW136" s="260">
        <v>6.6359859723945851</v>
      </c>
      <c r="CX136" s="260">
        <v>6.6396087648584388</v>
      </c>
      <c r="CY136" s="260">
        <v>6.6432335351180996</v>
      </c>
      <c r="CZ136" s="449">
        <v>6.6468602842533091</v>
      </c>
    </row>
    <row r="137" spans="1:104" x14ac:dyDescent="0.2">
      <c r="A137" s="945" t="s">
        <v>1082</v>
      </c>
      <c r="B137" s="260">
        <v>2016</v>
      </c>
      <c r="C137" s="855">
        <f t="shared" si="267"/>
        <v>1</v>
      </c>
      <c r="D137" s="1241" t="s">
        <v>268</v>
      </c>
      <c r="E137" s="855" t="s">
        <v>1059</v>
      </c>
      <c r="F137" s="260">
        <v>19.551069237418005</v>
      </c>
      <c r="G137" s="260">
        <v>20.588656379262464</v>
      </c>
      <c r="H137" s="1050">
        <v>5.0967849132778742</v>
      </c>
      <c r="I137" s="1050">
        <v>5.0967849132778742</v>
      </c>
      <c r="J137" s="1050">
        <v>5.0967849132778742</v>
      </c>
      <c r="K137" s="1050">
        <v>5.0967849132778742</v>
      </c>
      <c r="L137" s="1050">
        <v>5.0967849132778742</v>
      </c>
      <c r="M137" s="1050">
        <v>5.0967849132778742</v>
      </c>
      <c r="N137" s="1050">
        <v>5.0967849132778742</v>
      </c>
      <c r="O137" s="260">
        <v>5.0967849132778742</v>
      </c>
      <c r="P137" s="260">
        <v>5.0967849132778742</v>
      </c>
      <c r="Q137" s="260">
        <v>5.0967849132778742</v>
      </c>
      <c r="R137" s="260">
        <v>5.0967849132778742</v>
      </c>
      <c r="S137" s="260">
        <v>5.0967849132778742</v>
      </c>
      <c r="T137" s="260">
        <v>5.0967849132778742</v>
      </c>
      <c r="U137" s="260">
        <v>5.0967849132778742</v>
      </c>
      <c r="V137" s="260">
        <v>5.0967849132778742</v>
      </c>
      <c r="W137" s="260">
        <v>5.0967849132778742</v>
      </c>
      <c r="X137" s="260">
        <v>5.0967849132778742</v>
      </c>
      <c r="Y137" s="260">
        <v>5.0967849132778742</v>
      </c>
      <c r="Z137" s="260">
        <v>5.0967849132778742</v>
      </c>
      <c r="AA137" s="260">
        <v>5.0967849132778742</v>
      </c>
      <c r="AB137" s="260">
        <v>5.0967849132778742</v>
      </c>
      <c r="AC137" s="260">
        <v>5.0967849132778742</v>
      </c>
      <c r="AD137" s="260">
        <v>5.0967849132778742</v>
      </c>
      <c r="AE137" s="260">
        <v>5.0967849132778742</v>
      </c>
      <c r="AF137" s="260">
        <v>5.0967849132778742</v>
      </c>
      <c r="AG137" s="260">
        <v>5.0967849132778742</v>
      </c>
      <c r="AH137" s="260">
        <v>5.0967849132778742</v>
      </c>
      <c r="AI137" s="260">
        <v>5.0967849132778742</v>
      </c>
      <c r="AJ137" s="260">
        <v>5.0967849132778742</v>
      </c>
      <c r="AK137" s="260">
        <v>5.0967849132778742</v>
      </c>
      <c r="AL137" s="260">
        <v>5.0967849132778742</v>
      </c>
      <c r="AM137" s="260">
        <v>5.0967849132778742</v>
      </c>
      <c r="AN137" s="260">
        <v>5.0967849132778742</v>
      </c>
      <c r="AO137" s="260">
        <v>5.0967849132778742</v>
      </c>
      <c r="AP137" s="260">
        <v>5.0967849132778742</v>
      </c>
      <c r="AQ137" s="260">
        <v>5.0967849132778742</v>
      </c>
      <c r="AR137" s="260">
        <v>5.0967849132778742</v>
      </c>
      <c r="AS137" s="260">
        <v>5.0967849132778742</v>
      </c>
      <c r="AT137" s="260">
        <v>5.0967849132778742</v>
      </c>
      <c r="AU137" s="260">
        <v>5.0967849132778742</v>
      </c>
      <c r="AV137" s="260">
        <v>5.0967849132778742</v>
      </c>
      <c r="AW137" s="260">
        <v>5.0967849132778742</v>
      </c>
      <c r="AX137" s="260">
        <v>5.0967849132778742</v>
      </c>
      <c r="AY137" s="260">
        <v>5.0967849132778742</v>
      </c>
      <c r="AZ137" s="260">
        <v>5.0967849132778742</v>
      </c>
      <c r="BA137" s="260">
        <v>5.0967849132778742</v>
      </c>
      <c r="BB137" s="260">
        <v>5.0967849132778742</v>
      </c>
      <c r="BC137" s="260">
        <v>5.1179587571540939</v>
      </c>
      <c r="BD137" s="260">
        <v>5.1392205646528959</v>
      </c>
      <c r="BE137" s="260">
        <v>5.1605707012062227</v>
      </c>
      <c r="BF137" s="260">
        <v>5.1820095337641501</v>
      </c>
      <c r="BG137" s="260">
        <v>5.2035374308011946</v>
      </c>
      <c r="BH137" s="260">
        <v>5.2223240063357927</v>
      </c>
      <c r="BI137" s="260">
        <v>5.2411784079262249</v>
      </c>
      <c r="BJ137" s="260">
        <v>5.2601008804480855</v>
      </c>
      <c r="BK137" s="260">
        <v>5.2790916696610548</v>
      </c>
      <c r="BL137" s="260">
        <v>5.2981510222120916</v>
      </c>
      <c r="BM137" s="260">
        <v>5.3113630812048802</v>
      </c>
      <c r="BN137" s="260">
        <v>5.3246080872582748</v>
      </c>
      <c r="BO137" s="260">
        <v>5.3378861225327325</v>
      </c>
      <c r="BP137" s="260">
        <v>5.3511972693935945</v>
      </c>
      <c r="BQ137" s="260">
        <v>5.3645416104115968</v>
      </c>
      <c r="BR137" s="260">
        <v>5.3779717491778074</v>
      </c>
      <c r="BS137" s="260">
        <v>5.3914355103185612</v>
      </c>
      <c r="BT137" s="260">
        <v>5.4049329780075288</v>
      </c>
      <c r="BU137" s="260">
        <v>5.4184642366291094</v>
      </c>
      <c r="BV137" s="260">
        <v>5.4320293707789578</v>
      </c>
      <c r="BW137" s="260">
        <v>5.4450858323773135</v>
      </c>
      <c r="BX137" s="260">
        <v>5.458173676572823</v>
      </c>
      <c r="BY137" s="260">
        <v>5.471292978796904</v>
      </c>
      <c r="BZ137" s="260">
        <v>5.4844438146622805</v>
      </c>
      <c r="CA137" s="260">
        <v>5.4976262599634209</v>
      </c>
      <c r="CB137" s="260">
        <v>5.509165721372697</v>
      </c>
      <c r="CC137" s="260">
        <v>5.5207294039936956</v>
      </c>
      <c r="CD137" s="260">
        <v>5.5323173586664938</v>
      </c>
      <c r="CE137" s="260">
        <v>5.5439296363378796</v>
      </c>
      <c r="CF137" s="260">
        <v>5.5555662880615797</v>
      </c>
      <c r="CG137" s="260">
        <v>5.5698816197819898</v>
      </c>
      <c r="CH137" s="260">
        <v>5.5842338386011479</v>
      </c>
      <c r="CI137" s="260">
        <v>5.598623039568059</v>
      </c>
      <c r="CJ137" s="260">
        <v>5.6130493179766479</v>
      </c>
      <c r="CK137" s="260">
        <v>5.6275127693663878</v>
      </c>
      <c r="CL137" s="260">
        <v>5.6395580019552014</v>
      </c>
      <c r="CM137" s="260">
        <v>5.6516290163830023</v>
      </c>
      <c r="CN137" s="260">
        <v>5.6637258678337163</v>
      </c>
      <c r="CO137" s="260">
        <v>5.6758486116093856</v>
      </c>
      <c r="CP137" s="260">
        <v>5.6879973031304223</v>
      </c>
      <c r="CQ137" s="260">
        <v>5.6991168854631553</v>
      </c>
      <c r="CR137" s="260">
        <v>5.7102582056949531</v>
      </c>
      <c r="CS137" s="260">
        <v>5.7214213063216786</v>
      </c>
      <c r="CT137" s="260">
        <v>5.732606229922272</v>
      </c>
      <c r="CU137" s="260">
        <v>5.7438130191589121</v>
      </c>
      <c r="CV137" s="260">
        <v>5.7570440466225028</v>
      </c>
      <c r="CW137" s="260">
        <v>5.7703055521130002</v>
      </c>
      <c r="CX137" s="260">
        <v>5.7835976058373566</v>
      </c>
      <c r="CY137" s="260">
        <v>5.796920278164249</v>
      </c>
      <c r="CZ137" s="449">
        <v>5.8102736396244499</v>
      </c>
    </row>
    <row r="138" spans="1:104" x14ac:dyDescent="0.2">
      <c r="A138" s="1376" t="s">
        <v>1088</v>
      </c>
      <c r="B138" s="260">
        <v>2016</v>
      </c>
      <c r="C138" s="855">
        <f t="shared" si="267"/>
        <v>1</v>
      </c>
      <c r="D138" s="1241" t="s">
        <v>268</v>
      </c>
      <c r="E138" s="882" t="s">
        <v>1053</v>
      </c>
      <c r="F138" s="260">
        <v>22.7322030001394</v>
      </c>
      <c r="G138" s="260">
        <v>23.967615189707661</v>
      </c>
      <c r="H138" s="1050" t="e">
        <v>#N/A</v>
      </c>
      <c r="I138" s="1050" t="e">
        <v>#N/A</v>
      </c>
      <c r="J138" s="1050" t="e">
        <v>#N/A</v>
      </c>
      <c r="K138" s="1050" t="e">
        <v>#N/A</v>
      </c>
      <c r="L138" s="1050">
        <v>2.2148742453355847</v>
      </c>
      <c r="M138" s="1050">
        <v>2.3408877437334223</v>
      </c>
      <c r="N138" s="1050">
        <v>2.3629142410275352</v>
      </c>
      <c r="O138" s="260">
        <v>2.4181318326423913</v>
      </c>
      <c r="P138" s="260">
        <v>2.3501923436687169</v>
      </c>
      <c r="Q138" s="260">
        <v>2.2749877363600257</v>
      </c>
      <c r="R138" s="260">
        <v>2.2671813119268305</v>
      </c>
      <c r="S138" s="260">
        <v>2.0920368648072634</v>
      </c>
      <c r="T138" s="260">
        <v>1.9706687398025258</v>
      </c>
      <c r="U138" s="260">
        <v>2.067600203211962</v>
      </c>
      <c r="V138" s="260">
        <v>2.1142782942327232</v>
      </c>
      <c r="W138" s="260">
        <v>2.1573963846468813</v>
      </c>
      <c r="X138" s="260">
        <v>2.1900363582596567</v>
      </c>
      <c r="Y138" s="260">
        <v>2.1929897559939948</v>
      </c>
      <c r="Z138" s="260">
        <v>2.2028650611910647</v>
      </c>
      <c r="AA138" s="260">
        <v>2.2090827406317772</v>
      </c>
      <c r="AB138" s="260">
        <v>2.2092997907220093</v>
      </c>
      <c r="AC138" s="260">
        <v>2.2079918032786887</v>
      </c>
      <c r="AD138" s="260">
        <v>2.2065492258230841</v>
      </c>
      <c r="AE138" s="260">
        <v>2.1995552842692714</v>
      </c>
      <c r="AF138" s="260">
        <v>2.1903510334996437</v>
      </c>
      <c r="AG138" s="260">
        <v>2.1795345460335755</v>
      </c>
      <c r="AH138" s="260">
        <v>2.1771697426487315</v>
      </c>
      <c r="AI138" s="260">
        <v>2.177831318906295</v>
      </c>
      <c r="AJ138" s="260">
        <v>2.1809505846135182</v>
      </c>
      <c r="AK138" s="260">
        <v>2.1861806387528246</v>
      </c>
      <c r="AL138" s="260">
        <v>2.1973402359685172</v>
      </c>
      <c r="AM138" s="260">
        <v>2.2020565733003745</v>
      </c>
      <c r="AN138" s="260">
        <v>2.2177912831167257</v>
      </c>
      <c r="AO138" s="260">
        <v>2.2206593773221517</v>
      </c>
      <c r="AP138" s="260">
        <v>2.2289385587115755</v>
      </c>
      <c r="AQ138" s="260">
        <v>2.2351116907538557</v>
      </c>
      <c r="AR138" s="260">
        <v>2.2481536525075447</v>
      </c>
      <c r="AS138" s="260">
        <v>2.2492673374683427</v>
      </c>
      <c r="AT138" s="260">
        <v>2.2496910116619402</v>
      </c>
      <c r="AU138" s="260">
        <v>2.2544263053335558</v>
      </c>
      <c r="AV138" s="260">
        <v>2.2540196918457411</v>
      </c>
      <c r="AW138" s="260">
        <v>2.2546357728878843</v>
      </c>
      <c r="AX138" s="260">
        <v>2.2490256441364247</v>
      </c>
      <c r="AY138" s="260">
        <v>2.2531477002168603</v>
      </c>
      <c r="AZ138" s="260">
        <v>2.2540841434009193</v>
      </c>
      <c r="BA138" s="260">
        <v>2.2596705767276806</v>
      </c>
      <c r="BB138" s="260">
        <v>2.2620458060993922</v>
      </c>
      <c r="BC138" s="260">
        <v>2.2703711301923084</v>
      </c>
      <c r="BD138" s="260">
        <v>2.2787270951418623</v>
      </c>
      <c r="BE138" s="260">
        <v>2.2871138137198912</v>
      </c>
      <c r="BF138" s="260">
        <v>2.2955313991132824</v>
      </c>
      <c r="BG138" s="260">
        <v>2.3039799649255008</v>
      </c>
      <c r="BH138" s="260">
        <v>2.3125787529279784</v>
      </c>
      <c r="BI138" s="260">
        <v>2.3212096328567045</v>
      </c>
      <c r="BJ138" s="260">
        <v>2.3298727244834101</v>
      </c>
      <c r="BK138" s="260">
        <v>2.338568148026833</v>
      </c>
      <c r="BL138" s="260">
        <v>2.3472960241543843</v>
      </c>
      <c r="BM138" s="260">
        <v>2.3559838582312191</v>
      </c>
      <c r="BN138" s="260">
        <v>2.3647038478010849</v>
      </c>
      <c r="BO138" s="260">
        <v>2.3734561118781943</v>
      </c>
      <c r="BP138" s="260">
        <v>2.3822407699172565</v>
      </c>
      <c r="BQ138" s="260">
        <v>2.3910579418151077</v>
      </c>
      <c r="BR138" s="260">
        <v>2.3997099382358895</v>
      </c>
      <c r="BS138" s="260">
        <v>2.4083932417365861</v>
      </c>
      <c r="BT138" s="260">
        <v>2.4171079656012542</v>
      </c>
      <c r="BU138" s="260">
        <v>2.4258542235238663</v>
      </c>
      <c r="BV138" s="260">
        <v>2.434632129609795</v>
      </c>
      <c r="BW138" s="260">
        <v>2.4428635118796533</v>
      </c>
      <c r="BX138" s="260">
        <v>2.4511227240845761</v>
      </c>
      <c r="BY138" s="260">
        <v>2.4594098603163279</v>
      </c>
      <c r="BZ138" s="260">
        <v>2.467725014984794</v>
      </c>
      <c r="CA138" s="260">
        <v>2.476068282819055</v>
      </c>
      <c r="CB138" s="260">
        <v>2.4831576550549128</v>
      </c>
      <c r="CC138" s="260">
        <v>2.4902673252765117</v>
      </c>
      <c r="CD138" s="260">
        <v>2.4973973516001715</v>
      </c>
      <c r="CE138" s="260">
        <v>2.5045477923086086</v>
      </c>
      <c r="CF138" s="260">
        <v>2.5117187058514112</v>
      </c>
      <c r="CG138" s="260">
        <v>2.5171937058097216</v>
      </c>
      <c r="CH138" s="260">
        <v>2.5226806400759916</v>
      </c>
      <c r="CI138" s="260">
        <v>2.5281795346644143</v>
      </c>
      <c r="CJ138" s="260">
        <v>2.5336904156458884</v>
      </c>
      <c r="CK138" s="260">
        <v>2.539213309148141</v>
      </c>
      <c r="CL138" s="260">
        <v>2.5429573704375228</v>
      </c>
      <c r="CM138" s="260">
        <v>2.5467069523323964</v>
      </c>
      <c r="CN138" s="260">
        <v>2.5504620629728754</v>
      </c>
      <c r="CO138" s="260">
        <v>2.554222710511076</v>
      </c>
      <c r="CP138" s="260">
        <v>2.5579889031111347</v>
      </c>
      <c r="CQ138" s="260">
        <v>2.5592501421168059</v>
      </c>
      <c r="CR138" s="260">
        <v>2.5605120029875006</v>
      </c>
      <c r="CS138" s="260">
        <v>2.5617744860298348</v>
      </c>
      <c r="CT138" s="260">
        <v>2.5630375915505756</v>
      </c>
      <c r="CU138" s="260">
        <v>2.564301319856642</v>
      </c>
      <c r="CV138" s="260">
        <v>2.5624850697467836</v>
      </c>
      <c r="CW138" s="260">
        <v>2.5606701060553489</v>
      </c>
      <c r="CX138" s="260">
        <v>2.5588564278711901</v>
      </c>
      <c r="CY138" s="260">
        <v>2.5570440342838041</v>
      </c>
      <c r="CZ138" s="449">
        <v>2.555232924383334</v>
      </c>
    </row>
    <row r="139" spans="1:104" x14ac:dyDescent="0.2">
      <c r="A139" s="945" t="s">
        <v>683</v>
      </c>
      <c r="B139" s="260">
        <v>2016</v>
      </c>
      <c r="C139" s="855">
        <f t="shared" si="267"/>
        <v>1</v>
      </c>
      <c r="D139" s="1229" t="s">
        <v>296</v>
      </c>
      <c r="E139" s="855" t="s">
        <v>1072</v>
      </c>
      <c r="F139" s="859"/>
      <c r="G139" s="855"/>
      <c r="H139" s="1050">
        <v>28.373013628420669</v>
      </c>
      <c r="I139" s="1050">
        <v>29.17093293229123</v>
      </c>
      <c r="J139" s="1050">
        <v>30.878569780545078</v>
      </c>
      <c r="K139" s="1050">
        <v>30.682595180991225</v>
      </c>
      <c r="L139" s="1050">
        <v>31.992353762541459</v>
      </c>
      <c r="M139" s="1050">
        <v>31.4429334181984</v>
      </c>
      <c r="N139" s="1050">
        <v>31.156600892671783</v>
      </c>
      <c r="O139" s="260">
        <v>30.676058322376605</v>
      </c>
      <c r="P139" s="260">
        <v>29.679126186318804</v>
      </c>
      <c r="Q139" s="260">
        <v>29.700131988890092</v>
      </c>
      <c r="R139" s="260">
        <v>30.54196479432273</v>
      </c>
      <c r="S139" s="260">
        <v>29.932211922183079</v>
      </c>
      <c r="T139" s="260">
        <v>28.972214109999999</v>
      </c>
      <c r="U139" s="260">
        <v>29.128232055928784</v>
      </c>
      <c r="V139" s="260">
        <v>28.995688380521983</v>
      </c>
      <c r="W139" s="260">
        <v>29.39475155821113</v>
      </c>
      <c r="X139" s="260">
        <v>29.885964346916182</v>
      </c>
      <c r="Y139" s="260">
        <v>30.089071101439163</v>
      </c>
      <c r="Z139" s="260">
        <v>31.081689502737298</v>
      </c>
      <c r="AA139" s="260">
        <v>31.400245105473072</v>
      </c>
      <c r="AB139" s="260">
        <v>31.337976372818122</v>
      </c>
      <c r="AC139" s="260">
        <v>31.854564117923594</v>
      </c>
      <c r="AD139" s="260">
        <v>32.189964324168578</v>
      </c>
      <c r="AE139" s="260">
        <v>32.274661250208517</v>
      </c>
      <c r="AF139" s="260">
        <v>32.347049824843424</v>
      </c>
      <c r="AG139" s="260">
        <v>32.398275541772193</v>
      </c>
      <c r="AH139" s="260">
        <v>32.473329377777105</v>
      </c>
      <c r="AI139" s="260">
        <v>32.424485524938959</v>
      </c>
      <c r="AJ139" s="260">
        <v>32.33705604252286</v>
      </c>
      <c r="AK139" s="260">
        <v>32.213589610409308</v>
      </c>
      <c r="AL139" s="260">
        <v>32.123147965605618</v>
      </c>
      <c r="AM139" s="260">
        <v>32.189031672252469</v>
      </c>
      <c r="AN139" s="260">
        <v>32.20134665837643</v>
      </c>
      <c r="AO139" s="260">
        <v>32.137342472816606</v>
      </c>
      <c r="AP139" s="260">
        <v>32.106067355666433</v>
      </c>
      <c r="AQ139" s="260">
        <v>32.055398007309563</v>
      </c>
      <c r="AR139" s="260">
        <v>31.985796962436115</v>
      </c>
      <c r="AS139" s="260">
        <v>31.883579639374592</v>
      </c>
      <c r="AT139" s="260">
        <v>31.88043762605966</v>
      </c>
      <c r="AU139" s="260">
        <v>31.921825950470875</v>
      </c>
      <c r="AV139" s="260">
        <v>31.967798865652629</v>
      </c>
      <c r="AW139" s="260">
        <v>32.011030694105337</v>
      </c>
      <c r="AX139" s="260">
        <v>32.04019407500644</v>
      </c>
      <c r="AY139" s="260">
        <v>32.084258086774547</v>
      </c>
      <c r="AZ139" s="260">
        <v>32.12290532445671</v>
      </c>
      <c r="BA139" s="260">
        <v>32.1438833578502</v>
      </c>
      <c r="BB139" s="260">
        <v>32.210559439498944</v>
      </c>
      <c r="BC139" s="260">
        <v>32.212518425109167</v>
      </c>
      <c r="BD139" s="260">
        <v>32.214477529861206</v>
      </c>
      <c r="BE139" s="260">
        <v>32.216436753762309</v>
      </c>
      <c r="BF139" s="260">
        <v>32.218396096819724</v>
      </c>
      <c r="BG139" s="260">
        <v>32.220355559040698</v>
      </c>
      <c r="BH139" s="260">
        <v>32.225068562587758</v>
      </c>
      <c r="BI139" s="260">
        <v>32.229782255525173</v>
      </c>
      <c r="BJ139" s="260">
        <v>32.234496637953782</v>
      </c>
      <c r="BK139" s="260">
        <v>32.239211709974448</v>
      </c>
      <c r="BL139" s="260">
        <v>32.243927471688032</v>
      </c>
      <c r="BM139" s="260">
        <v>32.234738373564198</v>
      </c>
      <c r="BN139" s="260">
        <v>32.225551894213289</v>
      </c>
      <c r="BO139" s="260">
        <v>32.216368032888994</v>
      </c>
      <c r="BP139" s="260">
        <v>32.207186788845206</v>
      </c>
      <c r="BQ139" s="260">
        <v>32.198008161336034</v>
      </c>
      <c r="BR139" s="260">
        <v>32.188328675270981</v>
      </c>
      <c r="BS139" s="260">
        <v>32.178652099089362</v>
      </c>
      <c r="BT139" s="260">
        <v>32.168978431916393</v>
      </c>
      <c r="BU139" s="260">
        <v>32.15930767287756</v>
      </c>
      <c r="BV139" s="260">
        <v>32.14963982109861</v>
      </c>
      <c r="BW139" s="260">
        <v>32.135484213462775</v>
      </c>
      <c r="BX139" s="260">
        <v>32.121334838594358</v>
      </c>
      <c r="BY139" s="260">
        <v>32.107191693749044</v>
      </c>
      <c r="BZ139" s="260">
        <v>32.093054776183735</v>
      </c>
      <c r="CA139" s="260">
        <v>32.078924083156537</v>
      </c>
      <c r="CB139" s="260">
        <v>32.05322936592912</v>
      </c>
      <c r="CC139" s="260">
        <v>32.027555229768936</v>
      </c>
      <c r="CD139" s="260">
        <v>32.001901658190874</v>
      </c>
      <c r="CE139" s="260">
        <v>31.976268634723027</v>
      </c>
      <c r="CF139" s="260">
        <v>31.950656142906677</v>
      </c>
      <c r="CG139" s="260">
        <v>31.915373500092528</v>
      </c>
      <c r="CH139" s="260">
        <v>31.880129819385399</v>
      </c>
      <c r="CI139" s="260">
        <v>31.844925057760001</v>
      </c>
      <c r="CJ139" s="260">
        <v>31.809759172238564</v>
      </c>
      <c r="CK139" s="260">
        <v>31.774632119890772</v>
      </c>
      <c r="CL139" s="260">
        <v>31.736335048107414</v>
      </c>
      <c r="CM139" s="260">
        <v>31.698084134709202</v>
      </c>
      <c r="CN139" s="260">
        <v>31.659879324062725</v>
      </c>
      <c r="CO139" s="260">
        <v>31.621720560601634</v>
      </c>
      <c r="CP139" s="260">
        <v>31.583607788826551</v>
      </c>
      <c r="CQ139" s="260">
        <v>31.539463246970023</v>
      </c>
      <c r="CR139" s="260">
        <v>31.495380406125889</v>
      </c>
      <c r="CS139" s="260">
        <v>31.451359180054389</v>
      </c>
      <c r="CT139" s="260">
        <v>31.407399482636293</v>
      </c>
      <c r="CU139" s="260">
        <v>31.363501227872742</v>
      </c>
      <c r="CV139" s="260">
        <v>31.320648715953933</v>
      </c>
      <c r="CW139" s="260">
        <v>31.277854754187555</v>
      </c>
      <c r="CX139" s="260">
        <v>31.235119262575491</v>
      </c>
      <c r="CY139" s="260">
        <v>31.192442161228929</v>
      </c>
      <c r="CZ139" s="449">
        <v>31.1498233703682</v>
      </c>
    </row>
    <row r="140" spans="1:104" x14ac:dyDescent="0.2">
      <c r="A140" s="945" t="s">
        <v>698</v>
      </c>
      <c r="B140" s="260">
        <v>2016</v>
      </c>
      <c r="C140" s="855">
        <f t="shared" si="267"/>
        <v>1</v>
      </c>
      <c r="D140" s="1229" t="s">
        <v>296</v>
      </c>
      <c r="E140" s="855" t="s">
        <v>1072</v>
      </c>
      <c r="F140" s="866"/>
      <c r="G140" s="1360"/>
      <c r="H140" s="1050">
        <v>18.232352698801531</v>
      </c>
      <c r="I140" s="1050">
        <v>19.279059481202857</v>
      </c>
      <c r="J140" s="1050">
        <v>20.106975671052609</v>
      </c>
      <c r="K140" s="1050">
        <v>20.31728323383771</v>
      </c>
      <c r="L140" s="1050">
        <v>21.702415417864383</v>
      </c>
      <c r="M140" s="1050">
        <v>21.137326303769196</v>
      </c>
      <c r="N140" s="1050">
        <v>20.699724047437488</v>
      </c>
      <c r="O140" s="260">
        <v>20.430734156114106</v>
      </c>
      <c r="P140" s="260">
        <v>19.619402543384187</v>
      </c>
      <c r="Q140" s="260">
        <v>19.94482547791937</v>
      </c>
      <c r="R140" s="260">
        <v>20.190684361237558</v>
      </c>
      <c r="S140" s="260">
        <v>19.439058682545589</v>
      </c>
      <c r="T140" s="260">
        <v>18.777772519999996</v>
      </c>
      <c r="U140" s="260">
        <v>19.537493744407882</v>
      </c>
      <c r="V140" s="260">
        <v>19.094688812726531</v>
      </c>
      <c r="W140" s="260">
        <v>19.340880484069093</v>
      </c>
      <c r="X140" s="260">
        <v>19.700726786066333</v>
      </c>
      <c r="Y140" s="260">
        <v>19.809231927025674</v>
      </c>
      <c r="Z140" s="260">
        <v>20.448628319255093</v>
      </c>
      <c r="AA140" s="260">
        <v>20.513438149254636</v>
      </c>
      <c r="AB140" s="260">
        <v>20.459361398826221</v>
      </c>
      <c r="AC140" s="260">
        <v>20.950622526197662</v>
      </c>
      <c r="AD140" s="260">
        <v>21.163384692376518</v>
      </c>
      <c r="AE140" s="260">
        <v>21.285322295688569</v>
      </c>
      <c r="AF140" s="260">
        <v>21.423623959296947</v>
      </c>
      <c r="AG140" s="260">
        <v>21.53228264660833</v>
      </c>
      <c r="AH140" s="260">
        <v>21.607771530610695</v>
      </c>
      <c r="AI140" s="260">
        <v>21.635145433038627</v>
      </c>
      <c r="AJ140" s="260">
        <v>21.585785019942069</v>
      </c>
      <c r="AK140" s="260">
        <v>21.508628925857963</v>
      </c>
      <c r="AL140" s="260">
        <v>21.446118499871098</v>
      </c>
      <c r="AM140" s="260">
        <v>21.521952389257063</v>
      </c>
      <c r="AN140" s="260">
        <v>21.600204159779199</v>
      </c>
      <c r="AO140" s="260">
        <v>21.583872325260458</v>
      </c>
      <c r="AP140" s="260">
        <v>21.588666383585327</v>
      </c>
      <c r="AQ140" s="260">
        <v>21.605374501448264</v>
      </c>
      <c r="AR140" s="260">
        <v>21.554715579078266</v>
      </c>
      <c r="AS140" s="260">
        <v>21.491324631109631</v>
      </c>
      <c r="AT140" s="260">
        <v>21.516251270074765</v>
      </c>
      <c r="AU140" s="260">
        <v>21.58191413536343</v>
      </c>
      <c r="AV140" s="260">
        <v>21.663232093841465</v>
      </c>
      <c r="AW140" s="260">
        <v>21.742367229796333</v>
      </c>
      <c r="AX140" s="260">
        <v>21.822824570449338</v>
      </c>
      <c r="AY140" s="260">
        <v>21.895024529503647</v>
      </c>
      <c r="AZ140" s="260">
        <v>21.976239175929997</v>
      </c>
      <c r="BA140" s="260">
        <v>22.046603213478718</v>
      </c>
      <c r="BB140" s="260">
        <v>22.114819497732821</v>
      </c>
      <c r="BC140" s="260">
        <v>22.13487665280584</v>
      </c>
      <c r="BD140" s="260">
        <v>22.15495199882406</v>
      </c>
      <c r="BE140" s="260">
        <v>22.175045552285859</v>
      </c>
      <c r="BF140" s="260">
        <v>22.195157329704575</v>
      </c>
      <c r="BG140" s="260">
        <v>22.215287347608523</v>
      </c>
      <c r="BH140" s="260">
        <v>22.237407284551185</v>
      </c>
      <c r="BI140" s="260">
        <v>22.259549246489641</v>
      </c>
      <c r="BJ140" s="260">
        <v>22.281713255354351</v>
      </c>
      <c r="BK140" s="260">
        <v>22.303899333097611</v>
      </c>
      <c r="BL140" s="260">
        <v>22.326107501693581</v>
      </c>
      <c r="BM140" s="260">
        <v>22.336823207612067</v>
      </c>
      <c r="BN140" s="260">
        <v>22.347544056673097</v>
      </c>
      <c r="BO140" s="260">
        <v>22.358270051345187</v>
      </c>
      <c r="BP140" s="260">
        <v>22.369001194098043</v>
      </c>
      <c r="BQ140" s="260">
        <v>22.379737487402554</v>
      </c>
      <c r="BR140" s="260">
        <v>22.390100389733625</v>
      </c>
      <c r="BS140" s="260">
        <v>22.400468090590362</v>
      </c>
      <c r="BT140" s="260">
        <v>22.410840592194713</v>
      </c>
      <c r="BU140" s="260">
        <v>22.421217896769658</v>
      </c>
      <c r="BV140" s="260">
        <v>22.431600006539206</v>
      </c>
      <c r="BW140" s="260">
        <v>22.438377931004013</v>
      </c>
      <c r="BX140" s="260">
        <v>22.44515790348412</v>
      </c>
      <c r="BY140" s="260">
        <v>22.451939924598356</v>
      </c>
      <c r="BZ140" s="260">
        <v>22.458723994965737</v>
      </c>
      <c r="CA140" s="260">
        <v>22.465510115205461</v>
      </c>
      <c r="CB140" s="260">
        <v>22.462969438648798</v>
      </c>
      <c r="CC140" s="260">
        <v>22.46042904942313</v>
      </c>
      <c r="CD140" s="260">
        <v>22.45788894749596</v>
      </c>
      <c r="CE140" s="260">
        <v>22.455349132834797</v>
      </c>
      <c r="CF140" s="260">
        <v>22.452809605407158</v>
      </c>
      <c r="CG140" s="260">
        <v>22.442624812220661</v>
      </c>
      <c r="CH140" s="260">
        <v>22.432444638946507</v>
      </c>
      <c r="CI140" s="260">
        <v>22.422269083489063</v>
      </c>
      <c r="CJ140" s="260">
        <v>22.412098143753649</v>
      </c>
      <c r="CK140" s="260">
        <v>22.401931817646531</v>
      </c>
      <c r="CL140" s="260">
        <v>22.389459823741635</v>
      </c>
      <c r="CM140" s="260">
        <v>22.376994773462549</v>
      </c>
      <c r="CN140" s="260">
        <v>22.364536662943497</v>
      </c>
      <c r="CO140" s="260">
        <v>22.352085488320853</v>
      </c>
      <c r="CP140" s="260">
        <v>22.339641245733144</v>
      </c>
      <c r="CQ140" s="260">
        <v>22.322592014179389</v>
      </c>
      <c r="CR140" s="260">
        <v>22.305555794307125</v>
      </c>
      <c r="CS140" s="260">
        <v>22.288532576186064</v>
      </c>
      <c r="CT140" s="260">
        <v>22.271522349893491</v>
      </c>
      <c r="CU140" s="260">
        <v>22.254525105514261</v>
      </c>
      <c r="CV140" s="260">
        <v>22.238544472899552</v>
      </c>
      <c r="CW140" s="260">
        <v>22.222575315731635</v>
      </c>
      <c r="CX140" s="260">
        <v>22.206617625770171</v>
      </c>
      <c r="CY140" s="260">
        <v>22.190671394780733</v>
      </c>
      <c r="CZ140" s="449">
        <v>22.174736614534808</v>
      </c>
    </row>
    <row r="141" spans="1:104" ht="13.5" thickBot="1" x14ac:dyDescent="0.25">
      <c r="A141" s="1377" t="s">
        <v>684</v>
      </c>
      <c r="B141" s="443">
        <v>2016</v>
      </c>
      <c r="C141" s="1378">
        <f t="shared" si="267"/>
        <v>1</v>
      </c>
      <c r="D141" s="1379" t="s">
        <v>296</v>
      </c>
      <c r="E141" s="1378" t="s">
        <v>1072</v>
      </c>
      <c r="F141" s="1380"/>
      <c r="G141" s="1013"/>
      <c r="H141" s="1381">
        <v>31.081820315099751</v>
      </c>
      <c r="I141" s="1381">
        <v>31.795307521355493</v>
      </c>
      <c r="J141" s="1381">
        <v>33.946842042036877</v>
      </c>
      <c r="K141" s="1381">
        <v>33.862138723062856</v>
      </c>
      <c r="L141" s="1381">
        <v>35.110516897292094</v>
      </c>
      <c r="M141" s="1381">
        <v>35.620882248372396</v>
      </c>
      <c r="N141" s="1381">
        <v>35.284315436843215</v>
      </c>
      <c r="O141" s="443">
        <v>35.109707376782602</v>
      </c>
      <c r="P141" s="443">
        <v>34.944303180720262</v>
      </c>
      <c r="Q141" s="443">
        <v>35.113313940081568</v>
      </c>
      <c r="R141" s="443">
        <v>35.603854676435802</v>
      </c>
      <c r="S141" s="443">
        <v>35.586699324775935</v>
      </c>
      <c r="T141" s="443">
        <v>34.861101349999998</v>
      </c>
      <c r="U141" s="443">
        <v>34.664653819323334</v>
      </c>
      <c r="V141" s="443">
        <v>34.410290069910978</v>
      </c>
      <c r="W141" s="443">
        <v>34.908531869398402</v>
      </c>
      <c r="X141" s="443">
        <v>35.616671532127199</v>
      </c>
      <c r="Y141" s="443">
        <v>35.947520321196222</v>
      </c>
      <c r="Z141" s="443">
        <v>36.987705865849776</v>
      </c>
      <c r="AA141" s="443">
        <v>37.546039262370911</v>
      </c>
      <c r="AB141" s="443">
        <v>37.510823122184988</v>
      </c>
      <c r="AC141" s="443">
        <v>38.008797637281816</v>
      </c>
      <c r="AD141" s="443">
        <v>38.419808048103611</v>
      </c>
      <c r="AE141" s="443">
        <v>38.480927078752217</v>
      </c>
      <c r="AF141" s="443">
        <v>38.529894147798792</v>
      </c>
      <c r="AG141" s="443">
        <v>38.610432052895767</v>
      </c>
      <c r="AH141" s="443">
        <v>38.669048846696292</v>
      </c>
      <c r="AI141" s="443">
        <v>38.631731396248163</v>
      </c>
      <c r="AJ141" s="443">
        <v>38.567872226687491</v>
      </c>
      <c r="AK141" s="443">
        <v>38.465126969563705</v>
      </c>
      <c r="AL141" s="443">
        <v>38.413723063041203</v>
      </c>
      <c r="AM141" s="443">
        <v>38.515467425425761</v>
      </c>
      <c r="AN141" s="443">
        <v>38.527084818246614</v>
      </c>
      <c r="AO141" s="443">
        <v>38.521472793861179</v>
      </c>
      <c r="AP141" s="443">
        <v>38.546973809920992</v>
      </c>
      <c r="AQ141" s="443">
        <v>38.560691565187064</v>
      </c>
      <c r="AR141" s="443">
        <v>38.568356561168315</v>
      </c>
      <c r="AS141" s="443">
        <v>38.569368829711408</v>
      </c>
      <c r="AT141" s="443">
        <v>38.651143635977618</v>
      </c>
      <c r="AU141" s="443">
        <v>38.781520601750053</v>
      </c>
      <c r="AV141" s="443">
        <v>38.929117506558889</v>
      </c>
      <c r="AW141" s="443">
        <v>39.08758776785308</v>
      </c>
      <c r="AX141" s="443">
        <v>39.228047610742941</v>
      </c>
      <c r="AY141" s="443">
        <v>39.393119417357944</v>
      </c>
      <c r="AZ141" s="443">
        <v>39.595269824540118</v>
      </c>
      <c r="BA141" s="443">
        <v>39.769550621009692</v>
      </c>
      <c r="BB141" s="443">
        <v>39.980674011616443</v>
      </c>
      <c r="BC141" s="443">
        <v>39.983105560972888</v>
      </c>
      <c r="BD141" s="443">
        <v>39.985537258211586</v>
      </c>
      <c r="BE141" s="443">
        <v>39.987969103341534</v>
      </c>
      <c r="BF141" s="443">
        <v>39.990401096371727</v>
      </c>
      <c r="BG141" s="443">
        <v>39.99283323731116</v>
      </c>
      <c r="BH141" s="443">
        <v>39.998683153044055</v>
      </c>
      <c r="BI141" s="443">
        <v>40.00453392446812</v>
      </c>
      <c r="BJ141" s="443">
        <v>40.010385551708517</v>
      </c>
      <c r="BK141" s="443">
        <v>40.016238034890421</v>
      </c>
      <c r="BL141" s="443">
        <v>40.022091374139045</v>
      </c>
      <c r="BM141" s="443">
        <v>40.01068560090993</v>
      </c>
      <c r="BN141" s="443">
        <v>39.999283078177193</v>
      </c>
      <c r="BO141" s="443">
        <v>39.987883805014484</v>
      </c>
      <c r="BP141" s="443">
        <v>39.976487780495717</v>
      </c>
      <c r="BQ141" s="443">
        <v>39.965095003695069</v>
      </c>
      <c r="BR141" s="443">
        <v>39.953080546830584</v>
      </c>
      <c r="BS141" s="443">
        <v>39.941069701797218</v>
      </c>
      <c r="BT141" s="443">
        <v>39.929062467509169</v>
      </c>
      <c r="BU141" s="443">
        <v>39.917058842880955</v>
      </c>
      <c r="BV141" s="443">
        <v>39.905058826827435</v>
      </c>
      <c r="BW141" s="443">
        <v>39.887488478960996</v>
      </c>
      <c r="BX141" s="443">
        <v>39.869925867384971</v>
      </c>
      <c r="BY141" s="443">
        <v>39.852370988693046</v>
      </c>
      <c r="BZ141" s="443">
        <v>39.8348238394804</v>
      </c>
      <c r="CA141" s="443">
        <v>39.817284416343718</v>
      </c>
      <c r="CB141" s="443">
        <v>39.785391393336162</v>
      </c>
      <c r="CC141" s="443">
        <v>39.75352391614198</v>
      </c>
      <c r="CD141" s="443">
        <v>39.721681964299371</v>
      </c>
      <c r="CE141" s="443">
        <v>39.689865517362925</v>
      </c>
      <c r="CF141" s="443">
        <v>39.658074554903607</v>
      </c>
      <c r="CG141" s="443">
        <v>39.614280722534119</v>
      </c>
      <c r="CH141" s="443">
        <v>39.57053525105394</v>
      </c>
      <c r="CI141" s="443">
        <v>39.526838087058842</v>
      </c>
      <c r="CJ141" s="443">
        <v>39.48318917720357</v>
      </c>
      <c r="CK141" s="443">
        <v>39.439588468201791</v>
      </c>
      <c r="CL141" s="443">
        <v>39.392053039782866</v>
      </c>
      <c r="CM141" s="443">
        <v>39.344574904480901</v>
      </c>
      <c r="CN141" s="443">
        <v>39.297153993242112</v>
      </c>
      <c r="CO141" s="443">
        <v>39.249790237095944</v>
      </c>
      <c r="CP141" s="443">
        <v>39.202483567154964</v>
      </c>
      <c r="CQ141" s="443">
        <v>39.147690090479308</v>
      </c>
      <c r="CR141" s="443">
        <v>39.092973198877175</v>
      </c>
      <c r="CS141" s="443">
        <v>39.038332785305279</v>
      </c>
      <c r="CT141" s="443">
        <v>38.983768742869955</v>
      </c>
      <c r="CU141" s="443">
        <v>38.929280964826951</v>
      </c>
      <c r="CV141" s="443">
        <v>38.876091192919297</v>
      </c>
      <c r="CW141" s="443">
        <v>38.822974095147039</v>
      </c>
      <c r="CX141" s="443">
        <v>38.769929572214203</v>
      </c>
      <c r="CY141" s="443">
        <v>38.716957524960492</v>
      </c>
      <c r="CZ141" s="444">
        <v>38.66405785436109</v>
      </c>
    </row>
    <row r="202" spans="1:2" ht="15" x14ac:dyDescent="0.25">
      <c r="A202" s="2"/>
      <c r="B202" s="2"/>
    </row>
    <row r="203" spans="1:2" ht="15" x14ac:dyDescent="0.25">
      <c r="A203" s="2"/>
      <c r="B203" s="2"/>
    </row>
    <row r="249" spans="1:29" x14ac:dyDescent="0.2">
      <c r="A249" s="33"/>
    </row>
    <row r="251" spans="1:29" x14ac:dyDescent="0.2">
      <c r="AC251" s="28"/>
    </row>
    <row r="252" spans="1:29" x14ac:dyDescent="0.2">
      <c r="AC252" s="28"/>
    </row>
    <row r="253" spans="1:29" x14ac:dyDescent="0.2">
      <c r="AC253" s="28"/>
    </row>
    <row r="254" spans="1:29" x14ac:dyDescent="0.2">
      <c r="AC254" s="28"/>
    </row>
    <row r="257" spans="29:29" x14ac:dyDescent="0.2">
      <c r="AC257" s="28"/>
    </row>
    <row r="258" spans="29:29" x14ac:dyDescent="0.2">
      <c r="AC258" s="28"/>
    </row>
    <row r="259" spans="29:29" x14ac:dyDescent="0.2">
      <c r="AC259" s="28"/>
    </row>
    <row r="260" spans="29:29" x14ac:dyDescent="0.2">
      <c r="AC260" s="28"/>
    </row>
    <row r="263" spans="29:29" x14ac:dyDescent="0.2">
      <c r="AC263" s="28"/>
    </row>
    <row r="264" spans="29:29" x14ac:dyDescent="0.2">
      <c r="AC264" s="28"/>
    </row>
    <row r="265" spans="29:29" x14ac:dyDescent="0.2">
      <c r="AC265" s="28"/>
    </row>
    <row r="266" spans="29:29" x14ac:dyDescent="0.2">
      <c r="AC266" s="28"/>
    </row>
    <row r="267" spans="29:29" x14ac:dyDescent="0.2">
      <c r="AC267" s="28"/>
    </row>
    <row r="268" spans="29:29" x14ac:dyDescent="0.2">
      <c r="AC268" s="28"/>
    </row>
    <row r="270" spans="29:29" x14ac:dyDescent="0.2">
      <c r="AC270" s="28"/>
    </row>
    <row r="273" spans="29:29" x14ac:dyDescent="0.2">
      <c r="AC273" s="28"/>
    </row>
    <row r="274" spans="29:29" x14ac:dyDescent="0.2">
      <c r="AC274" s="28"/>
    </row>
    <row r="275" spans="29:29" x14ac:dyDescent="0.2">
      <c r="AC275" s="28"/>
    </row>
    <row r="276" spans="29:29" x14ac:dyDescent="0.2">
      <c r="AC276" s="28"/>
    </row>
    <row r="277" spans="29:29" x14ac:dyDescent="0.2">
      <c r="AC277" s="28"/>
    </row>
    <row r="278" spans="29:29" x14ac:dyDescent="0.2">
      <c r="AC278" s="28"/>
    </row>
    <row r="279" spans="29:29" x14ac:dyDescent="0.2">
      <c r="AC279" s="28"/>
    </row>
    <row r="280" spans="29:29" x14ac:dyDescent="0.2">
      <c r="AC280" s="28"/>
    </row>
    <row r="283" spans="29:29" x14ac:dyDescent="0.2">
      <c r="AC283" s="28"/>
    </row>
    <row r="284" spans="29:29" x14ac:dyDescent="0.2">
      <c r="AC284" s="28"/>
    </row>
    <row r="285" spans="29:29" x14ac:dyDescent="0.2">
      <c r="AC285" s="28"/>
    </row>
    <row r="286" spans="29:29" x14ac:dyDescent="0.2">
      <c r="AC286" s="28"/>
    </row>
    <row r="289" spans="29:29" x14ac:dyDescent="0.2">
      <c r="AC289" s="28"/>
    </row>
    <row r="290" spans="29:29" x14ac:dyDescent="0.2">
      <c r="AC290" s="28"/>
    </row>
    <row r="291" spans="29:29" x14ac:dyDescent="0.2">
      <c r="AC291" s="28"/>
    </row>
    <row r="292" spans="29:29" x14ac:dyDescent="0.2">
      <c r="AC292" s="28"/>
    </row>
    <row r="293" spans="29:29" x14ac:dyDescent="0.2">
      <c r="AC293" s="28"/>
    </row>
    <row r="294" spans="29:29" x14ac:dyDescent="0.2">
      <c r="AC294" s="28"/>
    </row>
    <row r="295" spans="29:29" x14ac:dyDescent="0.2">
      <c r="AC295" s="28"/>
    </row>
    <row r="296" spans="29:29" x14ac:dyDescent="0.2">
      <c r="AC296" s="28"/>
    </row>
    <row r="297" spans="29:29" x14ac:dyDescent="0.2">
      <c r="AC297" s="28"/>
    </row>
    <row r="299" spans="29:29" x14ac:dyDescent="0.2">
      <c r="AC299" s="28"/>
    </row>
    <row r="303" spans="29:29" x14ac:dyDescent="0.2">
      <c r="AC303" s="28"/>
    </row>
    <row r="304" spans="29:29" x14ac:dyDescent="0.2">
      <c r="AC304" s="28"/>
    </row>
    <row r="305" spans="29:29" x14ac:dyDescent="0.2">
      <c r="AC305" s="28"/>
    </row>
    <row r="306" spans="29:29" x14ac:dyDescent="0.2">
      <c r="AC306" s="28"/>
    </row>
    <row r="307" spans="29:29" x14ac:dyDescent="0.2">
      <c r="AC307" s="28"/>
    </row>
    <row r="308" spans="29:29" x14ac:dyDescent="0.2">
      <c r="AC308" s="28"/>
    </row>
    <row r="309" spans="29:29" x14ac:dyDescent="0.2">
      <c r="AC309" s="28"/>
    </row>
  </sheetData>
  <phoneticPr fontId="2"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workbookViewId="0"/>
  </sheetViews>
  <sheetFormatPr defaultRowHeight="12.75" x14ac:dyDescent="0.2"/>
  <cols>
    <col min="1" max="1" width="27.85546875" customWidth="1"/>
    <col min="2" max="2" width="12.7109375" customWidth="1"/>
    <col min="3" max="3" width="19.85546875" customWidth="1"/>
    <col min="4" max="4" width="28.28515625" customWidth="1"/>
    <col min="5" max="5" width="16.5703125" customWidth="1"/>
    <col min="6" max="6" width="11.42578125" customWidth="1"/>
    <col min="7" max="7" width="9.7109375" customWidth="1"/>
    <col min="8" max="8" width="10.28515625" customWidth="1"/>
    <col min="9" max="9" width="10.42578125" customWidth="1"/>
    <col min="10" max="10" width="9.5703125" customWidth="1"/>
    <col min="11" max="12" width="10" customWidth="1"/>
    <col min="13" max="13" width="10.7109375" customWidth="1"/>
    <col min="14" max="14" width="9.5703125" customWidth="1"/>
    <col min="15" max="15" width="10.7109375" customWidth="1"/>
    <col min="16" max="16" width="10.28515625" customWidth="1"/>
    <col min="17" max="17" width="9.5703125" customWidth="1"/>
    <col min="18" max="18" width="9.7109375" customWidth="1"/>
    <col min="19" max="19" width="10" customWidth="1"/>
    <col min="20" max="21" width="9.7109375" customWidth="1"/>
    <col min="22" max="22" width="10" customWidth="1"/>
    <col min="23" max="24" width="9.7109375" customWidth="1"/>
    <col min="25" max="25" width="10" customWidth="1"/>
    <col min="26" max="26" width="9.7109375" customWidth="1"/>
    <col min="27" max="27" width="10.7109375" customWidth="1"/>
    <col min="28" max="28" width="10.28515625" customWidth="1"/>
    <col min="29" max="29" width="10" customWidth="1"/>
    <col min="30" max="30" width="9.7109375" customWidth="1"/>
    <col min="31" max="31" width="10.28515625" customWidth="1"/>
    <col min="32" max="32" width="10.42578125" customWidth="1"/>
    <col min="33" max="33" width="9.5703125" customWidth="1"/>
    <col min="34" max="34" width="10" customWidth="1"/>
    <col min="35" max="35" width="9.28515625" customWidth="1"/>
    <col min="36" max="36" width="10" customWidth="1"/>
    <col min="37" max="37" width="10.28515625" customWidth="1"/>
    <col min="38" max="38" width="9.7109375" customWidth="1"/>
    <col min="39" max="39" width="9.5703125" customWidth="1"/>
    <col min="40" max="40" width="9.7109375" customWidth="1"/>
    <col min="41" max="41" width="10.28515625" customWidth="1"/>
    <col min="42" max="44" width="9.7109375" customWidth="1"/>
    <col min="45" max="45" width="9.28515625" customWidth="1"/>
    <col min="46" max="46" width="9.5703125" customWidth="1"/>
    <col min="47" max="47" width="9.7109375" customWidth="1"/>
    <col min="48" max="48" width="10.28515625" customWidth="1"/>
    <col min="49" max="49" width="10.42578125" customWidth="1"/>
    <col min="50" max="50" width="9.5703125" customWidth="1"/>
    <col min="51" max="52" width="9.7109375" customWidth="1"/>
    <col min="53" max="54" width="9.5703125" customWidth="1"/>
    <col min="55" max="55" width="9.7109375" customWidth="1"/>
    <col min="56" max="56" width="9.5703125" customWidth="1"/>
    <col min="57" max="59" width="9.7109375" customWidth="1"/>
    <col min="60" max="60" width="9.5703125" customWidth="1"/>
    <col min="61" max="61" width="9.7109375" customWidth="1"/>
    <col min="62" max="62" width="9.5703125" customWidth="1"/>
    <col min="63" max="63" width="9.7109375" customWidth="1"/>
    <col min="64" max="64" width="10.28515625" customWidth="1"/>
    <col min="65" max="65" width="9.7109375" customWidth="1"/>
    <col min="66" max="66" width="10.28515625" customWidth="1"/>
    <col min="67" max="67" width="9.5703125" customWidth="1"/>
    <col min="68" max="68" width="9.7109375" customWidth="1"/>
    <col min="69" max="69" width="9.5703125" customWidth="1"/>
    <col min="70" max="70" width="9.7109375" customWidth="1"/>
    <col min="71" max="71" width="10.28515625" customWidth="1"/>
    <col min="72" max="72" width="9.7109375" customWidth="1"/>
    <col min="73" max="74" width="9.5703125" customWidth="1"/>
  </cols>
  <sheetData>
    <row r="1" spans="1:104" ht="52.5" thickTop="1" thickBot="1" x14ac:dyDescent="0.25">
      <c r="A1" s="223" t="s">
        <v>1051</v>
      </c>
      <c r="B1" s="224" t="s">
        <v>1050</v>
      </c>
      <c r="C1" s="883" t="s">
        <v>678</v>
      </c>
      <c r="D1" s="883" t="s">
        <v>823</v>
      </c>
      <c r="E1" s="225">
        <v>2001</v>
      </c>
      <c r="F1" s="226">
        <v>2002</v>
      </c>
      <c r="G1" s="226">
        <v>2003</v>
      </c>
      <c r="H1" s="226">
        <v>2004</v>
      </c>
      <c r="I1" s="226">
        <v>2005</v>
      </c>
      <c r="J1" s="226">
        <v>2006</v>
      </c>
      <c r="K1" s="226">
        <v>2007</v>
      </c>
      <c r="L1" s="226">
        <v>2008</v>
      </c>
      <c r="M1" s="226">
        <v>2009</v>
      </c>
      <c r="N1" s="226">
        <v>2010</v>
      </c>
      <c r="O1" s="226">
        <v>2011</v>
      </c>
      <c r="P1" s="226">
        <v>2012</v>
      </c>
      <c r="Q1" s="226">
        <v>2013</v>
      </c>
      <c r="R1" s="226">
        <v>2014</v>
      </c>
      <c r="S1" s="226">
        <v>2015</v>
      </c>
      <c r="T1" s="226">
        <v>2016</v>
      </c>
      <c r="U1" s="226">
        <v>2017</v>
      </c>
      <c r="V1" s="226">
        <v>2018</v>
      </c>
      <c r="W1" s="226">
        <v>2019</v>
      </c>
      <c r="X1" s="226">
        <v>2020</v>
      </c>
      <c r="Y1" s="226">
        <v>2021</v>
      </c>
      <c r="Z1" s="226">
        <v>2022</v>
      </c>
      <c r="AA1" s="226">
        <v>2023</v>
      </c>
      <c r="AB1" s="226">
        <v>2024</v>
      </c>
      <c r="AC1" s="226">
        <v>2025</v>
      </c>
      <c r="AD1" s="226">
        <v>2026</v>
      </c>
      <c r="AE1" s="226">
        <v>2027</v>
      </c>
      <c r="AF1" s="226">
        <v>2028</v>
      </c>
      <c r="AG1" s="226">
        <v>2029</v>
      </c>
      <c r="AH1" s="226">
        <v>2030</v>
      </c>
      <c r="AI1" s="226">
        <v>2031</v>
      </c>
      <c r="AJ1" s="226">
        <v>2032</v>
      </c>
      <c r="AK1" s="226">
        <v>2033</v>
      </c>
      <c r="AL1" s="226">
        <v>2034</v>
      </c>
      <c r="AM1" s="226">
        <v>2035</v>
      </c>
      <c r="AN1" s="226">
        <v>2036</v>
      </c>
      <c r="AO1" s="226">
        <v>2037</v>
      </c>
      <c r="AP1" s="226">
        <v>2038</v>
      </c>
      <c r="AQ1" s="226">
        <v>2039</v>
      </c>
      <c r="AR1" s="226">
        <v>2040</v>
      </c>
      <c r="AS1" s="226">
        <v>2041</v>
      </c>
      <c r="AT1" s="226">
        <v>2042</v>
      </c>
      <c r="AU1" s="226">
        <v>2043</v>
      </c>
      <c r="AV1" s="226">
        <v>2044</v>
      </c>
      <c r="AW1" s="226">
        <v>2045</v>
      </c>
      <c r="AX1" s="226">
        <v>2046</v>
      </c>
      <c r="AY1" s="226">
        <v>2047</v>
      </c>
      <c r="AZ1" s="226">
        <v>2048</v>
      </c>
      <c r="BA1" s="226">
        <v>2049</v>
      </c>
      <c r="BB1" s="226">
        <v>2050</v>
      </c>
      <c r="BC1" s="226">
        <v>2051</v>
      </c>
      <c r="BD1" s="226">
        <v>2052</v>
      </c>
      <c r="BE1" s="226">
        <v>2053</v>
      </c>
      <c r="BF1" s="226">
        <v>2054</v>
      </c>
      <c r="BG1" s="226">
        <v>2055</v>
      </c>
      <c r="BH1" s="226">
        <v>2056</v>
      </c>
      <c r="BI1" s="226">
        <v>2057</v>
      </c>
      <c r="BJ1" s="226">
        <v>2058</v>
      </c>
      <c r="BK1" s="226">
        <v>2059</v>
      </c>
      <c r="BL1" s="226">
        <v>2060</v>
      </c>
      <c r="BM1" s="226">
        <v>2061</v>
      </c>
      <c r="BN1" s="226">
        <v>2062</v>
      </c>
      <c r="BO1" s="226">
        <v>2063</v>
      </c>
      <c r="BP1" s="226">
        <v>2064</v>
      </c>
      <c r="BQ1" s="226">
        <v>2065</v>
      </c>
      <c r="BR1" s="226">
        <v>2066</v>
      </c>
      <c r="BS1" s="226">
        <v>2067</v>
      </c>
      <c r="BT1" s="226">
        <v>2068</v>
      </c>
      <c r="BU1" s="226">
        <v>2069</v>
      </c>
      <c r="BV1" s="227">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5" thickTop="1" x14ac:dyDescent="0.2">
      <c r="A2" t="s">
        <v>1046</v>
      </c>
      <c r="B2" s="463" t="s">
        <v>707</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
      <c r="A3" t="s">
        <v>1047</v>
      </c>
      <c r="B3" s="463" t="s">
        <v>707</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
      <c r="A4" t="s">
        <v>1048</v>
      </c>
      <c r="B4" s="463" t="s">
        <v>707</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
      <c r="A5" t="s">
        <v>1049</v>
      </c>
      <c r="B5" s="463" t="s">
        <v>268</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
      <c r="A6" t="s">
        <v>674</v>
      </c>
      <c r="B6" s="463" t="s">
        <v>268</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
      <c r="A7" s="463" t="s">
        <v>1089</v>
      </c>
      <c r="B7" s="463" t="s">
        <v>268</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
      <c r="A8" s="463" t="s">
        <v>822</v>
      </c>
      <c r="B8" s="463" t="s">
        <v>268</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2.75" x14ac:dyDescent="0.2"/>
  <cols>
    <col min="1" max="1" width="27.85546875" customWidth="1"/>
    <col min="2" max="2" width="19.85546875" customWidth="1"/>
    <col min="3" max="3" width="16.5703125" customWidth="1"/>
    <col min="4" max="4" width="11.42578125" customWidth="1"/>
    <col min="5" max="5" width="9.7109375" customWidth="1"/>
    <col min="6" max="6" width="10.28515625" customWidth="1"/>
    <col min="7" max="7" width="10.42578125" customWidth="1"/>
    <col min="8" max="8" width="9.5703125" customWidth="1"/>
    <col min="9" max="10" width="10" customWidth="1"/>
    <col min="11" max="11" width="10.7109375" customWidth="1"/>
    <col min="12" max="12" width="9.5703125" customWidth="1"/>
    <col min="13" max="13" width="10.7109375" customWidth="1"/>
    <col min="14" max="14" width="10.28515625" customWidth="1"/>
    <col min="15" max="15" width="9.5703125" customWidth="1"/>
    <col min="16" max="16" width="9.7109375" customWidth="1"/>
    <col min="17" max="17" width="10" customWidth="1"/>
    <col min="18" max="19" width="9.7109375" customWidth="1"/>
    <col min="20" max="20" width="10" customWidth="1"/>
    <col min="21" max="22" width="9.7109375" customWidth="1"/>
    <col min="23" max="23" width="10" customWidth="1"/>
    <col min="24" max="24" width="9.7109375" customWidth="1"/>
    <col min="25" max="25" width="10.7109375" customWidth="1"/>
    <col min="26" max="26" width="10.28515625" customWidth="1"/>
    <col min="27" max="27" width="10" customWidth="1"/>
    <col min="28" max="28" width="9.7109375" customWidth="1"/>
    <col min="29" max="29" width="10.28515625" customWidth="1"/>
    <col min="30" max="30" width="10.42578125" customWidth="1"/>
    <col min="31" max="31" width="9.5703125" customWidth="1"/>
    <col min="32" max="32" width="10" customWidth="1"/>
    <col min="33" max="33" width="9.28515625" customWidth="1"/>
    <col min="34" max="34" width="10" customWidth="1"/>
    <col min="35" max="35" width="10.28515625" customWidth="1"/>
    <col min="36" max="36" width="9.7109375" customWidth="1"/>
    <col min="37" max="37" width="9.5703125" customWidth="1"/>
    <col min="38" max="38" width="9.7109375" customWidth="1"/>
    <col min="39" max="39" width="10.28515625" customWidth="1"/>
    <col min="40" max="42" width="9.7109375" customWidth="1"/>
    <col min="43" max="43" width="9.28515625" customWidth="1"/>
    <col min="44" max="44" width="9.5703125" customWidth="1"/>
    <col min="45" max="45" width="9.7109375" customWidth="1"/>
    <col min="46" max="46" width="10.28515625" customWidth="1"/>
    <col min="47" max="47" width="10.42578125" customWidth="1"/>
    <col min="48" max="48" width="9.5703125" customWidth="1"/>
    <col min="49" max="50" width="9.7109375" customWidth="1"/>
    <col min="51" max="52" width="9.5703125" customWidth="1"/>
    <col min="53" max="53" width="9.7109375" customWidth="1"/>
    <col min="54" max="54" width="9.5703125" customWidth="1"/>
    <col min="55" max="57" width="9.7109375" customWidth="1"/>
    <col min="58" max="58" width="9.5703125" customWidth="1"/>
    <col min="59" max="59" width="9.7109375" customWidth="1"/>
    <col min="60" max="60" width="9.5703125" customWidth="1"/>
    <col min="61" max="61" width="9.7109375" customWidth="1"/>
    <col min="62" max="62" width="10.28515625" customWidth="1"/>
    <col min="63" max="63" width="9.7109375" customWidth="1"/>
    <col min="64" max="64" width="10.28515625" customWidth="1"/>
    <col min="65" max="65" width="9.5703125" customWidth="1"/>
    <col min="66" max="66" width="9.7109375" customWidth="1"/>
    <col min="67" max="67" width="9.5703125" customWidth="1"/>
    <col min="68" max="68" width="9.7109375" customWidth="1"/>
    <col min="69" max="69" width="10.28515625" customWidth="1"/>
    <col min="70" max="70" width="9.7109375" customWidth="1"/>
    <col min="71" max="72" width="9.5703125" customWidth="1"/>
    <col min="73" max="73" width="10" customWidth="1"/>
  </cols>
  <sheetData>
    <row r="1" spans="1:72" ht="15" x14ac:dyDescent="0.2">
      <c r="A1" s="1630" t="s">
        <v>743</v>
      </c>
      <c r="B1" s="1630"/>
      <c r="C1" s="1630"/>
      <c r="D1" s="1630"/>
      <c r="E1" s="1630"/>
      <c r="F1" s="1630"/>
      <c r="G1" s="1630"/>
      <c r="H1" s="1630"/>
      <c r="I1" s="1630"/>
      <c r="J1" s="1630"/>
      <c r="K1" s="1630"/>
      <c r="L1" s="1630"/>
      <c r="M1" s="1630"/>
      <c r="N1" s="1630"/>
      <c r="O1" s="1630"/>
      <c r="P1" s="1630"/>
      <c r="Q1" s="1630"/>
      <c r="R1" s="1630"/>
      <c r="S1" s="1630"/>
      <c r="T1" s="1630"/>
      <c r="U1" s="1630"/>
      <c r="V1" s="1630"/>
      <c r="W1" s="1630"/>
      <c r="X1" s="1630"/>
      <c r="Y1" s="1630"/>
      <c r="Z1" s="1630"/>
      <c r="AA1" s="1630"/>
      <c r="AB1" s="1630"/>
      <c r="AC1" s="1630"/>
      <c r="AD1" s="1630"/>
      <c r="AE1" s="1630"/>
      <c r="AF1" s="1630"/>
      <c r="AG1" s="1630"/>
      <c r="AH1" s="1630"/>
      <c r="AI1" s="1630"/>
      <c r="AJ1" s="1630"/>
      <c r="AK1" s="1630"/>
      <c r="AL1" s="1630"/>
      <c r="AM1" s="1630"/>
      <c r="AN1" s="1630"/>
      <c r="AO1" s="1630"/>
      <c r="AP1" s="1630"/>
      <c r="AQ1" s="1630"/>
      <c r="AR1" s="1630"/>
      <c r="AS1" s="1630"/>
      <c r="AT1" s="1630"/>
      <c r="AU1" s="1630"/>
      <c r="AV1" s="1630"/>
      <c r="AW1" s="1630"/>
      <c r="AX1" s="1630"/>
      <c r="AY1" s="1630"/>
      <c r="AZ1" s="1630"/>
      <c r="BA1" s="1630"/>
      <c r="BB1" s="1630"/>
      <c r="BC1" s="1630"/>
      <c r="BD1" s="1630"/>
      <c r="BE1" s="1630"/>
      <c r="BF1" s="1630"/>
      <c r="BG1" s="1630"/>
      <c r="BH1" s="1630"/>
      <c r="BI1" s="1630"/>
      <c r="BJ1" s="1630"/>
      <c r="BK1" s="1630"/>
      <c r="BL1" s="1630"/>
      <c r="BM1" s="1630"/>
      <c r="BN1" s="1630"/>
      <c r="BO1" s="1630"/>
      <c r="BP1" s="1630"/>
      <c r="BQ1" s="1630"/>
      <c r="BR1" s="1630"/>
      <c r="BS1" s="1630"/>
      <c r="BT1" s="1630"/>
    </row>
    <row r="2" spans="1:72" x14ac:dyDescent="0.2">
      <c r="A2" s="1631" t="s">
        <v>744</v>
      </c>
      <c r="B2" s="1631"/>
      <c r="C2" s="1631"/>
      <c r="D2" s="1631"/>
      <c r="E2" s="1631"/>
      <c r="F2" s="1631"/>
      <c r="G2" s="1631"/>
      <c r="H2" s="1631"/>
      <c r="I2" s="1631"/>
      <c r="J2" s="1631"/>
      <c r="K2" s="1631"/>
      <c r="L2" s="1631"/>
      <c r="M2" s="1631"/>
      <c r="N2" s="1631"/>
      <c r="O2" s="1631"/>
      <c r="P2" s="1631"/>
      <c r="Q2" s="1631"/>
      <c r="R2" s="1631"/>
      <c r="S2" s="1631"/>
      <c r="T2" s="1631"/>
      <c r="U2" s="1631"/>
      <c r="V2" s="1631"/>
      <c r="W2" s="1631"/>
      <c r="X2" s="1631"/>
      <c r="Y2" s="1631"/>
      <c r="Z2" s="1631"/>
      <c r="AA2" s="1631"/>
      <c r="AB2" s="1631"/>
      <c r="AC2" s="1631"/>
      <c r="AD2" s="1631"/>
      <c r="AE2" s="1631"/>
      <c r="AF2" s="1631"/>
      <c r="AG2" s="1631"/>
      <c r="AH2" s="1631"/>
      <c r="AI2" s="1631"/>
      <c r="AJ2" s="1631"/>
      <c r="AK2" s="1631"/>
      <c r="AL2" s="1631"/>
      <c r="AM2" s="1631"/>
      <c r="AN2" s="1631"/>
      <c r="AO2" s="1631"/>
      <c r="AP2" s="1631"/>
      <c r="AQ2" s="1631"/>
      <c r="AR2" s="1631"/>
      <c r="AS2" s="1631"/>
      <c r="AT2" s="1631"/>
      <c r="AU2" s="1631"/>
      <c r="AV2" s="1631"/>
      <c r="AW2" s="1631"/>
      <c r="AX2" s="1631"/>
      <c r="AY2" s="1631"/>
      <c r="AZ2" s="1631"/>
      <c r="BA2" s="1631"/>
      <c r="BB2" s="1631"/>
      <c r="BC2" s="1631"/>
      <c r="BD2" s="1631"/>
      <c r="BE2" s="1631"/>
      <c r="BF2" s="1631"/>
      <c r="BG2" s="1631"/>
      <c r="BH2" s="1631"/>
      <c r="BI2" s="1631"/>
      <c r="BJ2" s="1631"/>
      <c r="BK2" s="1631"/>
      <c r="BL2" s="1631"/>
      <c r="BM2" s="1631"/>
      <c r="BN2" s="1631"/>
      <c r="BO2" s="1631"/>
      <c r="BP2" s="1631"/>
      <c r="BQ2" s="1631"/>
      <c r="BR2" s="1631"/>
      <c r="BS2" s="1631"/>
      <c r="BT2" s="1631"/>
    </row>
    <row r="3" spans="1:72" ht="13.5" thickBot="1" x14ac:dyDescent="0.25">
      <c r="A3" s="1632"/>
      <c r="B3" s="1632"/>
      <c r="C3" s="1632"/>
      <c r="D3" s="1632"/>
      <c r="E3" s="1632"/>
      <c r="F3" s="1632"/>
      <c r="G3" s="1632"/>
      <c r="H3" s="1632"/>
      <c r="I3" s="1632"/>
      <c r="J3" s="1632"/>
      <c r="K3" s="1632"/>
      <c r="L3" s="1632"/>
      <c r="M3" s="1632"/>
      <c r="N3" s="1632"/>
      <c r="O3" s="1632"/>
      <c r="P3" s="1632"/>
      <c r="Q3" s="1632"/>
      <c r="R3" s="1632"/>
      <c r="S3" s="1632"/>
      <c r="T3" s="1632"/>
      <c r="U3" s="1632"/>
      <c r="V3" s="1632"/>
      <c r="W3" s="1632"/>
      <c r="X3" s="1632"/>
      <c r="Y3" s="1632"/>
      <c r="Z3" s="1632"/>
      <c r="AA3" s="1632"/>
      <c r="AB3" s="1632"/>
      <c r="AC3" s="1632"/>
      <c r="AD3" s="1632"/>
      <c r="AE3" s="1632"/>
      <c r="AF3" s="1632"/>
      <c r="AG3" s="1632"/>
      <c r="AH3" s="1632"/>
      <c r="AI3" s="1632"/>
      <c r="AJ3" s="1632"/>
      <c r="AK3" s="1632"/>
      <c r="AL3" s="1632"/>
      <c r="AM3" s="1632"/>
      <c r="AN3" s="1632"/>
      <c r="AO3" s="1632"/>
      <c r="AP3" s="1632"/>
      <c r="AQ3" s="1632"/>
      <c r="AR3" s="1632"/>
      <c r="AS3" s="1632"/>
      <c r="AT3" s="1632"/>
      <c r="AU3" s="1632"/>
      <c r="AV3" s="1632"/>
      <c r="AW3" s="1632"/>
      <c r="AX3" s="1632"/>
      <c r="AY3" s="1632"/>
      <c r="AZ3" s="1632"/>
      <c r="BA3" s="1632"/>
      <c r="BB3" s="1632"/>
      <c r="BC3" s="1632"/>
      <c r="BD3" s="1632"/>
      <c r="BE3" s="1632"/>
      <c r="BF3" s="1632"/>
      <c r="BG3" s="1632"/>
      <c r="BH3" s="1632"/>
      <c r="BI3" s="1632"/>
      <c r="BJ3" s="1632"/>
      <c r="BK3" s="1632"/>
      <c r="BL3" s="1632"/>
      <c r="BM3" s="1632"/>
      <c r="BN3" s="1632"/>
      <c r="BO3" s="1632"/>
      <c r="BP3" s="1632"/>
      <c r="BQ3" s="1632"/>
      <c r="BR3" s="1632"/>
      <c r="BS3" s="1632"/>
      <c r="BT3" s="1632"/>
    </row>
    <row r="4" spans="1:72" x14ac:dyDescent="0.2">
      <c r="A4" s="896"/>
      <c r="B4" s="897" t="s">
        <v>1050</v>
      </c>
      <c r="C4" s="898">
        <v>2001</v>
      </c>
      <c r="D4" s="898">
        <v>2002</v>
      </c>
      <c r="E4" s="898">
        <v>2003</v>
      </c>
      <c r="F4" s="898">
        <v>2004</v>
      </c>
      <c r="G4" s="898">
        <v>2005</v>
      </c>
      <c r="H4" s="898">
        <v>2006</v>
      </c>
      <c r="I4" s="898">
        <v>2007</v>
      </c>
      <c r="J4" s="898">
        <v>2008</v>
      </c>
      <c r="K4" s="898">
        <v>2009</v>
      </c>
      <c r="L4" s="898">
        <v>2010</v>
      </c>
      <c r="M4" s="898">
        <v>2011</v>
      </c>
      <c r="N4" s="898">
        <v>2012</v>
      </c>
      <c r="O4" s="898">
        <v>2013</v>
      </c>
      <c r="P4" s="898">
        <v>2014</v>
      </c>
      <c r="Q4" s="898">
        <v>2015</v>
      </c>
      <c r="R4" s="898">
        <v>2016</v>
      </c>
      <c r="S4" s="898">
        <v>2017</v>
      </c>
      <c r="T4" s="898">
        <v>2018</v>
      </c>
      <c r="U4" s="898">
        <v>2019</v>
      </c>
      <c r="V4" s="898">
        <v>2020</v>
      </c>
      <c r="W4" s="898">
        <v>2021</v>
      </c>
      <c r="X4" s="898">
        <v>2022</v>
      </c>
      <c r="Y4" s="898">
        <v>2023</v>
      </c>
      <c r="Z4" s="898">
        <v>2024</v>
      </c>
      <c r="AA4" s="898">
        <v>2025</v>
      </c>
      <c r="AB4" s="898">
        <v>2026</v>
      </c>
      <c r="AC4" s="898">
        <v>2027</v>
      </c>
      <c r="AD4" s="898">
        <v>2028</v>
      </c>
      <c r="AE4" s="898">
        <v>2029</v>
      </c>
      <c r="AF4" s="898">
        <v>2030</v>
      </c>
      <c r="AG4" s="898">
        <v>2031</v>
      </c>
      <c r="AH4" s="898">
        <v>2032</v>
      </c>
      <c r="AI4" s="898">
        <v>2033</v>
      </c>
      <c r="AJ4" s="898">
        <v>2034</v>
      </c>
      <c r="AK4" s="898">
        <v>2035</v>
      </c>
      <c r="AL4" s="898">
        <v>2036</v>
      </c>
      <c r="AM4" s="898">
        <v>2037</v>
      </c>
      <c r="AN4" s="898">
        <v>2038</v>
      </c>
      <c r="AO4" s="898">
        <v>2039</v>
      </c>
      <c r="AP4" s="898">
        <v>2040</v>
      </c>
      <c r="AQ4" s="898">
        <v>2041</v>
      </c>
      <c r="AR4" s="898">
        <v>2042</v>
      </c>
      <c r="AS4" s="898">
        <v>2043</v>
      </c>
      <c r="AT4" s="898">
        <v>2044</v>
      </c>
      <c r="AU4" s="898">
        <v>2045</v>
      </c>
      <c r="AV4" s="898">
        <v>2046</v>
      </c>
      <c r="AW4" s="898">
        <v>2047</v>
      </c>
      <c r="AX4" s="898">
        <v>2048</v>
      </c>
      <c r="AY4" s="898">
        <v>2049</v>
      </c>
      <c r="AZ4" s="898">
        <v>2050</v>
      </c>
      <c r="BA4" s="898">
        <v>2051</v>
      </c>
      <c r="BB4" s="898">
        <v>2052</v>
      </c>
      <c r="BC4" s="898">
        <v>2053</v>
      </c>
      <c r="BD4" s="898">
        <v>2054</v>
      </c>
      <c r="BE4" s="898">
        <v>2056</v>
      </c>
      <c r="BF4" s="898">
        <v>2056</v>
      </c>
      <c r="BG4" s="898">
        <v>2057</v>
      </c>
      <c r="BH4" s="898">
        <v>2058</v>
      </c>
      <c r="BI4" s="898">
        <v>2059</v>
      </c>
      <c r="BJ4" s="898">
        <v>2060</v>
      </c>
      <c r="BK4" s="898">
        <v>2061</v>
      </c>
      <c r="BL4" s="898">
        <v>2062</v>
      </c>
      <c r="BM4" s="898">
        <v>2063</v>
      </c>
      <c r="BN4" s="898">
        <v>2064</v>
      </c>
      <c r="BO4" s="898">
        <v>2065</v>
      </c>
      <c r="BP4" s="898">
        <v>2066</v>
      </c>
      <c r="BQ4" s="898">
        <v>2067</v>
      </c>
      <c r="BR4" s="898">
        <v>2068</v>
      </c>
      <c r="BS4" s="898">
        <v>2069</v>
      </c>
      <c r="BT4" s="899">
        <v>2070</v>
      </c>
    </row>
    <row r="5" spans="1:72" x14ac:dyDescent="0.2">
      <c r="A5" s="1633" t="s">
        <v>745</v>
      </c>
      <c r="B5" s="1634"/>
      <c r="C5" s="1634"/>
      <c r="D5" s="1634"/>
      <c r="E5" s="1634"/>
      <c r="F5" s="1634"/>
      <c r="G5" s="1634"/>
      <c r="H5" s="1634"/>
      <c r="I5" s="1634"/>
      <c r="J5" s="1634"/>
      <c r="K5" s="1634"/>
      <c r="L5" s="1634"/>
      <c r="M5" s="1634"/>
      <c r="N5" s="1634"/>
      <c r="O5" s="1634"/>
      <c r="P5" s="1634"/>
      <c r="Q5" s="1634"/>
      <c r="R5" s="1634"/>
      <c r="S5" s="1634"/>
      <c r="T5" s="1634"/>
      <c r="U5" s="1634"/>
      <c r="V5" s="1634"/>
      <c r="W5" s="1634"/>
      <c r="X5" s="1634"/>
      <c r="Y5" s="1634"/>
      <c r="Z5" s="1634"/>
      <c r="AA5" s="1634"/>
      <c r="AB5" s="1634"/>
      <c r="AC5" s="1634"/>
      <c r="AD5" s="1634"/>
      <c r="AE5" s="1634"/>
      <c r="AF5" s="1634"/>
      <c r="AG5" s="1634"/>
      <c r="AH5" s="1634"/>
      <c r="AI5" s="1634"/>
      <c r="AJ5" s="1634"/>
      <c r="AK5" s="1634"/>
      <c r="AL5" s="1634"/>
      <c r="AM5" s="1634"/>
      <c r="AN5" s="1634"/>
      <c r="AO5" s="1634"/>
      <c r="AP5" s="1634"/>
      <c r="AQ5" s="1634"/>
      <c r="AR5" s="1634"/>
      <c r="AS5" s="1634"/>
      <c r="AT5" s="1634"/>
      <c r="AU5" s="1634"/>
      <c r="AV5" s="1634"/>
      <c r="AW5" s="1634"/>
      <c r="AX5" s="1634"/>
      <c r="AY5" s="1634"/>
      <c r="AZ5" s="1634"/>
      <c r="BA5" s="1634"/>
      <c r="BB5" s="1634"/>
      <c r="BC5" s="1634"/>
      <c r="BD5" s="1634"/>
      <c r="BE5" s="1634"/>
      <c r="BF5" s="1634"/>
      <c r="BG5" s="1634"/>
      <c r="BH5" s="1634"/>
      <c r="BI5" s="1634"/>
      <c r="BJ5" s="1634"/>
      <c r="BK5" s="1634"/>
      <c r="BL5" s="1634"/>
      <c r="BM5" s="1634"/>
      <c r="BN5" s="1634"/>
      <c r="BO5" s="1634"/>
      <c r="BP5" s="1634"/>
      <c r="BQ5" s="1634"/>
      <c r="BR5" s="1634"/>
      <c r="BS5" s="1634"/>
      <c r="BT5" s="1635"/>
    </row>
    <row r="6" spans="1:72" x14ac:dyDescent="0.2">
      <c r="A6" s="900" t="s">
        <v>746</v>
      </c>
      <c r="B6" s="901" t="s">
        <v>747</v>
      </c>
      <c r="C6" s="902">
        <v>8.9541000728991982</v>
      </c>
      <c r="D6" s="902">
        <v>6.8979457774252282</v>
      </c>
      <c r="E6" s="902">
        <v>8.4197996967243682</v>
      </c>
      <c r="F6" s="902">
        <v>8.8059982398770913</v>
      </c>
      <c r="G6" s="902">
        <v>8.8656468751295598</v>
      </c>
      <c r="H6" s="902">
        <v>8.2234977371287847</v>
      </c>
      <c r="I6" s="902">
        <v>7.8073426530046319</v>
      </c>
      <c r="J6" s="902">
        <v>7.4325694992857168</v>
      </c>
      <c r="K6" s="902">
        <v>7.297531685739191</v>
      </c>
      <c r="L6" s="902">
        <v>7.1966502441550162</v>
      </c>
      <c r="M6" s="902">
        <v>7.2405429268783017</v>
      </c>
      <c r="N6" s="902">
        <v>7.2944294079294778</v>
      </c>
      <c r="O6" s="902">
        <v>7.4037989917791105</v>
      </c>
      <c r="P6" s="902">
        <v>7.5440859727139706</v>
      </c>
      <c r="Q6" s="902">
        <v>7.6385998163583153</v>
      </c>
      <c r="R6" s="902">
        <v>7.6698249061152577</v>
      </c>
      <c r="S6" s="902">
        <v>7.596507558282819</v>
      </c>
      <c r="T6" s="902">
        <v>7.644327174942454</v>
      </c>
      <c r="U6" s="902">
        <v>7.7875295315148705</v>
      </c>
      <c r="V6" s="902">
        <v>8.0180296178133954</v>
      </c>
      <c r="W6" s="902">
        <v>8.1425457338117244</v>
      </c>
      <c r="X6" s="902">
        <v>8.1602542175436898</v>
      </c>
      <c r="Y6" s="902">
        <v>8.1927349319997838</v>
      </c>
      <c r="Z6" s="902">
        <v>8.2544961582939571</v>
      </c>
      <c r="AA6" s="902">
        <v>8.3511330316651513</v>
      </c>
      <c r="AB6" s="903">
        <v>8.4290329061652454</v>
      </c>
      <c r="AC6" s="903">
        <v>8.5069327806653394</v>
      </c>
      <c r="AD6" s="903">
        <v>8.5848326551654335</v>
      </c>
      <c r="AE6" s="903">
        <v>8.6627325296655275</v>
      </c>
      <c r="AF6" s="903">
        <v>8.7406324041656216</v>
      </c>
      <c r="AG6" s="903">
        <v>8.8185322786657157</v>
      </c>
      <c r="AH6" s="903">
        <v>8.8964321531658097</v>
      </c>
      <c r="AI6" s="903">
        <v>8.9743320276659038</v>
      </c>
      <c r="AJ6" s="903">
        <v>9.0522319021659978</v>
      </c>
      <c r="AK6" s="903">
        <v>9.1301317766660848</v>
      </c>
      <c r="AL6" s="903">
        <v>9.2578200706648097</v>
      </c>
      <c r="AM6" s="903">
        <v>9.3855083646635347</v>
      </c>
      <c r="AN6" s="903">
        <v>9.5131966586622596</v>
      </c>
      <c r="AO6" s="903">
        <v>9.6408849526609846</v>
      </c>
      <c r="AP6" s="903">
        <v>9.7685732466597095</v>
      </c>
      <c r="AQ6" s="903">
        <v>9.8962615406584344</v>
      </c>
      <c r="AR6" s="903">
        <v>10.023949834657159</v>
      </c>
      <c r="AS6" s="903">
        <v>10.151638128655884</v>
      </c>
      <c r="AT6" s="903">
        <v>10.279326422654609</v>
      </c>
      <c r="AU6" s="903">
        <v>10.407014716653334</v>
      </c>
      <c r="AV6" s="903">
        <v>10.534703010652059</v>
      </c>
      <c r="AW6" s="903">
        <v>10.662391304650784</v>
      </c>
      <c r="AX6" s="903">
        <v>10.790079598649509</v>
      </c>
      <c r="AY6" s="903">
        <v>10.917767892648234</v>
      </c>
      <c r="AZ6" s="904">
        <v>11.045456186646948</v>
      </c>
      <c r="BA6" s="903">
        <v>11.066404719719236</v>
      </c>
      <c r="BB6" s="903">
        <v>11.087353252791523</v>
      </c>
      <c r="BC6" s="903">
        <v>11.10830178586381</v>
      </c>
      <c r="BD6" s="903">
        <v>11.129250318936098</v>
      </c>
      <c r="BE6" s="903">
        <v>11.150198852008385</v>
      </c>
      <c r="BF6" s="903">
        <v>11.171147385080673</v>
      </c>
      <c r="BG6" s="903">
        <v>11.19209591815296</v>
      </c>
      <c r="BH6" s="903">
        <v>11.213044451225247</v>
      </c>
      <c r="BI6" s="903">
        <v>11.233992984297535</v>
      </c>
      <c r="BJ6" s="903">
        <v>11.254941517369822</v>
      </c>
      <c r="BK6" s="903">
        <v>11.27589005044211</v>
      </c>
      <c r="BL6" s="903">
        <v>11.296838583514397</v>
      </c>
      <c r="BM6" s="903">
        <v>11.317787116586684</v>
      </c>
      <c r="BN6" s="903">
        <v>11.338735649658972</v>
      </c>
      <c r="BO6" s="904">
        <v>11.359684182731248</v>
      </c>
      <c r="BP6" s="903">
        <v>11.381228672680008</v>
      </c>
      <c r="BQ6" s="903">
        <v>11.402773162628767</v>
      </c>
      <c r="BR6" s="903">
        <v>11.424317652577527</v>
      </c>
      <c r="BS6" s="903">
        <v>11.445862142526286</v>
      </c>
      <c r="BT6" s="905">
        <v>11.467406632475045</v>
      </c>
    </row>
    <row r="7" spans="1:72" x14ac:dyDescent="0.2">
      <c r="A7" s="906" t="s">
        <v>748</v>
      </c>
      <c r="B7" s="901" t="s">
        <v>747</v>
      </c>
      <c r="C7" s="902">
        <v>5.2088497969877503</v>
      </c>
      <c r="D7" s="902">
        <v>4.0515519538015683</v>
      </c>
      <c r="E7" s="902">
        <v>5.7953765594734321</v>
      </c>
      <c r="F7" s="902">
        <v>6.3059286733843276</v>
      </c>
      <c r="G7" s="902">
        <v>6.3351569917966728</v>
      </c>
      <c r="H7" s="902">
        <v>5.6603640970194089</v>
      </c>
      <c r="I7" s="902">
        <v>5.2154936812958672</v>
      </c>
      <c r="J7" s="902">
        <v>4.824472465605103</v>
      </c>
      <c r="K7" s="902">
        <v>4.7214620293311338</v>
      </c>
      <c r="L7" s="902">
        <v>4.5987567766657387</v>
      </c>
      <c r="M7" s="902">
        <v>4.6224680014376371</v>
      </c>
      <c r="N7" s="902">
        <v>4.6768878495918127</v>
      </c>
      <c r="O7" s="902">
        <v>4.7861952984108127</v>
      </c>
      <c r="P7" s="902">
        <v>4.922351045428587</v>
      </c>
      <c r="Q7" s="902">
        <v>5.0173813554475863</v>
      </c>
      <c r="R7" s="902">
        <v>5.0686005039035118</v>
      </c>
      <c r="S7" s="902">
        <v>5.0229759936062797</v>
      </c>
      <c r="T7" s="902">
        <v>5.0914502886106439</v>
      </c>
      <c r="U7" s="902">
        <v>5.2365480121576597</v>
      </c>
      <c r="V7" s="902">
        <v>5.4816269649649545</v>
      </c>
      <c r="W7" s="902">
        <v>5.5841408180740668</v>
      </c>
      <c r="X7" s="902">
        <v>5.5850370537559959</v>
      </c>
      <c r="Y7" s="902">
        <v>5.6052826350589937</v>
      </c>
      <c r="Z7" s="902">
        <v>5.6612136071582997</v>
      </c>
      <c r="AA7" s="902">
        <v>5.7676752715740598</v>
      </c>
      <c r="AB7" s="903">
        <v>5.8539244792759346</v>
      </c>
      <c r="AC7" s="903">
        <v>5.9401736869778095</v>
      </c>
      <c r="AD7" s="903">
        <v>6.0264228946796843</v>
      </c>
      <c r="AE7" s="903">
        <v>6.1126721023815591</v>
      </c>
      <c r="AF7" s="903">
        <v>6.1989213100834339</v>
      </c>
      <c r="AG7" s="903">
        <v>6.2851705177853088</v>
      </c>
      <c r="AH7" s="903">
        <v>6.3714197254871836</v>
      </c>
      <c r="AI7" s="903">
        <v>6.4576689331890584</v>
      </c>
      <c r="AJ7" s="903">
        <v>6.5439181408909333</v>
      </c>
      <c r="AK7" s="903">
        <v>6.6301673485928063</v>
      </c>
      <c r="AL7" s="903">
        <v>6.7228927087931387</v>
      </c>
      <c r="AM7" s="903">
        <v>6.8156180689934711</v>
      </c>
      <c r="AN7" s="903">
        <v>6.9083434291938035</v>
      </c>
      <c r="AO7" s="903">
        <v>7.0010687893941359</v>
      </c>
      <c r="AP7" s="903">
        <v>7.0937941495944683</v>
      </c>
      <c r="AQ7" s="903">
        <v>7.1865195097948007</v>
      </c>
      <c r="AR7" s="903">
        <v>7.2792448699951331</v>
      </c>
      <c r="AS7" s="903">
        <v>7.3719702301954655</v>
      </c>
      <c r="AT7" s="903">
        <v>7.4646955903957979</v>
      </c>
      <c r="AU7" s="903">
        <v>7.5574209505961303</v>
      </c>
      <c r="AV7" s="903">
        <v>7.6501463107964627</v>
      </c>
      <c r="AW7" s="903">
        <v>7.7428716709967951</v>
      </c>
      <c r="AX7" s="903">
        <v>7.8355970311971275</v>
      </c>
      <c r="AY7" s="903">
        <v>7.9283223913974599</v>
      </c>
      <c r="AZ7" s="904">
        <v>8.021047751597786</v>
      </c>
      <c r="BA7" s="903">
        <v>8.0362602680624171</v>
      </c>
      <c r="BB7" s="903">
        <v>8.0514727845270482</v>
      </c>
      <c r="BC7" s="903">
        <v>8.0666853009916792</v>
      </c>
      <c r="BD7" s="903">
        <v>8.0818978174563103</v>
      </c>
      <c r="BE7" s="903">
        <v>8.0971103339209414</v>
      </c>
      <c r="BF7" s="903">
        <v>8.1123228503855724</v>
      </c>
      <c r="BG7" s="903">
        <v>8.1275353668502035</v>
      </c>
      <c r="BH7" s="903">
        <v>8.1427478833148346</v>
      </c>
      <c r="BI7" s="903">
        <v>8.1579603997794656</v>
      </c>
      <c r="BJ7" s="903">
        <v>8.1731729162440967</v>
      </c>
      <c r="BK7" s="903">
        <v>8.1883854327087278</v>
      </c>
      <c r="BL7" s="903">
        <v>8.2035979491733588</v>
      </c>
      <c r="BM7" s="903">
        <v>8.2188104656379899</v>
      </c>
      <c r="BN7" s="903">
        <v>8.234022982102621</v>
      </c>
      <c r="BO7" s="904">
        <v>8.2492354985672645</v>
      </c>
      <c r="BP7" s="903">
        <v>8.2648807901462327</v>
      </c>
      <c r="BQ7" s="903">
        <v>8.2805260817252009</v>
      </c>
      <c r="BR7" s="903">
        <v>8.2961713733041691</v>
      </c>
      <c r="BS7" s="903">
        <v>8.3118166648831373</v>
      </c>
      <c r="BT7" s="905">
        <v>8.3274619564621091</v>
      </c>
    </row>
    <row r="8" spans="1:72" x14ac:dyDescent="0.2">
      <c r="A8" s="906" t="s">
        <v>749</v>
      </c>
      <c r="B8" s="901" t="s">
        <v>747</v>
      </c>
      <c r="C8" s="902">
        <v>5.6269638934579786</v>
      </c>
      <c r="D8" s="902">
        <v>3.8422456293735823</v>
      </c>
      <c r="E8" s="902">
        <v>5.691139826234779</v>
      </c>
      <c r="F8" s="902">
        <v>6.2376343214286925</v>
      </c>
      <c r="G8" s="902">
        <v>6.1731978092553481</v>
      </c>
      <c r="H8" s="902">
        <v>5.4998161252939477</v>
      </c>
      <c r="I8" s="902">
        <v>5.0667498741509744</v>
      </c>
      <c r="J8" s="902">
        <v>4.6999946247856554</v>
      </c>
      <c r="K8" s="902">
        <v>4.5877827360944901</v>
      </c>
      <c r="L8" s="902">
        <v>4.4974766767249967</v>
      </c>
      <c r="M8" s="902">
        <v>4.5471429464952013</v>
      </c>
      <c r="N8" s="902">
        <v>4.6470168064225401</v>
      </c>
      <c r="O8" s="902">
        <v>4.7885290901615907</v>
      </c>
      <c r="P8" s="902">
        <v>4.9298490038457894</v>
      </c>
      <c r="Q8" s="902">
        <v>5.0143193411377212</v>
      </c>
      <c r="R8" s="902">
        <v>5.0431599369588911</v>
      </c>
      <c r="S8" s="902">
        <v>4.9958503246307417</v>
      </c>
      <c r="T8" s="902">
        <v>5.071809156885692</v>
      </c>
      <c r="U8" s="902">
        <v>5.2209958625289659</v>
      </c>
      <c r="V8" s="902">
        <v>5.4542850660827948</v>
      </c>
      <c r="W8" s="902">
        <v>5.5514960671370845</v>
      </c>
      <c r="X8" s="902">
        <v>5.5489887943807661</v>
      </c>
      <c r="Y8" s="902">
        <v>5.5622220646660265</v>
      </c>
      <c r="Z8" s="902">
        <v>5.6263508841676488</v>
      </c>
      <c r="AA8" s="902">
        <v>5.730461856104295</v>
      </c>
      <c r="AB8" s="903">
        <v>5.8123040182474703</v>
      </c>
      <c r="AC8" s="903">
        <v>5.8941461803906456</v>
      </c>
      <c r="AD8" s="903">
        <v>5.9759883425338209</v>
      </c>
      <c r="AE8" s="903">
        <v>6.0578305046769962</v>
      </c>
      <c r="AF8" s="903">
        <v>6.1396726668201715</v>
      </c>
      <c r="AG8" s="903">
        <v>6.2215148289633468</v>
      </c>
      <c r="AH8" s="903">
        <v>6.3033569911065221</v>
      </c>
      <c r="AI8" s="903">
        <v>6.3851991532496974</v>
      </c>
      <c r="AJ8" s="903">
        <v>6.4670413153928727</v>
      </c>
      <c r="AK8" s="903">
        <v>6.5488834775360516</v>
      </c>
      <c r="AL8" s="903">
        <v>6.6404720525202734</v>
      </c>
      <c r="AM8" s="903">
        <v>6.7320606275044952</v>
      </c>
      <c r="AN8" s="903">
        <v>6.823649202488717</v>
      </c>
      <c r="AO8" s="903">
        <v>6.9152377774729388</v>
      </c>
      <c r="AP8" s="903">
        <v>7.0068263524571606</v>
      </c>
      <c r="AQ8" s="903">
        <v>7.0984149274413824</v>
      </c>
      <c r="AR8" s="903">
        <v>7.1900035024256042</v>
      </c>
      <c r="AS8" s="903">
        <v>7.2815920774098259</v>
      </c>
      <c r="AT8" s="903">
        <v>7.3731806523940477</v>
      </c>
      <c r="AU8" s="903">
        <v>7.4647692273782695</v>
      </c>
      <c r="AV8" s="903">
        <v>7.5563578023624913</v>
      </c>
      <c r="AW8" s="903">
        <v>7.6479463773467131</v>
      </c>
      <c r="AX8" s="903">
        <v>7.7395349523309349</v>
      </c>
      <c r="AY8" s="903">
        <v>7.8311235273151567</v>
      </c>
      <c r="AZ8" s="904">
        <v>7.9227121022993829</v>
      </c>
      <c r="BA8" s="903">
        <v>7.9377381178566102</v>
      </c>
      <c r="BB8" s="903">
        <v>7.9527641334138375</v>
      </c>
      <c r="BC8" s="903">
        <v>7.9677901489710647</v>
      </c>
      <c r="BD8" s="903">
        <v>7.982816164528292</v>
      </c>
      <c r="BE8" s="903">
        <v>7.9978421800855193</v>
      </c>
      <c r="BF8" s="903">
        <v>8.0128681956427457</v>
      </c>
      <c r="BG8" s="903">
        <v>8.0278942111999729</v>
      </c>
      <c r="BH8" s="903">
        <v>8.0429202267572002</v>
      </c>
      <c r="BI8" s="903">
        <v>8.0579462423144275</v>
      </c>
      <c r="BJ8" s="903">
        <v>8.0729722578716547</v>
      </c>
      <c r="BK8" s="903">
        <v>8.087998273428882</v>
      </c>
      <c r="BL8" s="903">
        <v>8.1030242889861093</v>
      </c>
      <c r="BM8" s="903">
        <v>8.1180503045433365</v>
      </c>
      <c r="BN8" s="903">
        <v>8.1330763201005638</v>
      </c>
      <c r="BO8" s="904">
        <v>8.1481023356577857</v>
      </c>
      <c r="BP8" s="903">
        <v>8.1635558206357306</v>
      </c>
      <c r="BQ8" s="903">
        <v>8.1790093056136755</v>
      </c>
      <c r="BR8" s="903">
        <v>8.1944627905916203</v>
      </c>
      <c r="BS8" s="903">
        <v>8.2099162755695652</v>
      </c>
      <c r="BT8" s="905">
        <v>8.2253697605475136</v>
      </c>
    </row>
    <row r="9" spans="1:72" x14ac:dyDescent="0.2">
      <c r="A9" s="1633" t="s">
        <v>750</v>
      </c>
      <c r="B9" s="1634"/>
      <c r="C9" s="1634"/>
      <c r="D9" s="1634"/>
      <c r="E9" s="1634"/>
      <c r="F9" s="1634"/>
      <c r="G9" s="1634"/>
      <c r="H9" s="1634"/>
      <c r="I9" s="1634"/>
      <c r="J9" s="1634"/>
      <c r="K9" s="1634"/>
      <c r="L9" s="1634"/>
      <c r="M9" s="1634"/>
      <c r="N9" s="1634"/>
      <c r="O9" s="1634"/>
      <c r="P9" s="1634"/>
      <c r="Q9" s="1634"/>
      <c r="R9" s="1634"/>
      <c r="S9" s="1634"/>
      <c r="T9" s="1634"/>
      <c r="U9" s="1634"/>
      <c r="V9" s="1634"/>
      <c r="W9" s="1634"/>
      <c r="X9" s="1634"/>
      <c r="Y9" s="1634"/>
      <c r="Z9" s="1634"/>
      <c r="AA9" s="1634"/>
      <c r="AB9" s="1634"/>
      <c r="AC9" s="1634"/>
      <c r="AD9" s="1634"/>
      <c r="AE9" s="1634"/>
      <c r="AF9" s="1634"/>
      <c r="AG9" s="1634"/>
      <c r="AH9" s="1634"/>
      <c r="AI9" s="1634"/>
      <c r="AJ9" s="1634"/>
      <c r="AK9" s="1634"/>
      <c r="AL9" s="1634"/>
      <c r="AM9" s="1634"/>
      <c r="AN9" s="1634"/>
      <c r="AO9" s="1634"/>
      <c r="AP9" s="1634"/>
      <c r="AQ9" s="1634"/>
      <c r="AR9" s="1634"/>
      <c r="AS9" s="1634"/>
      <c r="AT9" s="1634"/>
      <c r="AU9" s="1634"/>
      <c r="AV9" s="1634"/>
      <c r="AW9" s="1634"/>
      <c r="AX9" s="1634"/>
      <c r="AY9" s="1634"/>
      <c r="AZ9" s="1634"/>
      <c r="BA9" s="1634"/>
      <c r="BB9" s="1634"/>
      <c r="BC9" s="1634"/>
      <c r="BD9" s="1634"/>
      <c r="BE9" s="1634"/>
      <c r="BF9" s="1634"/>
      <c r="BG9" s="1634"/>
      <c r="BH9" s="1634"/>
      <c r="BI9" s="1634"/>
      <c r="BJ9" s="1634"/>
      <c r="BK9" s="1634"/>
      <c r="BL9" s="1634"/>
      <c r="BM9" s="1634"/>
      <c r="BN9" s="1634"/>
      <c r="BO9" s="1634"/>
      <c r="BP9" s="1634"/>
      <c r="BQ9" s="1634"/>
      <c r="BR9" s="1634"/>
      <c r="BS9" s="1634"/>
      <c r="BT9" s="1635"/>
    </row>
    <row r="10" spans="1:72" x14ac:dyDescent="0.2">
      <c r="A10" s="906" t="s">
        <v>683</v>
      </c>
      <c r="B10" s="901" t="s">
        <v>747</v>
      </c>
      <c r="C10" s="902">
        <v>24.866788774356646</v>
      </c>
      <c r="D10" s="902">
        <v>24.345010037692106</v>
      </c>
      <c r="E10" s="902">
        <v>24.223933219909672</v>
      </c>
      <c r="F10" s="902">
        <v>24.020635352944481</v>
      </c>
      <c r="G10" s="902">
        <v>23.91295186528621</v>
      </c>
      <c r="H10" s="902">
        <v>22.837542614846832</v>
      </c>
      <c r="I10" s="902">
        <v>21.69091966017233</v>
      </c>
      <c r="J10" s="902">
        <v>21.090846376599046</v>
      </c>
      <c r="K10" s="902">
        <v>21.058556043876806</v>
      </c>
      <c r="L10" s="902">
        <v>20.987678365887316</v>
      </c>
      <c r="M10" s="902">
        <v>20.983490961902529</v>
      </c>
      <c r="N10" s="902">
        <v>21.313707333690761</v>
      </c>
      <c r="O10" s="902">
        <v>21.638938984780914</v>
      </c>
      <c r="P10" s="902">
        <v>22.13258341123478</v>
      </c>
      <c r="Q10" s="902">
        <v>22.313049388381657</v>
      </c>
      <c r="R10" s="902">
        <v>22.486876361774936</v>
      </c>
      <c r="S10" s="902">
        <v>22.494946956634521</v>
      </c>
      <c r="T10" s="902">
        <v>22.662665807975912</v>
      </c>
      <c r="U10" s="902">
        <v>22.922821701697636</v>
      </c>
      <c r="V10" s="902">
        <v>23.270139622238439</v>
      </c>
      <c r="W10" s="902">
        <v>23.509686568997985</v>
      </c>
      <c r="X10" s="902">
        <v>23.493712398241108</v>
      </c>
      <c r="Y10" s="902">
        <v>23.423848763951703</v>
      </c>
      <c r="Z10" s="902">
        <v>23.513217827059155</v>
      </c>
      <c r="AA10" s="902">
        <v>23.645542576627872</v>
      </c>
      <c r="AB10" s="903">
        <v>23.786749293232678</v>
      </c>
      <c r="AC10" s="903">
        <v>23.927956009837484</v>
      </c>
      <c r="AD10" s="903">
        <v>24.06916272644229</v>
      </c>
      <c r="AE10" s="903">
        <v>24.210369443047096</v>
      </c>
      <c r="AF10" s="903">
        <v>24.351576159651902</v>
      </c>
      <c r="AG10" s="903">
        <v>24.492782876256708</v>
      </c>
      <c r="AH10" s="903">
        <v>24.633989592861514</v>
      </c>
      <c r="AI10" s="903">
        <v>24.77519630946632</v>
      </c>
      <c r="AJ10" s="903">
        <v>24.916403026071126</v>
      </c>
      <c r="AK10" s="903">
        <v>25.057609742675933</v>
      </c>
      <c r="AL10" s="903">
        <v>25.047759076850095</v>
      </c>
      <c r="AM10" s="903">
        <v>25.037908411024258</v>
      </c>
      <c r="AN10" s="903">
        <v>25.028057745198421</v>
      </c>
      <c r="AO10" s="903">
        <v>25.018207079372583</v>
      </c>
      <c r="AP10" s="903">
        <v>25.008356413546746</v>
      </c>
      <c r="AQ10" s="903">
        <v>24.998505747720909</v>
      </c>
      <c r="AR10" s="903">
        <v>24.988655081895072</v>
      </c>
      <c r="AS10" s="903">
        <v>24.978804416069234</v>
      </c>
      <c r="AT10" s="903">
        <v>24.968953750243397</v>
      </c>
      <c r="AU10" s="903">
        <v>24.95910308441756</v>
      </c>
      <c r="AV10" s="903">
        <v>24.949252418591723</v>
      </c>
      <c r="AW10" s="903">
        <v>24.939401752765885</v>
      </c>
      <c r="AX10" s="903">
        <v>24.929551086940048</v>
      </c>
      <c r="AY10" s="903">
        <v>24.919700421114211</v>
      </c>
      <c r="AZ10" s="904">
        <v>24.90984975528837</v>
      </c>
      <c r="BA10" s="903">
        <v>24.925673674379027</v>
      </c>
      <c r="BB10" s="903">
        <v>24.941497593469684</v>
      </c>
      <c r="BC10" s="903">
        <v>24.957321512560341</v>
      </c>
      <c r="BD10" s="903">
        <v>24.973145431650998</v>
      </c>
      <c r="BE10" s="903">
        <v>24.988969350741655</v>
      </c>
      <c r="BF10" s="903">
        <v>25.004793269832312</v>
      </c>
      <c r="BG10" s="903">
        <v>25.020617188922969</v>
      </c>
      <c r="BH10" s="903">
        <v>25.036441108013626</v>
      </c>
      <c r="BI10" s="903">
        <v>25.052265027104283</v>
      </c>
      <c r="BJ10" s="903">
        <v>25.068088946194941</v>
      </c>
      <c r="BK10" s="903">
        <v>25.083912865285598</v>
      </c>
      <c r="BL10" s="903">
        <v>25.099736784376255</v>
      </c>
      <c r="BM10" s="903">
        <v>25.115560703466912</v>
      </c>
      <c r="BN10" s="903">
        <v>25.131384622557569</v>
      </c>
      <c r="BO10" s="904">
        <v>25.147208541648205</v>
      </c>
      <c r="BP10" s="903">
        <v>25.163183242307905</v>
      </c>
      <c r="BQ10" s="903">
        <v>25.179157942967606</v>
      </c>
      <c r="BR10" s="903">
        <v>25.195132643627307</v>
      </c>
      <c r="BS10" s="903">
        <v>25.211107344287008</v>
      </c>
      <c r="BT10" s="905">
        <v>25.227082044946716</v>
      </c>
    </row>
    <row r="11" spans="1:72" x14ac:dyDescent="0.2">
      <c r="A11" s="906" t="s">
        <v>698</v>
      </c>
      <c r="B11" s="901" t="s">
        <v>747</v>
      </c>
      <c r="C11" s="902">
        <v>16.038863482553147</v>
      </c>
      <c r="D11" s="902">
        <v>15.36037109932807</v>
      </c>
      <c r="E11" s="902">
        <v>15.664056310113844</v>
      </c>
      <c r="F11" s="902">
        <v>16.390134465019642</v>
      </c>
      <c r="G11" s="902">
        <v>16.26049394877451</v>
      </c>
      <c r="H11" s="902">
        <v>15.718549229064077</v>
      </c>
      <c r="I11" s="902">
        <v>15.083546116666987</v>
      </c>
      <c r="J11" s="902">
        <v>14.764544869368896</v>
      </c>
      <c r="K11" s="902">
        <v>14.679648534306921</v>
      </c>
      <c r="L11" s="902">
        <v>14.510741661179726</v>
      </c>
      <c r="M11" s="902">
        <v>14.370329416023063</v>
      </c>
      <c r="N11" s="902">
        <v>14.522587083420669</v>
      </c>
      <c r="O11" s="902">
        <v>14.791267903345901</v>
      </c>
      <c r="P11" s="902">
        <v>15.142176731577413</v>
      </c>
      <c r="Q11" s="902">
        <v>15.304996360023072</v>
      </c>
      <c r="R11" s="902">
        <v>15.443286072533045</v>
      </c>
      <c r="S11" s="902">
        <v>15.485992224711291</v>
      </c>
      <c r="T11" s="902">
        <v>15.663456831338236</v>
      </c>
      <c r="U11" s="902">
        <v>15.910829809476709</v>
      </c>
      <c r="V11" s="902">
        <v>16.241389166634008</v>
      </c>
      <c r="W11" s="902">
        <v>16.419768400912066</v>
      </c>
      <c r="X11" s="902">
        <v>16.405212897174714</v>
      </c>
      <c r="Y11" s="902">
        <v>16.372526888577397</v>
      </c>
      <c r="Z11" s="902">
        <v>16.449089176249931</v>
      </c>
      <c r="AA11" s="902">
        <v>16.568027554817903</v>
      </c>
      <c r="AB11" s="903">
        <v>16.704753726753587</v>
      </c>
      <c r="AC11" s="903">
        <v>16.841479898689272</v>
      </c>
      <c r="AD11" s="903">
        <v>16.978206070624957</v>
      </c>
      <c r="AE11" s="903">
        <v>17.114932242560641</v>
      </c>
      <c r="AF11" s="903">
        <v>17.251658414496326</v>
      </c>
      <c r="AG11" s="903">
        <v>17.388384586432011</v>
      </c>
      <c r="AH11" s="903">
        <v>17.525110758367695</v>
      </c>
      <c r="AI11" s="903">
        <v>17.66183693030338</v>
      </c>
      <c r="AJ11" s="903">
        <v>17.798563102239065</v>
      </c>
      <c r="AK11" s="903">
        <v>17.935289274174743</v>
      </c>
      <c r="AL11" s="903">
        <v>17.928238540168429</v>
      </c>
      <c r="AM11" s="903">
        <v>17.921187806162116</v>
      </c>
      <c r="AN11" s="903">
        <v>17.914137072155803</v>
      </c>
      <c r="AO11" s="903">
        <v>17.90708633814949</v>
      </c>
      <c r="AP11" s="903">
        <v>17.900035604143177</v>
      </c>
      <c r="AQ11" s="903">
        <v>17.892984870136864</v>
      </c>
      <c r="AR11" s="903">
        <v>17.885934136130551</v>
      </c>
      <c r="AS11" s="903">
        <v>17.878883402124238</v>
      </c>
      <c r="AT11" s="903">
        <v>17.871832668117925</v>
      </c>
      <c r="AU11" s="903">
        <v>17.864781934111612</v>
      </c>
      <c r="AV11" s="903">
        <v>17.857731200105299</v>
      </c>
      <c r="AW11" s="903">
        <v>17.850680466098986</v>
      </c>
      <c r="AX11" s="903">
        <v>17.843629732092673</v>
      </c>
      <c r="AY11" s="903">
        <v>17.83657899808636</v>
      </c>
      <c r="AZ11" s="904">
        <v>17.829528264080036</v>
      </c>
      <c r="BA11" s="903">
        <v>17.840854426840831</v>
      </c>
      <c r="BB11" s="903">
        <v>17.852180589601627</v>
      </c>
      <c r="BC11" s="903">
        <v>17.863506752362422</v>
      </c>
      <c r="BD11" s="903">
        <v>17.874832915123218</v>
      </c>
      <c r="BE11" s="903">
        <v>17.886159077884013</v>
      </c>
      <c r="BF11" s="903">
        <v>17.897485240644809</v>
      </c>
      <c r="BG11" s="903">
        <v>17.908811403405604</v>
      </c>
      <c r="BH11" s="903">
        <v>17.9201375661664</v>
      </c>
      <c r="BI11" s="903">
        <v>17.931463728927195</v>
      </c>
      <c r="BJ11" s="903">
        <v>17.94278989168799</v>
      </c>
      <c r="BK11" s="903">
        <v>17.954116054448786</v>
      </c>
      <c r="BL11" s="903">
        <v>17.965442217209581</v>
      </c>
      <c r="BM11" s="903">
        <v>17.976768379970377</v>
      </c>
      <c r="BN11" s="903">
        <v>17.988094542731172</v>
      </c>
      <c r="BO11" s="904">
        <v>17.999420705491971</v>
      </c>
      <c r="BP11" s="903">
        <v>18.010854791996724</v>
      </c>
      <c r="BQ11" s="903">
        <v>18.022288878501477</v>
      </c>
      <c r="BR11" s="903">
        <v>18.033722965006231</v>
      </c>
      <c r="BS11" s="903">
        <v>18.045157051510984</v>
      </c>
      <c r="BT11" s="905">
        <v>18.056591138015737</v>
      </c>
    </row>
    <row r="12" spans="1:72" x14ac:dyDescent="0.2">
      <c r="A12" s="907" t="s">
        <v>751</v>
      </c>
      <c r="B12" s="901"/>
      <c r="C12" s="901"/>
      <c r="D12" s="901"/>
      <c r="E12" s="901"/>
      <c r="F12" s="901"/>
      <c r="G12" s="901"/>
      <c r="H12" s="901"/>
      <c r="I12" s="901"/>
      <c r="J12" s="901"/>
      <c r="K12" s="901"/>
      <c r="L12" s="901"/>
      <c r="M12" s="901"/>
      <c r="N12" s="901"/>
      <c r="O12" s="901"/>
      <c r="P12" s="901"/>
      <c r="Q12" s="901"/>
      <c r="R12" s="901"/>
      <c r="S12" s="901"/>
      <c r="T12" s="901"/>
      <c r="U12" s="901"/>
      <c r="V12" s="901"/>
      <c r="W12" s="901"/>
      <c r="X12" s="901"/>
      <c r="Y12" s="901"/>
      <c r="Z12" s="901"/>
      <c r="AA12" s="901"/>
      <c r="AB12" s="901"/>
      <c r="AC12" s="901"/>
      <c r="AD12" s="901"/>
      <c r="AE12" s="901"/>
      <c r="AF12" s="901"/>
      <c r="AG12" s="901"/>
      <c r="AH12" s="901"/>
      <c r="AI12" s="901"/>
      <c r="AJ12" s="901"/>
      <c r="AK12" s="901"/>
      <c r="AL12" s="901"/>
      <c r="AM12" s="901"/>
      <c r="AN12" s="901"/>
      <c r="AO12" s="901"/>
      <c r="AP12" s="901"/>
      <c r="AQ12" s="901"/>
      <c r="AR12" s="901"/>
      <c r="AS12" s="901"/>
      <c r="AT12" s="901"/>
      <c r="AU12" s="901"/>
      <c r="AV12" s="901"/>
      <c r="AW12" s="901"/>
      <c r="AX12" s="901"/>
      <c r="AY12" s="901"/>
      <c r="AZ12" s="901"/>
      <c r="BA12" s="901"/>
      <c r="BB12" s="901"/>
      <c r="BC12" s="901"/>
      <c r="BD12" s="901"/>
      <c r="BE12" s="901"/>
      <c r="BF12" s="901"/>
      <c r="BG12" s="901"/>
      <c r="BH12" s="901"/>
      <c r="BI12" s="901"/>
      <c r="BJ12" s="901"/>
      <c r="BK12" s="901"/>
      <c r="BL12" s="901"/>
      <c r="BM12" s="901"/>
      <c r="BN12" s="901"/>
      <c r="BO12" s="901"/>
      <c r="BP12" s="901"/>
      <c r="BQ12" s="901"/>
      <c r="BR12" s="901"/>
      <c r="BS12" s="901"/>
      <c r="BT12" s="908"/>
    </row>
    <row r="13" spans="1:72" x14ac:dyDescent="0.2">
      <c r="A13" s="906" t="s">
        <v>1088</v>
      </c>
      <c r="B13" s="901" t="s">
        <v>747</v>
      </c>
      <c r="C13" s="902">
        <v>1.3268491834774256</v>
      </c>
      <c r="D13" s="902">
        <v>1.32388562245189</v>
      </c>
      <c r="E13" s="902">
        <v>1.3334961719108085</v>
      </c>
      <c r="F13" s="902">
        <v>1.3380821099821107</v>
      </c>
      <c r="G13" s="902">
        <v>1.3443425871291239</v>
      </c>
      <c r="H13" s="902">
        <v>1.3528785733681756</v>
      </c>
      <c r="I13" s="902">
        <v>1.3415886383011697</v>
      </c>
      <c r="J13" s="902">
        <v>1.3403624656065469</v>
      </c>
      <c r="K13" s="902">
        <v>1.330997225248586</v>
      </c>
      <c r="L13" s="902">
        <v>1.3164209684110997</v>
      </c>
      <c r="M13" s="902">
        <v>1.3072140481112184</v>
      </c>
      <c r="N13" s="902">
        <v>1.3019573002491378</v>
      </c>
      <c r="O13" s="902">
        <v>1.2978333982656636</v>
      </c>
      <c r="P13" s="902">
        <v>1.295833644439585</v>
      </c>
      <c r="Q13" s="902">
        <v>1.2953486183904279</v>
      </c>
      <c r="R13" s="902">
        <v>1.2970626753456174</v>
      </c>
      <c r="S13" s="902">
        <v>1.2955796364343368</v>
      </c>
      <c r="T13" s="902">
        <v>1.3002382724914889</v>
      </c>
      <c r="U13" s="902">
        <v>1.3044509032987155</v>
      </c>
      <c r="V13" s="902">
        <v>1.3304805103337984</v>
      </c>
      <c r="W13" s="902">
        <v>1.3397570218680066</v>
      </c>
      <c r="X13" s="902">
        <v>1.3519914094007222</v>
      </c>
      <c r="Y13" s="902">
        <v>1.3569265463442153</v>
      </c>
      <c r="Z13" s="902">
        <v>1.3726611244228613</v>
      </c>
      <c r="AA13" s="902">
        <v>1.3854931266802686</v>
      </c>
      <c r="AB13" s="903">
        <v>1.3951349014789893</v>
      </c>
      <c r="AC13" s="903">
        <v>1.4047766762777101</v>
      </c>
      <c r="AD13" s="903">
        <v>1.4144184510764308</v>
      </c>
      <c r="AE13" s="903">
        <v>1.4240602258751516</v>
      </c>
      <c r="AF13" s="903">
        <v>1.4337020006738723</v>
      </c>
      <c r="AG13" s="903">
        <v>1.4433437754725931</v>
      </c>
      <c r="AH13" s="903">
        <v>1.4529855502713138</v>
      </c>
      <c r="AI13" s="903">
        <v>1.4626273250700346</v>
      </c>
      <c r="AJ13" s="903">
        <v>1.4722690998687553</v>
      </c>
      <c r="AK13" s="903">
        <v>1.481910874667477</v>
      </c>
      <c r="AL13" s="903">
        <v>1.4862555877963981</v>
      </c>
      <c r="AM13" s="903">
        <v>1.4906003009253193</v>
      </c>
      <c r="AN13" s="903">
        <v>1.4949450140542404</v>
      </c>
      <c r="AO13" s="903">
        <v>1.4992897271831616</v>
      </c>
      <c r="AP13" s="903">
        <v>1.5036344403120827</v>
      </c>
      <c r="AQ13" s="903">
        <v>1.5079791534410039</v>
      </c>
      <c r="AR13" s="903">
        <v>1.512323866569925</v>
      </c>
      <c r="AS13" s="903">
        <v>1.5166685796988462</v>
      </c>
      <c r="AT13" s="903">
        <v>1.5210132928277673</v>
      </c>
      <c r="AU13" s="903">
        <v>1.5253580059566885</v>
      </c>
      <c r="AV13" s="903">
        <v>1.5297027190856096</v>
      </c>
      <c r="AW13" s="903">
        <v>1.5340474322145308</v>
      </c>
      <c r="AX13" s="903">
        <v>1.5383921453434519</v>
      </c>
      <c r="AY13" s="903">
        <v>1.5427368584723731</v>
      </c>
      <c r="AZ13" s="904">
        <v>1.5470815716012942</v>
      </c>
      <c r="BA13" s="903">
        <v>1.5500157274134729</v>
      </c>
      <c r="BB13" s="903">
        <v>1.5529498832256516</v>
      </c>
      <c r="BC13" s="903">
        <v>1.5558840390378303</v>
      </c>
      <c r="BD13" s="903">
        <v>1.5588181948500091</v>
      </c>
      <c r="BE13" s="903">
        <v>1.5617523506621878</v>
      </c>
      <c r="BF13" s="903">
        <v>1.5646865064743665</v>
      </c>
      <c r="BG13" s="903">
        <v>1.5676206622865452</v>
      </c>
      <c r="BH13" s="903">
        <v>1.5705548180987239</v>
      </c>
      <c r="BI13" s="903">
        <v>1.5734889739109026</v>
      </c>
      <c r="BJ13" s="903">
        <v>1.5764231297230813</v>
      </c>
      <c r="BK13" s="903">
        <v>1.57935728553526</v>
      </c>
      <c r="BL13" s="903">
        <v>1.5822914413474387</v>
      </c>
      <c r="BM13" s="903">
        <v>1.5852255971596174</v>
      </c>
      <c r="BN13" s="903">
        <v>1.5881597529717961</v>
      </c>
      <c r="BO13" s="904">
        <v>1.5910939087839742</v>
      </c>
      <c r="BP13" s="903">
        <v>1.5941115372826113</v>
      </c>
      <c r="BQ13" s="903">
        <v>1.5971291657812485</v>
      </c>
      <c r="BR13" s="903">
        <v>1.6001467942798857</v>
      </c>
      <c r="BS13" s="903">
        <v>1.6031644227785229</v>
      </c>
      <c r="BT13" s="905">
        <v>1.6061820512771605</v>
      </c>
    </row>
    <row r="14" spans="1:72" x14ac:dyDescent="0.2">
      <c r="A14" s="1633" t="s">
        <v>752</v>
      </c>
      <c r="B14" s="1634"/>
      <c r="C14" s="1634"/>
      <c r="D14" s="1634"/>
      <c r="E14" s="1634"/>
      <c r="F14" s="1634"/>
      <c r="G14" s="1634"/>
      <c r="H14" s="1634"/>
      <c r="I14" s="1634"/>
      <c r="J14" s="1634"/>
      <c r="K14" s="1634"/>
      <c r="L14" s="1634"/>
      <c r="M14" s="1634"/>
      <c r="N14" s="1634"/>
      <c r="O14" s="1634"/>
      <c r="P14" s="1634"/>
      <c r="Q14" s="1634"/>
      <c r="R14" s="1634"/>
      <c r="S14" s="1634"/>
      <c r="T14" s="1634"/>
      <c r="U14" s="1634"/>
      <c r="V14" s="1634"/>
      <c r="W14" s="1634"/>
      <c r="X14" s="1634"/>
      <c r="Y14" s="1634"/>
      <c r="Z14" s="1634"/>
      <c r="AA14" s="1634"/>
      <c r="AB14" s="1634"/>
      <c r="AC14" s="1634"/>
      <c r="AD14" s="1634"/>
      <c r="AE14" s="1634"/>
      <c r="AF14" s="1634"/>
      <c r="AG14" s="1634"/>
      <c r="AH14" s="1634"/>
      <c r="AI14" s="1634"/>
      <c r="AJ14" s="1634"/>
      <c r="AK14" s="1634"/>
      <c r="AL14" s="1634"/>
      <c r="AM14" s="1634"/>
      <c r="AN14" s="1634"/>
      <c r="AO14" s="1634"/>
      <c r="AP14" s="1634"/>
      <c r="AQ14" s="1634"/>
      <c r="AR14" s="1634"/>
      <c r="AS14" s="1634"/>
      <c r="AT14" s="1634"/>
      <c r="AU14" s="1634"/>
      <c r="AV14" s="1634"/>
      <c r="AW14" s="1634"/>
      <c r="AX14" s="1634"/>
      <c r="AY14" s="1634"/>
      <c r="AZ14" s="1634"/>
      <c r="BA14" s="1634"/>
      <c r="BB14" s="1634"/>
      <c r="BC14" s="1634"/>
      <c r="BD14" s="1634"/>
      <c r="BE14" s="1634"/>
      <c r="BF14" s="1634"/>
      <c r="BG14" s="1634"/>
      <c r="BH14" s="1634"/>
      <c r="BI14" s="1634"/>
      <c r="BJ14" s="1634"/>
      <c r="BK14" s="1634"/>
      <c r="BL14" s="1634"/>
      <c r="BM14" s="1634"/>
      <c r="BN14" s="1634"/>
      <c r="BO14" s="1634"/>
      <c r="BP14" s="1634"/>
      <c r="BQ14" s="1634"/>
      <c r="BR14" s="1634"/>
      <c r="BS14" s="1634"/>
      <c r="BT14" s="1635"/>
    </row>
    <row r="15" spans="1:72" ht="24" x14ac:dyDescent="0.2">
      <c r="A15" s="900" t="s">
        <v>753</v>
      </c>
      <c r="B15" s="901" t="s">
        <v>747</v>
      </c>
      <c r="C15" s="902">
        <v>10.789461735918687</v>
      </c>
      <c r="D15" s="902">
        <v>9.9590971559848445</v>
      </c>
      <c r="E15" s="902">
        <v>11.383831536994775</v>
      </c>
      <c r="F15" s="902">
        <v>12.531178240506115</v>
      </c>
      <c r="G15" s="902">
        <v>12.036300060884058</v>
      </c>
      <c r="H15" s="902">
        <v>12.613383383121093</v>
      </c>
      <c r="I15" s="902">
        <v>13.01890940036416</v>
      </c>
      <c r="J15" s="902">
        <v>12.908589399085846</v>
      </c>
      <c r="K15" s="902">
        <v>12.946875513724528</v>
      </c>
      <c r="L15" s="902">
        <v>13.039098811599491</v>
      </c>
      <c r="M15" s="902">
        <v>13.088955960183741</v>
      </c>
      <c r="N15" s="902">
        <v>13.133508268392355</v>
      </c>
      <c r="O15" s="902">
        <v>13.038477461293056</v>
      </c>
      <c r="P15" s="902">
        <v>12.989168095138872</v>
      </c>
      <c r="Q15" s="902">
        <v>12.752903866318045</v>
      </c>
      <c r="R15" s="902">
        <v>12.539506322932722</v>
      </c>
      <c r="S15" s="902">
        <v>12.335074118848111</v>
      </c>
      <c r="T15" s="902">
        <v>12.292193988584152</v>
      </c>
      <c r="U15" s="902">
        <v>12.304560350921868</v>
      </c>
      <c r="V15" s="902">
        <v>12.340337204483362</v>
      </c>
      <c r="W15" s="902">
        <v>12.418707870087554</v>
      </c>
      <c r="X15" s="902">
        <v>12.438495640484758</v>
      </c>
      <c r="Y15" s="902">
        <v>12.492141534697302</v>
      </c>
      <c r="Z15" s="902">
        <v>12.624332072599859</v>
      </c>
      <c r="AA15" s="902">
        <v>13.025979869770596</v>
      </c>
      <c r="AB15" s="902">
        <v>13.053872203635709</v>
      </c>
      <c r="AC15" s="902">
        <v>13.081764537500822</v>
      </c>
      <c r="AD15" s="902">
        <v>13.109656871365935</v>
      </c>
      <c r="AE15" s="902">
        <v>13.137549205231048</v>
      </c>
      <c r="AF15" s="902">
        <v>13.165441539096161</v>
      </c>
      <c r="AG15" s="902">
        <v>13.193333872961274</v>
      </c>
      <c r="AH15" s="902">
        <v>13.221226206826387</v>
      </c>
      <c r="AI15" s="902">
        <v>13.2491185406915</v>
      </c>
      <c r="AJ15" s="902">
        <v>13.277010874556613</v>
      </c>
      <c r="AK15" s="902">
        <v>13.304903208421727</v>
      </c>
      <c r="AL15" s="902">
        <v>13.445726499778688</v>
      </c>
      <c r="AM15" s="902">
        <v>13.586549791135649</v>
      </c>
      <c r="AN15" s="902">
        <v>13.72737308249261</v>
      </c>
      <c r="AO15" s="902">
        <v>13.868196373849571</v>
      </c>
      <c r="AP15" s="902">
        <v>14.009019665206532</v>
      </c>
      <c r="AQ15" s="902">
        <v>14.149842956563493</v>
      </c>
      <c r="AR15" s="902">
        <v>14.290666247920454</v>
      </c>
      <c r="AS15" s="902">
        <v>14.431489539277415</v>
      </c>
      <c r="AT15" s="902">
        <v>14.572312830634376</v>
      </c>
      <c r="AU15" s="902">
        <v>14.713136121991337</v>
      </c>
      <c r="AV15" s="902">
        <v>14.853959413348298</v>
      </c>
      <c r="AW15" s="902">
        <v>14.994782704705258</v>
      </c>
      <c r="AX15" s="902">
        <v>15.135605996062219</v>
      </c>
      <c r="AY15" s="902">
        <v>15.27642928741918</v>
      </c>
      <c r="AZ15" s="902">
        <v>15.417252578776129</v>
      </c>
      <c r="BA15" s="902">
        <v>15.505038084680947</v>
      </c>
      <c r="BB15" s="902">
        <v>15.592823590585766</v>
      </c>
      <c r="BC15" s="902">
        <v>15.680609096490585</v>
      </c>
      <c r="BD15" s="902">
        <v>15.768394602395404</v>
      </c>
      <c r="BE15" s="902">
        <v>15.856180108300222</v>
      </c>
      <c r="BF15" s="902">
        <v>15.943965614205041</v>
      </c>
      <c r="BG15" s="902">
        <v>16.03175112010986</v>
      </c>
      <c r="BH15" s="902">
        <v>16.119536626014678</v>
      </c>
      <c r="BI15" s="902">
        <v>16.207322131919497</v>
      </c>
      <c r="BJ15" s="902">
        <v>16.295107637824316</v>
      </c>
      <c r="BK15" s="902">
        <v>16.382893143729135</v>
      </c>
      <c r="BL15" s="902">
        <v>16.470678649633953</v>
      </c>
      <c r="BM15" s="902">
        <v>16.558464155538772</v>
      </c>
      <c r="BN15" s="902">
        <v>16.646249661443591</v>
      </c>
      <c r="BO15" s="902">
        <v>16.734035167348416</v>
      </c>
      <c r="BP15" s="902">
        <v>16.829318405103567</v>
      </c>
      <c r="BQ15" s="902">
        <v>16.924601642858718</v>
      </c>
      <c r="BR15" s="902">
        <v>17.019884880613869</v>
      </c>
      <c r="BS15" s="902">
        <v>17.11516811836902</v>
      </c>
      <c r="BT15" s="909">
        <v>17.210451356124164</v>
      </c>
    </row>
    <row r="16" spans="1:72" x14ac:dyDescent="0.2">
      <c r="A16" s="906" t="s">
        <v>754</v>
      </c>
      <c r="B16" s="901" t="s">
        <v>747</v>
      </c>
      <c r="C16" s="902">
        <v>12.730520250245322</v>
      </c>
      <c r="D16" s="902">
        <v>11.801320287416596</v>
      </c>
      <c r="E16" s="902">
        <v>13.477350603859424</v>
      </c>
      <c r="F16" s="902">
        <v>15.275134761378448</v>
      </c>
      <c r="G16" s="902">
        <v>14.956036086352325</v>
      </c>
      <c r="H16" s="902">
        <v>15.333911517881027</v>
      </c>
      <c r="I16" s="902">
        <v>14.969645149302909</v>
      </c>
      <c r="J16" s="902">
        <v>14.856007634468792</v>
      </c>
      <c r="K16" s="902">
        <v>14.855665643260203</v>
      </c>
      <c r="L16" s="902">
        <v>14.676357863084307</v>
      </c>
      <c r="M16" s="902">
        <v>14.660823111264261</v>
      </c>
      <c r="N16" s="902">
        <v>14.621396694543213</v>
      </c>
      <c r="O16" s="902">
        <v>14.496914877081778</v>
      </c>
      <c r="P16" s="902">
        <v>14.525867813038341</v>
      </c>
      <c r="Q16" s="902">
        <v>14.406443289990676</v>
      </c>
      <c r="R16" s="902">
        <v>14.511791494657368</v>
      </c>
      <c r="S16" s="902">
        <v>14.408484301477108</v>
      </c>
      <c r="T16" s="902">
        <v>14.421367627269808</v>
      </c>
      <c r="U16" s="902">
        <v>14.483474821414545</v>
      </c>
      <c r="V16" s="902">
        <v>14.423047758498246</v>
      </c>
      <c r="W16" s="902">
        <v>14.678410804496627</v>
      </c>
      <c r="X16" s="902">
        <v>14.842794247393387</v>
      </c>
      <c r="Y16" s="902">
        <v>14.985196801851416</v>
      </c>
      <c r="Z16" s="902">
        <v>15.125157698145465</v>
      </c>
      <c r="AA16" s="902">
        <v>15.225733932459173</v>
      </c>
      <c r="AB16" s="903">
        <v>15.312322281050708</v>
      </c>
      <c r="AC16" s="903">
        <v>15.398910629642243</v>
      </c>
      <c r="AD16" s="903">
        <v>15.485498978233778</v>
      </c>
      <c r="AE16" s="903">
        <v>15.572087326825313</v>
      </c>
      <c r="AF16" s="903">
        <v>15.658675675416848</v>
      </c>
      <c r="AG16" s="903">
        <v>15.745264024008383</v>
      </c>
      <c r="AH16" s="903">
        <v>15.831852372599919</v>
      </c>
      <c r="AI16" s="903">
        <v>15.918440721191454</v>
      </c>
      <c r="AJ16" s="903">
        <v>16.005029069782989</v>
      </c>
      <c r="AK16" s="903">
        <v>16.091617418374518</v>
      </c>
      <c r="AL16" s="903">
        <v>16.26193617174043</v>
      </c>
      <c r="AM16" s="903">
        <v>16.432254925106342</v>
      </c>
      <c r="AN16" s="903">
        <v>16.602573678472254</v>
      </c>
      <c r="AO16" s="903">
        <v>16.772892431838166</v>
      </c>
      <c r="AP16" s="903">
        <v>16.943211185204078</v>
      </c>
      <c r="AQ16" s="903">
        <v>17.113529938569989</v>
      </c>
      <c r="AR16" s="903">
        <v>17.283848691935901</v>
      </c>
      <c r="AS16" s="903">
        <v>17.454167445301813</v>
      </c>
      <c r="AT16" s="903">
        <v>17.624486198667725</v>
      </c>
      <c r="AU16" s="903">
        <v>17.794804952033637</v>
      </c>
      <c r="AV16" s="903">
        <v>17.965123705399549</v>
      </c>
      <c r="AW16" s="903">
        <v>18.135442458765461</v>
      </c>
      <c r="AX16" s="903">
        <v>18.305761212131372</v>
      </c>
      <c r="AY16" s="903">
        <v>18.476079965497284</v>
      </c>
      <c r="AZ16" s="902">
        <v>18.646398718863171</v>
      </c>
      <c r="BA16" s="903">
        <v>18.752570913712709</v>
      </c>
      <c r="BB16" s="903">
        <v>18.858743108562248</v>
      </c>
      <c r="BC16" s="903">
        <v>18.964915303411786</v>
      </c>
      <c r="BD16" s="903">
        <v>19.071087498261324</v>
      </c>
      <c r="BE16" s="903">
        <v>19.177259693110862</v>
      </c>
      <c r="BF16" s="903">
        <v>19.283431887960401</v>
      </c>
      <c r="BG16" s="903">
        <v>19.389604082809939</v>
      </c>
      <c r="BH16" s="903">
        <v>19.495776277659477</v>
      </c>
      <c r="BI16" s="903">
        <v>19.601948472509015</v>
      </c>
      <c r="BJ16" s="903">
        <v>19.708120667358553</v>
      </c>
      <c r="BK16" s="903">
        <v>19.814292862208092</v>
      </c>
      <c r="BL16" s="903">
        <v>19.92046505705763</v>
      </c>
      <c r="BM16" s="903">
        <v>20.026637251907168</v>
      </c>
      <c r="BN16" s="903">
        <v>20.132809446756706</v>
      </c>
      <c r="BO16" s="902">
        <v>20.238981641606255</v>
      </c>
      <c r="BP16" s="903">
        <v>20.354221969500514</v>
      </c>
      <c r="BQ16" s="903">
        <v>20.469462297394774</v>
      </c>
      <c r="BR16" s="903">
        <v>20.584702625289033</v>
      </c>
      <c r="BS16" s="903">
        <v>20.699942953183292</v>
      </c>
      <c r="BT16" s="909">
        <v>20.815183281077545</v>
      </c>
    </row>
    <row r="17" spans="1:72" x14ac:dyDescent="0.2">
      <c r="A17" s="906" t="s">
        <v>312</v>
      </c>
      <c r="B17" s="901" t="s">
        <v>747</v>
      </c>
      <c r="C17" s="902">
        <v>15.730049999999999</v>
      </c>
      <c r="D17" s="902">
        <v>15.730049999999999</v>
      </c>
      <c r="E17" s="902">
        <v>15.730049999999999</v>
      </c>
      <c r="F17" s="902">
        <v>15.730049999999999</v>
      </c>
      <c r="G17" s="902">
        <v>15.730049999999999</v>
      </c>
      <c r="H17" s="902">
        <v>15.730049999999999</v>
      </c>
      <c r="I17" s="902">
        <v>15.730049999999999</v>
      </c>
      <c r="J17" s="902">
        <v>15.730049999999999</v>
      </c>
      <c r="K17" s="902">
        <v>15.730049999999999</v>
      </c>
      <c r="L17" s="902">
        <v>15.730049999999999</v>
      </c>
      <c r="M17" s="902">
        <v>15.730049999999999</v>
      </c>
      <c r="N17" s="902">
        <v>15.730049999999999</v>
      </c>
      <c r="O17" s="902">
        <v>15.730049999999999</v>
      </c>
      <c r="P17" s="902">
        <v>15.730049999999999</v>
      </c>
      <c r="Q17" s="902">
        <v>15.730049999999999</v>
      </c>
      <c r="R17" s="902">
        <v>15.730049999999999</v>
      </c>
      <c r="S17" s="902">
        <v>15.730049999999999</v>
      </c>
      <c r="T17" s="902">
        <v>15.730049999999999</v>
      </c>
      <c r="U17" s="902">
        <v>15.730049999999999</v>
      </c>
      <c r="V17" s="902">
        <v>15.730049999999999</v>
      </c>
      <c r="W17" s="902">
        <v>15.730049999999999</v>
      </c>
      <c r="X17" s="902">
        <v>15.730049999999999</v>
      </c>
      <c r="Y17" s="902">
        <v>15.730049999999999</v>
      </c>
      <c r="Z17" s="902">
        <v>15.730049999999999</v>
      </c>
      <c r="AA17" s="902">
        <v>15.730049999999999</v>
      </c>
      <c r="AB17" s="902">
        <v>15.730049999999999</v>
      </c>
      <c r="AC17" s="902">
        <v>15.730049999999999</v>
      </c>
      <c r="AD17" s="902">
        <v>15.730049999999999</v>
      </c>
      <c r="AE17" s="902">
        <v>15.730049999999999</v>
      </c>
      <c r="AF17" s="902">
        <v>15.730049999999999</v>
      </c>
      <c r="AG17" s="902">
        <v>15.730049999999999</v>
      </c>
      <c r="AH17" s="902">
        <v>15.730049999999999</v>
      </c>
      <c r="AI17" s="902">
        <v>15.730049999999999</v>
      </c>
      <c r="AJ17" s="902">
        <v>15.730049999999999</v>
      </c>
      <c r="AK17" s="902">
        <v>15.730049999999999</v>
      </c>
      <c r="AL17" s="902">
        <v>15.730049999999999</v>
      </c>
      <c r="AM17" s="902">
        <v>15.730049999999999</v>
      </c>
      <c r="AN17" s="902">
        <v>15.730049999999999</v>
      </c>
      <c r="AO17" s="902">
        <v>15.730049999999999</v>
      </c>
      <c r="AP17" s="902">
        <v>15.730049999999999</v>
      </c>
      <c r="AQ17" s="902">
        <v>15.730049999999999</v>
      </c>
      <c r="AR17" s="902">
        <v>15.730049999999999</v>
      </c>
      <c r="AS17" s="902">
        <v>15.730049999999999</v>
      </c>
      <c r="AT17" s="902">
        <v>15.730049999999999</v>
      </c>
      <c r="AU17" s="902">
        <v>15.730049999999999</v>
      </c>
      <c r="AV17" s="902">
        <v>15.730049999999999</v>
      </c>
      <c r="AW17" s="902">
        <v>15.730049999999999</v>
      </c>
      <c r="AX17" s="902">
        <v>15.730049999999999</v>
      </c>
      <c r="AY17" s="902">
        <v>15.730049999999999</v>
      </c>
      <c r="AZ17" s="902">
        <v>15.730049999999999</v>
      </c>
      <c r="BA17" s="902">
        <v>15.730049999999999</v>
      </c>
      <c r="BB17" s="902">
        <v>15.730049999999999</v>
      </c>
      <c r="BC17" s="902">
        <v>15.730049999999999</v>
      </c>
      <c r="BD17" s="902">
        <v>15.730049999999999</v>
      </c>
      <c r="BE17" s="902">
        <v>15.730049999999999</v>
      </c>
      <c r="BF17" s="902">
        <v>15.730049999999999</v>
      </c>
      <c r="BG17" s="902">
        <v>15.730049999999999</v>
      </c>
      <c r="BH17" s="902">
        <v>15.730049999999999</v>
      </c>
      <c r="BI17" s="902">
        <v>15.730049999999999</v>
      </c>
      <c r="BJ17" s="902">
        <v>15.730049999999999</v>
      </c>
      <c r="BK17" s="902">
        <v>15.730049999999999</v>
      </c>
      <c r="BL17" s="902">
        <v>15.730049999999999</v>
      </c>
      <c r="BM17" s="902">
        <v>15.730049999999999</v>
      </c>
      <c r="BN17" s="902">
        <v>15.730049999999999</v>
      </c>
      <c r="BO17" s="902">
        <v>15.730049999999999</v>
      </c>
      <c r="BP17" s="902">
        <v>15.730049999999999</v>
      </c>
      <c r="BQ17" s="902">
        <v>15.730049999999999</v>
      </c>
      <c r="BR17" s="902">
        <v>15.730049999999999</v>
      </c>
      <c r="BS17" s="902">
        <v>15.730049999999999</v>
      </c>
      <c r="BT17" s="909">
        <v>15.730049999999999</v>
      </c>
    </row>
    <row r="18" spans="1:72" x14ac:dyDescent="0.2">
      <c r="A18" s="900" t="s">
        <v>311</v>
      </c>
      <c r="B18" s="901" t="s">
        <v>747</v>
      </c>
      <c r="C18" s="902">
        <v>8.7353999999999985</v>
      </c>
      <c r="D18" s="902">
        <v>8.7353999999999985</v>
      </c>
      <c r="E18" s="902">
        <v>8.7353999999999985</v>
      </c>
      <c r="F18" s="902">
        <v>8.7353999999999985</v>
      </c>
      <c r="G18" s="902">
        <v>8.7353999999999985</v>
      </c>
      <c r="H18" s="902">
        <v>8.7353999999999985</v>
      </c>
      <c r="I18" s="902">
        <v>8.7353999999999985</v>
      </c>
      <c r="J18" s="902">
        <v>8.7353999999999985</v>
      </c>
      <c r="K18" s="902">
        <v>8.7353999999999985</v>
      </c>
      <c r="L18" s="902">
        <v>8.7353999999999985</v>
      </c>
      <c r="M18" s="902">
        <v>8.7353999999999985</v>
      </c>
      <c r="N18" s="902">
        <v>8.7353999999999985</v>
      </c>
      <c r="O18" s="902">
        <v>8.7353999999999985</v>
      </c>
      <c r="P18" s="902">
        <v>8.7353999999999985</v>
      </c>
      <c r="Q18" s="902">
        <v>8.7353999999999985</v>
      </c>
      <c r="R18" s="902">
        <v>8.7353999999999985</v>
      </c>
      <c r="S18" s="902">
        <v>8.7353999999999985</v>
      </c>
      <c r="T18" s="902">
        <v>8.7353999999999985</v>
      </c>
      <c r="U18" s="902">
        <v>8.7353999999999985</v>
      </c>
      <c r="V18" s="902">
        <v>8.7353999999999985</v>
      </c>
      <c r="W18" s="902">
        <v>8.7353999999999985</v>
      </c>
      <c r="X18" s="902">
        <v>8.7353999999999985</v>
      </c>
      <c r="Y18" s="902">
        <v>8.7353999999999985</v>
      </c>
      <c r="Z18" s="902">
        <v>8.7353999999999985</v>
      </c>
      <c r="AA18" s="902">
        <v>8.7353999999999985</v>
      </c>
      <c r="AB18" s="902">
        <v>8.7353999999999985</v>
      </c>
      <c r="AC18" s="902">
        <v>8.7353999999999985</v>
      </c>
      <c r="AD18" s="902">
        <v>8.7353999999999985</v>
      </c>
      <c r="AE18" s="902">
        <v>8.7353999999999985</v>
      </c>
      <c r="AF18" s="902">
        <v>8.7353999999999985</v>
      </c>
      <c r="AG18" s="902">
        <v>8.7353999999999985</v>
      </c>
      <c r="AH18" s="902">
        <v>8.7353999999999985</v>
      </c>
      <c r="AI18" s="902">
        <v>8.7353999999999985</v>
      </c>
      <c r="AJ18" s="902">
        <v>8.7353999999999985</v>
      </c>
      <c r="AK18" s="902">
        <v>8.7353999999999985</v>
      </c>
      <c r="AL18" s="902">
        <v>8.7353999999999985</v>
      </c>
      <c r="AM18" s="902">
        <v>8.7353999999999985</v>
      </c>
      <c r="AN18" s="902">
        <v>8.7353999999999985</v>
      </c>
      <c r="AO18" s="902">
        <v>8.7353999999999985</v>
      </c>
      <c r="AP18" s="902">
        <v>8.7353999999999985</v>
      </c>
      <c r="AQ18" s="902">
        <v>8.7353999999999985</v>
      </c>
      <c r="AR18" s="902">
        <v>8.7353999999999985</v>
      </c>
      <c r="AS18" s="902">
        <v>8.7353999999999985</v>
      </c>
      <c r="AT18" s="902">
        <v>8.7353999999999985</v>
      </c>
      <c r="AU18" s="902">
        <v>8.7353999999999985</v>
      </c>
      <c r="AV18" s="902">
        <v>8.7353999999999985</v>
      </c>
      <c r="AW18" s="902">
        <v>8.7353999999999985</v>
      </c>
      <c r="AX18" s="902">
        <v>8.7353999999999985</v>
      </c>
      <c r="AY18" s="902">
        <v>8.7353999999999985</v>
      </c>
      <c r="AZ18" s="902">
        <v>8.7353999999999985</v>
      </c>
      <c r="BA18" s="902">
        <v>8.7353999999999985</v>
      </c>
      <c r="BB18" s="902">
        <v>8.7353999999999985</v>
      </c>
      <c r="BC18" s="902">
        <v>8.7353999999999985</v>
      </c>
      <c r="BD18" s="902">
        <v>8.7353999999999985</v>
      </c>
      <c r="BE18" s="902">
        <v>8.7353999999999985</v>
      </c>
      <c r="BF18" s="902">
        <v>8.7353999999999985</v>
      </c>
      <c r="BG18" s="902">
        <v>8.7353999999999985</v>
      </c>
      <c r="BH18" s="902">
        <v>8.7353999999999985</v>
      </c>
      <c r="BI18" s="902">
        <v>8.7353999999999985</v>
      </c>
      <c r="BJ18" s="902">
        <v>8.7353999999999985</v>
      </c>
      <c r="BK18" s="902">
        <v>8.7353999999999985</v>
      </c>
      <c r="BL18" s="902">
        <v>8.7353999999999985</v>
      </c>
      <c r="BM18" s="902">
        <v>8.7353999999999985</v>
      </c>
      <c r="BN18" s="902">
        <v>8.7353999999999985</v>
      </c>
      <c r="BO18" s="902">
        <v>8.7353999999999985</v>
      </c>
      <c r="BP18" s="902">
        <v>8.7353999999999985</v>
      </c>
      <c r="BQ18" s="902">
        <v>8.7353999999999985</v>
      </c>
      <c r="BR18" s="902">
        <v>8.7353999999999985</v>
      </c>
      <c r="BS18" s="902">
        <v>8.7353999999999985</v>
      </c>
      <c r="BT18" s="909">
        <v>8.7353999999999985</v>
      </c>
    </row>
    <row r="19" spans="1:72" x14ac:dyDescent="0.2">
      <c r="A19" s="1633" t="s">
        <v>755</v>
      </c>
      <c r="B19" s="1634"/>
      <c r="C19" s="1634"/>
      <c r="D19" s="1634"/>
      <c r="E19" s="1634"/>
      <c r="F19" s="1634"/>
      <c r="G19" s="1634"/>
      <c r="H19" s="1634"/>
      <c r="I19" s="1634"/>
      <c r="J19" s="1634"/>
      <c r="K19" s="1634"/>
      <c r="L19" s="1634"/>
      <c r="M19" s="1634"/>
      <c r="N19" s="1634"/>
      <c r="O19" s="1634"/>
      <c r="P19" s="1634"/>
      <c r="Q19" s="1634"/>
      <c r="R19" s="1634"/>
      <c r="S19" s="1634"/>
      <c r="T19" s="1634"/>
      <c r="U19" s="1634"/>
      <c r="V19" s="1634"/>
      <c r="W19" s="1634"/>
      <c r="X19" s="1634"/>
      <c r="Y19" s="1634"/>
      <c r="Z19" s="1634"/>
      <c r="AA19" s="1634"/>
      <c r="AB19" s="1634"/>
      <c r="AC19" s="1634"/>
      <c r="AD19" s="1634"/>
      <c r="AE19" s="1634"/>
      <c r="AF19" s="1634"/>
      <c r="AG19" s="1634"/>
      <c r="AH19" s="1634"/>
      <c r="AI19" s="1634"/>
      <c r="AJ19" s="1634"/>
      <c r="AK19" s="1634"/>
      <c r="AL19" s="1634"/>
      <c r="AM19" s="1634"/>
      <c r="AN19" s="1634"/>
      <c r="AO19" s="1634"/>
      <c r="AP19" s="1634"/>
      <c r="AQ19" s="1634"/>
      <c r="AR19" s="1634"/>
      <c r="AS19" s="1634"/>
      <c r="AT19" s="1634"/>
      <c r="AU19" s="1634"/>
      <c r="AV19" s="1634"/>
      <c r="AW19" s="1634"/>
      <c r="AX19" s="1634"/>
      <c r="AY19" s="1634"/>
      <c r="AZ19" s="1634"/>
      <c r="BA19" s="1634"/>
      <c r="BB19" s="1634"/>
      <c r="BC19" s="1634"/>
      <c r="BD19" s="1634"/>
      <c r="BE19" s="1634"/>
      <c r="BF19" s="1634"/>
      <c r="BG19" s="1634"/>
      <c r="BH19" s="1634"/>
      <c r="BI19" s="1634"/>
      <c r="BJ19" s="1634"/>
      <c r="BK19" s="1634"/>
      <c r="BL19" s="1634"/>
      <c r="BM19" s="1634"/>
      <c r="BN19" s="1634"/>
      <c r="BO19" s="1634"/>
      <c r="BP19" s="1634"/>
      <c r="BQ19" s="1634"/>
      <c r="BR19" s="1634"/>
      <c r="BS19" s="1634"/>
      <c r="BT19" s="1635"/>
    </row>
    <row r="20" spans="1:72" ht="24.75" thickBot="1" x14ac:dyDescent="0.25">
      <c r="A20" s="910" t="s">
        <v>756</v>
      </c>
      <c r="B20" s="911" t="s">
        <v>747</v>
      </c>
      <c r="C20" s="912">
        <v>1.2696286520685174</v>
      </c>
      <c r="D20" s="912">
        <v>1.2696286520685174</v>
      </c>
      <c r="E20" s="912">
        <v>1.2696286520685174</v>
      </c>
      <c r="F20" s="912">
        <v>1.2696286520685174</v>
      </c>
      <c r="G20" s="912">
        <v>1.2696286520685174</v>
      </c>
      <c r="H20" s="912">
        <v>1.2696286520685174</v>
      </c>
      <c r="I20" s="912">
        <v>1.2696286520685174</v>
      </c>
      <c r="J20" s="912">
        <v>1.2696286520685174</v>
      </c>
      <c r="K20" s="912">
        <v>1.2696286520685174</v>
      </c>
      <c r="L20" s="912">
        <v>1.2696286520685174</v>
      </c>
      <c r="M20" s="912">
        <v>1.2716814065585227</v>
      </c>
      <c r="N20" s="912">
        <v>1.2809188017635484</v>
      </c>
      <c r="O20" s="912">
        <v>1.3178683825836508</v>
      </c>
      <c r="P20" s="912">
        <v>1.3209475143186591</v>
      </c>
      <c r="Q20" s="912">
        <v>1.3435278137087219</v>
      </c>
      <c r="R20" s="912">
        <v>1.3466069454437304</v>
      </c>
      <c r="S20" s="912">
        <v>1.3630289813637759</v>
      </c>
      <c r="T20" s="912">
        <v>1.3578970951387617</v>
      </c>
      <c r="U20" s="912">
        <v>1.383556526263833</v>
      </c>
      <c r="V20" s="912">
        <v>1.4030576939188868</v>
      </c>
      <c r="W20" s="912">
        <v>1.460534819639046</v>
      </c>
      <c r="X20" s="912">
        <v>1.4800359872941</v>
      </c>
      <c r="Y20" s="912">
        <v>1.4861942507641173</v>
      </c>
      <c r="Z20" s="912">
        <v>1.5118536818891883</v>
      </c>
      <c r="AA20" s="912">
        <v>1.5262229633192279</v>
      </c>
      <c r="AB20" s="912">
        <v>1.6236006669873051</v>
      </c>
      <c r="AC20" s="912">
        <v>1.7209783706553823</v>
      </c>
      <c r="AD20" s="912">
        <v>1.8183560743234595</v>
      </c>
      <c r="AE20" s="912">
        <v>1.9157337779915367</v>
      </c>
      <c r="AF20" s="912">
        <v>2.0131114816596138</v>
      </c>
      <c r="AG20" s="912">
        <v>2.1104891853276913</v>
      </c>
      <c r="AH20" s="912">
        <v>2.2078668889957687</v>
      </c>
      <c r="AI20" s="912">
        <v>2.3052445926638461</v>
      </c>
      <c r="AJ20" s="912">
        <v>2.4026222963319235</v>
      </c>
      <c r="AK20" s="912">
        <v>2.5</v>
      </c>
      <c r="AL20" s="912">
        <v>2.5714285714285716</v>
      </c>
      <c r="AM20" s="912">
        <v>2.6428571428571432</v>
      </c>
      <c r="AN20" s="912">
        <v>2.7142857142857149</v>
      </c>
      <c r="AO20" s="912">
        <v>2.7857142857142865</v>
      </c>
      <c r="AP20" s="912">
        <v>2.8571428571428581</v>
      </c>
      <c r="AQ20" s="912">
        <v>2.9285714285714297</v>
      </c>
      <c r="AR20" s="912">
        <v>3</v>
      </c>
      <c r="AS20" s="912">
        <v>3.071428571428573</v>
      </c>
      <c r="AT20" s="912">
        <v>3.1428571428571446</v>
      </c>
      <c r="AU20" s="912">
        <v>3.2142857142857162</v>
      </c>
      <c r="AV20" s="912">
        <v>3.2857142857142878</v>
      </c>
      <c r="AW20" s="912">
        <v>3.3571428571428594</v>
      </c>
      <c r="AX20" s="912">
        <v>3.428571428571431</v>
      </c>
      <c r="AY20" s="912">
        <v>3.5</v>
      </c>
      <c r="AZ20" s="912">
        <v>3.5714285714285743</v>
      </c>
      <c r="BA20" s="912">
        <v>3.6428571428571459</v>
      </c>
      <c r="BB20" s="912">
        <v>3.7142857142857175</v>
      </c>
      <c r="BC20" s="912">
        <v>3.7857142857142891</v>
      </c>
      <c r="BD20" s="912">
        <v>3.8571428571428608</v>
      </c>
      <c r="BE20" s="912">
        <v>3.9285714285714324</v>
      </c>
      <c r="BF20" s="912">
        <v>4</v>
      </c>
      <c r="BG20" s="912">
        <v>4.0714285714285747</v>
      </c>
      <c r="BH20" s="912">
        <v>4.1428571428571459</v>
      </c>
      <c r="BI20" s="912">
        <v>4.2142857142857171</v>
      </c>
      <c r="BJ20" s="912">
        <v>4.2857142857142883</v>
      </c>
      <c r="BK20" s="912">
        <v>4.3571428571428594</v>
      </c>
      <c r="BL20" s="912">
        <v>4.4285714285714306</v>
      </c>
      <c r="BM20" s="912">
        <v>4.5</v>
      </c>
      <c r="BN20" s="912">
        <v>4.571428571428573</v>
      </c>
      <c r="BO20" s="912">
        <v>4.6428571428571441</v>
      </c>
      <c r="BP20" s="912">
        <v>4.7142857142857153</v>
      </c>
      <c r="BQ20" s="912">
        <v>4.7857142857142865</v>
      </c>
      <c r="BR20" s="912">
        <v>4.8571428571428577</v>
      </c>
      <c r="BS20" s="912">
        <v>4.9285714285714288</v>
      </c>
      <c r="BT20" s="913">
        <v>5</v>
      </c>
    </row>
    <row r="21" spans="1:72" ht="47.25" customHeight="1" x14ac:dyDescent="0.2">
      <c r="A21" s="1641" t="s">
        <v>437</v>
      </c>
      <c r="B21" s="1642"/>
      <c r="C21" s="1642"/>
      <c r="D21" s="1642"/>
      <c r="E21" s="1642"/>
      <c r="F21" s="1642"/>
      <c r="G21" s="1642"/>
      <c r="H21" s="1642"/>
      <c r="I21" s="1642"/>
      <c r="J21" s="1642"/>
      <c r="K21" s="1642"/>
      <c r="L21" s="1642"/>
      <c r="M21" s="1642"/>
      <c r="N21" s="1642"/>
      <c r="O21" s="1642"/>
      <c r="P21" s="1642"/>
      <c r="Q21" s="1642"/>
      <c r="R21" s="1642"/>
      <c r="S21" s="1642"/>
      <c r="T21" s="1642"/>
      <c r="U21" s="914"/>
      <c r="V21" s="914"/>
      <c r="W21" s="914"/>
      <c r="X21" s="914"/>
      <c r="Y21" s="914"/>
      <c r="Z21" s="914"/>
      <c r="AA21" s="914"/>
      <c r="AB21" s="914"/>
      <c r="AC21" s="914"/>
      <c r="AD21" s="914"/>
      <c r="AE21" s="914"/>
      <c r="AF21" s="914"/>
      <c r="AG21" s="914"/>
      <c r="AH21" s="914"/>
      <c r="AI21" s="914"/>
      <c r="AJ21" s="914"/>
      <c r="AK21" s="914"/>
      <c r="AL21" s="914"/>
      <c r="AM21" s="914"/>
      <c r="AN21" s="914"/>
      <c r="AO21" s="914"/>
      <c r="AP21" s="914"/>
      <c r="AQ21" s="914"/>
      <c r="AR21" s="914"/>
      <c r="AS21" s="914"/>
      <c r="AT21" s="914"/>
      <c r="AU21" s="914"/>
      <c r="AV21" s="914"/>
      <c r="AW21" s="914"/>
      <c r="AX21" s="914"/>
      <c r="AY21" s="914"/>
      <c r="AZ21" s="914"/>
      <c r="BA21" s="914"/>
      <c r="BB21" s="914"/>
      <c r="BC21" s="914"/>
      <c r="BD21" s="914"/>
      <c r="BE21" s="914"/>
      <c r="BF21" s="914"/>
      <c r="BG21" s="914"/>
      <c r="BH21" s="914"/>
      <c r="BI21" s="914"/>
      <c r="BJ21" s="914"/>
      <c r="BK21" s="914"/>
      <c r="BL21" s="914"/>
      <c r="BM21" s="914"/>
      <c r="BN21" s="914"/>
      <c r="BO21" s="914"/>
      <c r="BP21" s="914"/>
      <c r="BQ21" s="914"/>
      <c r="BR21" s="914"/>
      <c r="BS21" s="914"/>
      <c r="BT21" s="914"/>
    </row>
    <row r="22" spans="1:72" x14ac:dyDescent="0.2">
      <c r="A22" s="915"/>
      <c r="B22" s="915"/>
      <c r="C22" s="915"/>
      <c r="D22" s="915"/>
      <c r="E22" s="915"/>
      <c r="F22" s="915"/>
      <c r="G22" s="915"/>
      <c r="H22" s="915"/>
      <c r="I22" s="915"/>
      <c r="J22" s="915"/>
      <c r="K22" s="915"/>
      <c r="L22" s="915"/>
      <c r="M22" s="915"/>
      <c r="N22" s="915"/>
      <c r="O22" s="915"/>
      <c r="P22" s="915"/>
      <c r="Q22" s="915"/>
      <c r="R22" s="915"/>
      <c r="S22" s="915"/>
      <c r="T22" s="915"/>
      <c r="U22" s="916"/>
      <c r="V22" s="916"/>
      <c r="W22" s="916"/>
      <c r="X22" s="916"/>
      <c r="Y22" s="916"/>
      <c r="Z22" s="916"/>
      <c r="AA22" s="916"/>
      <c r="AB22" s="916"/>
      <c r="AC22" s="916"/>
      <c r="AD22" s="916"/>
      <c r="AE22" s="916"/>
      <c r="AF22" s="916"/>
      <c r="AG22" s="916"/>
      <c r="AH22" s="916"/>
      <c r="AI22" s="916"/>
      <c r="AJ22" s="916"/>
      <c r="AK22" s="916"/>
      <c r="AL22" s="916"/>
      <c r="AM22" s="916"/>
      <c r="AN22" s="916"/>
      <c r="AO22" s="916"/>
      <c r="AP22" s="916"/>
      <c r="AQ22" s="916"/>
      <c r="AR22" s="916"/>
      <c r="AS22" s="916"/>
      <c r="AT22" s="916"/>
      <c r="AU22" s="916"/>
      <c r="AV22" s="916"/>
      <c r="AW22" s="916"/>
      <c r="AX22" s="916"/>
      <c r="AY22" s="916"/>
      <c r="AZ22" s="916"/>
      <c r="BA22" s="916"/>
      <c r="BB22" s="916"/>
      <c r="BC22" s="916"/>
      <c r="BD22" s="916"/>
      <c r="BE22" s="916"/>
      <c r="BF22" s="916"/>
      <c r="BG22" s="916"/>
      <c r="BH22" s="916"/>
      <c r="BI22" s="916"/>
      <c r="BJ22" s="916"/>
      <c r="BK22" s="916"/>
      <c r="BL22" s="916"/>
      <c r="BM22" s="916"/>
      <c r="BN22" s="916"/>
      <c r="BO22" s="916"/>
      <c r="BP22" s="916"/>
      <c r="BQ22" s="916"/>
      <c r="BR22" s="916"/>
      <c r="BS22" s="916"/>
      <c r="BT22" s="916"/>
    </row>
    <row r="23" spans="1:72" ht="42.75" customHeight="1" x14ac:dyDescent="0.2">
      <c r="A23" s="1625" t="s">
        <v>757</v>
      </c>
      <c r="B23" s="1625"/>
      <c r="C23" s="1625"/>
      <c r="D23" s="1625"/>
      <c r="E23" s="1625"/>
      <c r="F23" s="1625"/>
      <c r="G23" s="1625"/>
      <c r="H23" s="1625"/>
      <c r="I23" s="1625"/>
      <c r="J23" s="1625"/>
      <c r="K23" s="1625"/>
      <c r="L23" s="1625"/>
      <c r="M23" s="1625"/>
      <c r="N23" s="1625"/>
      <c r="O23" s="1625"/>
      <c r="P23" s="1625"/>
      <c r="Q23" s="1625"/>
      <c r="R23" s="1625"/>
      <c r="S23" s="1625"/>
      <c r="T23" s="1625"/>
      <c r="U23" s="916"/>
      <c r="V23" s="916"/>
      <c r="W23" s="916"/>
      <c r="X23" s="916"/>
      <c r="Y23" s="916"/>
      <c r="Z23" s="916"/>
      <c r="AA23" s="916"/>
      <c r="AB23" s="916"/>
      <c r="AC23" s="916"/>
      <c r="AD23" s="916"/>
      <c r="AE23" s="916"/>
      <c r="AF23" s="916"/>
      <c r="AG23" s="916"/>
      <c r="AH23" s="916"/>
      <c r="AI23" s="916"/>
      <c r="AJ23" s="916"/>
      <c r="AK23" s="916"/>
      <c r="AL23" s="916"/>
      <c r="AM23" s="916"/>
      <c r="AN23" s="916"/>
      <c r="AO23" s="916"/>
      <c r="AP23" s="916"/>
      <c r="AQ23" s="916"/>
      <c r="AR23" s="916"/>
      <c r="AS23" s="916"/>
      <c r="AT23" s="916"/>
      <c r="AU23" s="916"/>
      <c r="AV23" s="916"/>
      <c r="AW23" s="916"/>
      <c r="AX23" s="916"/>
      <c r="AY23" s="916"/>
      <c r="AZ23" s="916"/>
      <c r="BA23" s="916"/>
      <c r="BB23" s="916"/>
      <c r="BC23" s="916"/>
      <c r="BD23" s="916"/>
      <c r="BE23" s="916"/>
      <c r="BF23" s="916"/>
      <c r="BG23" s="916"/>
      <c r="BH23" s="916"/>
      <c r="BI23" s="916"/>
      <c r="BJ23" s="916"/>
      <c r="BK23" s="916"/>
      <c r="BL23" s="916"/>
      <c r="BM23" s="916"/>
      <c r="BN23" s="916"/>
      <c r="BO23" s="916"/>
      <c r="BP23" s="916"/>
      <c r="BQ23" s="916"/>
      <c r="BR23" s="916"/>
      <c r="BS23" s="916"/>
      <c r="BT23" s="916"/>
    </row>
    <row r="24" spans="1:72" x14ac:dyDescent="0.2">
      <c r="A24" s="916"/>
      <c r="B24" s="916"/>
      <c r="C24" s="916"/>
      <c r="D24" s="916"/>
      <c r="E24" s="916"/>
      <c r="F24" s="916"/>
      <c r="G24" s="916"/>
      <c r="H24" s="916"/>
      <c r="I24" s="916"/>
      <c r="J24" s="916"/>
      <c r="K24" s="916"/>
      <c r="L24" s="916"/>
      <c r="M24" s="916"/>
      <c r="N24" s="916"/>
      <c r="O24" s="916"/>
      <c r="P24" s="916"/>
      <c r="Q24" s="916"/>
      <c r="R24" s="916"/>
      <c r="S24" s="916"/>
      <c r="T24" s="916"/>
      <c r="U24" s="916"/>
      <c r="V24" s="916"/>
      <c r="W24" s="916"/>
      <c r="X24" s="916"/>
      <c r="Y24" s="916"/>
      <c r="Z24" s="916"/>
      <c r="AA24" s="916"/>
      <c r="AB24" s="916"/>
      <c r="AC24" s="916"/>
      <c r="AD24" s="916"/>
      <c r="AE24" s="916"/>
      <c r="AF24" s="916"/>
      <c r="AG24" s="916"/>
      <c r="AH24" s="916"/>
      <c r="AI24" s="916"/>
      <c r="AJ24" s="916"/>
      <c r="AK24" s="916"/>
      <c r="AL24" s="916"/>
      <c r="AM24" s="916"/>
      <c r="AN24" s="916"/>
      <c r="AO24" s="916"/>
      <c r="AP24" s="916"/>
      <c r="AQ24" s="916"/>
      <c r="AR24" s="916"/>
      <c r="AS24" s="916"/>
      <c r="AT24" s="916"/>
      <c r="AU24" s="916"/>
      <c r="AV24" s="916"/>
      <c r="AW24" s="916"/>
      <c r="AX24" s="916"/>
      <c r="AY24" s="916"/>
      <c r="AZ24" s="916"/>
      <c r="BA24" s="916"/>
      <c r="BB24" s="916"/>
      <c r="BC24" s="916"/>
      <c r="BD24" s="916"/>
      <c r="BE24" s="916"/>
      <c r="BF24" s="916"/>
      <c r="BG24" s="916"/>
      <c r="BH24" s="916"/>
      <c r="BI24" s="916"/>
      <c r="BJ24" s="916"/>
      <c r="BK24" s="916"/>
      <c r="BL24" s="916"/>
      <c r="BM24" s="916"/>
      <c r="BN24" s="916"/>
      <c r="BO24" s="916"/>
      <c r="BP24" s="916"/>
      <c r="BQ24" s="916"/>
      <c r="BR24" s="916"/>
      <c r="BS24" s="916"/>
      <c r="BT24" s="916"/>
    </row>
    <row r="25" spans="1:72" ht="15" x14ac:dyDescent="0.2">
      <c r="A25" s="1643" t="s">
        <v>1115</v>
      </c>
      <c r="B25" s="1643"/>
      <c r="C25" s="1643"/>
      <c r="D25" s="1643"/>
      <c r="E25" s="1643"/>
      <c r="F25" s="1643"/>
      <c r="G25" s="1643"/>
      <c r="H25" s="1643"/>
      <c r="I25" s="1643"/>
      <c r="J25" s="1643"/>
      <c r="K25" s="1643"/>
      <c r="L25" s="916"/>
      <c r="M25" s="916"/>
      <c r="N25" s="916"/>
      <c r="O25" s="916"/>
      <c r="P25" s="916"/>
      <c r="Q25" s="916"/>
      <c r="R25" s="916"/>
      <c r="S25" s="916"/>
      <c r="T25" s="916"/>
      <c r="U25" s="916"/>
      <c r="V25" s="916"/>
      <c r="W25" s="916"/>
      <c r="X25" s="916"/>
      <c r="Y25" s="916"/>
      <c r="Z25" s="916"/>
      <c r="AA25" s="916"/>
      <c r="AB25" s="916"/>
      <c r="AC25" s="916"/>
      <c r="AD25" s="916"/>
      <c r="AE25" s="916"/>
      <c r="AF25" s="916"/>
      <c r="AG25" s="916"/>
      <c r="AH25" s="916"/>
      <c r="AI25" s="916"/>
      <c r="AJ25" s="916"/>
      <c r="AK25" s="916"/>
      <c r="AL25" s="916"/>
      <c r="AM25" s="916"/>
      <c r="AN25" s="916"/>
      <c r="AO25" s="916"/>
      <c r="AP25" s="916"/>
      <c r="AQ25" s="916"/>
      <c r="AR25" s="916"/>
      <c r="AS25" s="916"/>
      <c r="AT25" s="916"/>
      <c r="AU25" s="916"/>
      <c r="AV25" s="916"/>
      <c r="AW25" s="916"/>
      <c r="AX25" s="916"/>
      <c r="AY25" s="916"/>
      <c r="AZ25" s="916"/>
      <c r="BA25" s="916"/>
      <c r="BB25" s="916"/>
      <c r="BC25" s="916"/>
      <c r="BD25" s="916"/>
      <c r="BE25" s="916"/>
      <c r="BF25" s="916"/>
      <c r="BG25" s="916"/>
      <c r="BH25" s="916"/>
      <c r="BI25" s="916"/>
      <c r="BJ25" s="916"/>
      <c r="BK25" s="916"/>
      <c r="BL25" s="916"/>
      <c r="BM25" s="916"/>
      <c r="BN25" s="916"/>
      <c r="BO25" s="916"/>
      <c r="BP25" s="916"/>
      <c r="BQ25" s="916"/>
      <c r="BR25" s="916"/>
      <c r="BS25" s="916"/>
      <c r="BT25" s="916"/>
    </row>
    <row r="26" spans="1:72" ht="13.5" thickBot="1" x14ac:dyDescent="0.25">
      <c r="A26" s="1644"/>
      <c r="B26" s="1644"/>
      <c r="C26" s="1644"/>
      <c r="D26" s="1644"/>
      <c r="E26" s="1644"/>
      <c r="F26" s="1644"/>
      <c r="G26" s="1644"/>
      <c r="H26" s="1644"/>
      <c r="I26" s="1644"/>
      <c r="J26" s="1644"/>
      <c r="K26" s="1644"/>
      <c r="L26" s="916"/>
      <c r="M26" s="916"/>
      <c r="N26" s="916"/>
      <c r="O26" s="916"/>
      <c r="P26" s="916"/>
      <c r="Q26" s="916"/>
      <c r="R26" s="916"/>
      <c r="S26" s="916"/>
      <c r="T26" s="916"/>
      <c r="U26" s="916"/>
      <c r="V26" s="916"/>
      <c r="W26" s="916"/>
      <c r="X26" s="916"/>
      <c r="Y26" s="916"/>
      <c r="Z26" s="916"/>
      <c r="AA26" s="916"/>
      <c r="AB26" s="916"/>
      <c r="AC26" s="916"/>
      <c r="AD26" s="916"/>
      <c r="AE26" s="916"/>
      <c r="AF26" s="916"/>
      <c r="AG26" s="916"/>
      <c r="AH26" s="916"/>
      <c r="AI26" s="916"/>
      <c r="AJ26" s="916"/>
      <c r="AK26" s="916"/>
      <c r="AL26" s="916"/>
      <c r="AM26" s="916"/>
      <c r="AN26" s="916"/>
      <c r="AO26" s="916"/>
      <c r="AP26" s="916"/>
      <c r="AQ26" s="916"/>
      <c r="AR26" s="916"/>
      <c r="AS26" s="916"/>
      <c r="AT26" s="916"/>
      <c r="AU26" s="916"/>
      <c r="AV26" s="916"/>
      <c r="AW26" s="916"/>
      <c r="AX26" s="916"/>
      <c r="AY26" s="916"/>
      <c r="AZ26" s="916"/>
      <c r="BA26" s="916"/>
      <c r="BB26" s="916"/>
      <c r="BC26" s="916"/>
      <c r="BD26" s="916"/>
      <c r="BE26" s="916"/>
      <c r="BF26" s="916"/>
      <c r="BG26" s="916"/>
      <c r="BH26" s="916"/>
      <c r="BI26" s="916"/>
      <c r="BJ26" s="916"/>
      <c r="BK26" s="916"/>
      <c r="BL26" s="916"/>
      <c r="BM26" s="916"/>
      <c r="BN26" s="916"/>
      <c r="BO26" s="916"/>
      <c r="BP26" s="916"/>
      <c r="BQ26" s="916"/>
      <c r="BR26" s="916"/>
      <c r="BS26" s="916"/>
      <c r="BT26" s="916"/>
    </row>
    <row r="27" spans="1:72" ht="38.25" x14ac:dyDescent="0.2">
      <c r="A27" s="917"/>
      <c r="B27" s="918" t="s">
        <v>758</v>
      </c>
      <c r="C27" s="918" t="s">
        <v>759</v>
      </c>
      <c r="D27" s="918" t="s">
        <v>1117</v>
      </c>
      <c r="E27" s="1645"/>
      <c r="F27" s="1645"/>
      <c r="G27" s="1645"/>
      <c r="H27" s="1645"/>
      <c r="I27" s="1645"/>
      <c r="J27" s="1611" t="s">
        <v>760</v>
      </c>
      <c r="K27" s="1612"/>
      <c r="L27" s="916"/>
      <c r="M27" s="916"/>
      <c r="N27" s="916"/>
      <c r="O27" s="916"/>
      <c r="P27" s="916"/>
      <c r="Q27" s="916"/>
      <c r="R27" s="916"/>
      <c r="S27" s="916"/>
      <c r="T27" s="916"/>
      <c r="U27" s="916"/>
      <c r="V27" s="916"/>
      <c r="W27" s="916"/>
      <c r="X27" s="916"/>
      <c r="Y27" s="916"/>
      <c r="Z27" s="916"/>
      <c r="AA27" s="916"/>
      <c r="AB27" s="916"/>
      <c r="AC27" s="916"/>
      <c r="AD27" s="916"/>
      <c r="AE27" s="916"/>
      <c r="AF27" s="916"/>
      <c r="AG27" s="916"/>
      <c r="AH27" s="916"/>
      <c r="AI27" s="916"/>
      <c r="AJ27" s="916"/>
      <c r="AK27" s="916"/>
      <c r="AL27" s="916"/>
      <c r="AM27" s="916"/>
      <c r="AN27" s="916"/>
      <c r="AO27" s="916"/>
      <c r="AP27" s="916"/>
      <c r="AQ27" s="916"/>
      <c r="AR27" s="916"/>
      <c r="AS27" s="916"/>
      <c r="AT27" s="916"/>
      <c r="AU27" s="916"/>
      <c r="AV27" s="916"/>
      <c r="AW27" s="916"/>
      <c r="AX27" s="916"/>
      <c r="AY27" s="916"/>
      <c r="AZ27" s="916"/>
      <c r="BA27" s="916"/>
      <c r="BB27" s="916"/>
      <c r="BC27" s="916"/>
      <c r="BD27" s="916"/>
      <c r="BE27" s="916"/>
      <c r="BF27" s="916"/>
      <c r="BG27" s="916"/>
      <c r="BH27" s="916"/>
      <c r="BI27" s="916"/>
      <c r="BJ27" s="916"/>
      <c r="BK27" s="916"/>
      <c r="BL27" s="916"/>
      <c r="BM27" s="916"/>
      <c r="BN27" s="916"/>
      <c r="BO27" s="916"/>
      <c r="BP27" s="916"/>
      <c r="BQ27" s="916"/>
      <c r="BR27" s="916"/>
      <c r="BS27" s="916"/>
      <c r="BT27" s="916"/>
    </row>
    <row r="28" spans="1:72" x14ac:dyDescent="0.2">
      <c r="A28" s="919" t="s">
        <v>569</v>
      </c>
      <c r="B28" s="920">
        <f>G40/F40</f>
        <v>1.0482288241385485</v>
      </c>
      <c r="C28" s="920">
        <f>H40/G40</f>
        <v>1.0526415477404851</v>
      </c>
      <c r="D28" s="920">
        <f>I40/H40</f>
        <v>1.0160295046377366</v>
      </c>
      <c r="E28" s="1613"/>
      <c r="F28" s="1613"/>
      <c r="G28" s="1613"/>
      <c r="H28" s="1613"/>
      <c r="I28" s="1613"/>
      <c r="J28" s="1613" t="s">
        <v>1085</v>
      </c>
      <c r="K28" s="1614" t="s">
        <v>1093</v>
      </c>
      <c r="L28" s="916"/>
      <c r="M28" s="916"/>
      <c r="N28" s="916"/>
      <c r="O28" s="916"/>
      <c r="P28" s="916"/>
      <c r="Q28" s="916"/>
      <c r="R28" s="916"/>
      <c r="S28" s="916"/>
      <c r="T28" s="916"/>
      <c r="U28" s="916"/>
      <c r="V28" s="916"/>
      <c r="W28" s="916"/>
      <c r="X28" s="916"/>
      <c r="Y28" s="916"/>
      <c r="Z28" s="916"/>
      <c r="AA28" s="916"/>
      <c r="AB28" s="916"/>
      <c r="AC28" s="916"/>
      <c r="AD28" s="916"/>
      <c r="AE28" s="916"/>
      <c r="AF28" s="916"/>
      <c r="AG28" s="916"/>
      <c r="AH28" s="916"/>
      <c r="AI28" s="916"/>
      <c r="AJ28" s="916"/>
      <c r="AK28" s="916"/>
      <c r="AL28" s="916"/>
      <c r="AM28" s="916"/>
      <c r="AN28" s="916"/>
      <c r="AO28" s="916"/>
      <c r="AP28" s="916"/>
      <c r="AQ28" s="916"/>
      <c r="AR28" s="916"/>
      <c r="AS28" s="916"/>
      <c r="AT28" s="916"/>
      <c r="AU28" s="916"/>
      <c r="AV28" s="916"/>
      <c r="AW28" s="916"/>
      <c r="AX28" s="916"/>
      <c r="AY28" s="916"/>
      <c r="AZ28" s="916"/>
      <c r="BA28" s="916"/>
      <c r="BB28" s="916"/>
      <c r="BC28" s="916"/>
      <c r="BD28" s="916"/>
      <c r="BE28" s="916"/>
      <c r="BF28" s="916"/>
      <c r="BG28" s="916"/>
      <c r="BH28" s="916"/>
      <c r="BI28" s="916"/>
      <c r="BJ28" s="916"/>
      <c r="BK28" s="916"/>
      <c r="BL28" s="916"/>
      <c r="BM28" s="916"/>
      <c r="BN28" s="916"/>
      <c r="BO28" s="916"/>
      <c r="BP28" s="916"/>
      <c r="BQ28" s="916"/>
      <c r="BR28" s="916"/>
      <c r="BS28" s="916"/>
      <c r="BT28" s="916"/>
    </row>
    <row r="29" spans="1:72" x14ac:dyDescent="0.2">
      <c r="A29" s="921" t="s">
        <v>570</v>
      </c>
      <c r="B29" s="922">
        <f t="shared" ref="B29:B35" si="0">G41/F41</f>
        <v>1.1441282284851997</v>
      </c>
      <c r="C29" s="922">
        <f t="shared" ref="C29:C35" si="1">H41/G41</f>
        <v>1.1360328119345371</v>
      </c>
      <c r="D29" s="922">
        <f t="shared" ref="D29:D35" si="2">I41/H41</f>
        <v>1.0363018547359477</v>
      </c>
      <c r="E29" s="1613"/>
      <c r="F29" s="1613"/>
      <c r="G29" s="1613"/>
      <c r="H29" s="1613"/>
      <c r="I29" s="1613"/>
      <c r="J29" s="1613"/>
      <c r="K29" s="1614"/>
      <c r="L29" s="916"/>
      <c r="M29" s="916"/>
      <c r="N29" s="916"/>
      <c r="O29" s="916"/>
      <c r="P29" s="916"/>
      <c r="Q29" s="916"/>
      <c r="R29" s="916"/>
      <c r="S29" s="916"/>
      <c r="T29" s="916"/>
      <c r="U29" s="916"/>
      <c r="V29" s="916"/>
      <c r="W29" s="916"/>
      <c r="X29" s="916"/>
      <c r="Y29" s="916"/>
      <c r="Z29" s="916"/>
      <c r="AA29" s="916"/>
      <c r="AB29" s="916"/>
      <c r="AC29" s="916"/>
      <c r="AD29" s="916"/>
      <c r="AE29" s="916"/>
      <c r="AF29" s="916"/>
      <c r="AG29" s="916"/>
      <c r="AH29" s="916"/>
      <c r="AI29" s="916"/>
      <c r="AJ29" s="916"/>
      <c r="AK29" s="916"/>
      <c r="AL29" s="916"/>
      <c r="AM29" s="916"/>
      <c r="AN29" s="916"/>
      <c r="AO29" s="916"/>
      <c r="AP29" s="916"/>
      <c r="AQ29" s="916"/>
      <c r="AR29" s="916"/>
      <c r="AS29" s="916"/>
      <c r="AT29" s="916"/>
      <c r="AU29" s="916"/>
      <c r="AV29" s="916"/>
      <c r="AW29" s="916"/>
      <c r="AX29" s="916"/>
      <c r="AY29" s="916"/>
      <c r="AZ29" s="916"/>
      <c r="BA29" s="916"/>
      <c r="BB29" s="916"/>
      <c r="BC29" s="916"/>
      <c r="BD29" s="916"/>
      <c r="BE29" s="916"/>
      <c r="BF29" s="916"/>
      <c r="BG29" s="916"/>
      <c r="BH29" s="916"/>
      <c r="BI29" s="916"/>
      <c r="BJ29" s="916"/>
      <c r="BK29" s="916"/>
      <c r="BL29" s="916"/>
      <c r="BM29" s="916"/>
      <c r="BN29" s="916"/>
      <c r="BO29" s="916"/>
      <c r="BP29" s="916"/>
      <c r="BQ29" s="916"/>
      <c r="BR29" s="916"/>
      <c r="BS29" s="916"/>
      <c r="BT29" s="916"/>
    </row>
    <row r="30" spans="1:72" x14ac:dyDescent="0.2">
      <c r="A30" s="919" t="s">
        <v>571</v>
      </c>
      <c r="B30" s="920">
        <f t="shared" si="0"/>
        <v>1.1252277801242987</v>
      </c>
      <c r="C30" s="920">
        <f t="shared" si="1"/>
        <v>1.1222249629995065</v>
      </c>
      <c r="D30" s="920">
        <f t="shared" si="2"/>
        <v>1.0285793469898747</v>
      </c>
      <c r="E30" s="1613"/>
      <c r="F30" s="1613"/>
      <c r="G30" s="1613"/>
      <c r="H30" s="1613"/>
      <c r="I30" s="1613"/>
      <c r="J30" s="923">
        <v>1991</v>
      </c>
      <c r="K30" s="924">
        <v>84.5</v>
      </c>
      <c r="L30" s="916"/>
      <c r="M30" s="916"/>
      <c r="N30" s="916"/>
      <c r="O30" s="916"/>
      <c r="P30" s="916"/>
      <c r="Q30" s="916"/>
      <c r="R30" s="916"/>
      <c r="S30" s="916"/>
      <c r="T30" s="916"/>
      <c r="U30" s="916"/>
      <c r="V30" s="916"/>
      <c r="W30" s="916"/>
      <c r="X30" s="916"/>
      <c r="Y30" s="916"/>
      <c r="Z30" s="916"/>
      <c r="AA30" s="916"/>
      <c r="AB30" s="916"/>
      <c r="AC30" s="916"/>
      <c r="AD30" s="916"/>
      <c r="AE30" s="916"/>
      <c r="AF30" s="916"/>
      <c r="AG30" s="916"/>
      <c r="AH30" s="916"/>
      <c r="AI30" s="916"/>
      <c r="AJ30" s="916"/>
      <c r="AK30" s="916"/>
      <c r="AL30" s="916"/>
      <c r="AM30" s="916"/>
      <c r="AN30" s="916"/>
      <c r="AO30" s="916"/>
      <c r="AP30" s="916"/>
      <c r="AQ30" s="916"/>
      <c r="AR30" s="916"/>
      <c r="AS30" s="916"/>
      <c r="AT30" s="916"/>
      <c r="AU30" s="916"/>
      <c r="AV30" s="916"/>
      <c r="AW30" s="916"/>
      <c r="AX30" s="916"/>
      <c r="AY30" s="916"/>
      <c r="AZ30" s="916"/>
      <c r="BA30" s="916"/>
      <c r="BB30" s="916"/>
      <c r="BC30" s="916"/>
      <c r="BD30" s="916"/>
      <c r="BE30" s="916"/>
      <c r="BF30" s="916"/>
      <c r="BG30" s="916"/>
      <c r="BH30" s="916"/>
      <c r="BI30" s="916"/>
      <c r="BJ30" s="916"/>
      <c r="BK30" s="916"/>
      <c r="BL30" s="916"/>
      <c r="BM30" s="916"/>
      <c r="BN30" s="916"/>
      <c r="BO30" s="916"/>
      <c r="BP30" s="916"/>
      <c r="BQ30" s="916"/>
      <c r="BR30" s="916"/>
      <c r="BS30" s="916"/>
      <c r="BT30" s="916"/>
    </row>
    <row r="31" spans="1:72" x14ac:dyDescent="0.2">
      <c r="A31" s="921" t="s">
        <v>572</v>
      </c>
      <c r="B31" s="922">
        <f t="shared" si="0"/>
        <v>1.0687839040840581</v>
      </c>
      <c r="C31" s="922">
        <f t="shared" si="1"/>
        <v>1.0213566498986533</v>
      </c>
      <c r="D31" s="922">
        <f t="shared" si="2"/>
        <v>1.0031375164207406</v>
      </c>
      <c r="E31" s="1613"/>
      <c r="F31" s="1613"/>
      <c r="G31" s="1613"/>
      <c r="H31" s="1613"/>
      <c r="I31" s="1613"/>
      <c r="J31" s="925">
        <v>1992</v>
      </c>
      <c r="K31" s="926">
        <v>86.4</v>
      </c>
      <c r="L31" s="916"/>
      <c r="M31" s="916"/>
      <c r="N31" s="916"/>
      <c r="O31" s="916"/>
      <c r="P31" s="916"/>
      <c r="Q31" s="916"/>
      <c r="R31" s="916"/>
      <c r="S31" s="916"/>
      <c r="T31" s="916"/>
      <c r="U31" s="916"/>
      <c r="V31" s="916"/>
      <c r="W31" s="916"/>
      <c r="X31" s="916"/>
      <c r="Y31" s="916"/>
      <c r="Z31" s="916"/>
      <c r="AA31" s="916"/>
      <c r="AB31" s="916"/>
      <c r="AC31" s="916"/>
      <c r="AD31" s="916"/>
      <c r="AE31" s="916"/>
      <c r="AF31" s="916"/>
      <c r="AG31" s="916"/>
      <c r="AH31" s="916"/>
      <c r="AI31" s="916"/>
      <c r="AJ31" s="916"/>
      <c r="AK31" s="916"/>
      <c r="AL31" s="916"/>
      <c r="AM31" s="916"/>
      <c r="AN31" s="916"/>
      <c r="AO31" s="916"/>
      <c r="AP31" s="916"/>
      <c r="AQ31" s="916"/>
      <c r="AR31" s="916"/>
      <c r="AS31" s="916"/>
      <c r="AT31" s="916"/>
      <c r="AU31" s="916"/>
      <c r="AV31" s="916"/>
      <c r="AW31" s="916"/>
      <c r="AX31" s="916"/>
      <c r="AY31" s="916"/>
      <c r="AZ31" s="916"/>
      <c r="BA31" s="916"/>
      <c r="BB31" s="916"/>
      <c r="BC31" s="916"/>
      <c r="BD31" s="916"/>
      <c r="BE31" s="916"/>
      <c r="BF31" s="916"/>
      <c r="BG31" s="916"/>
      <c r="BH31" s="916"/>
      <c r="BI31" s="916"/>
      <c r="BJ31" s="916"/>
      <c r="BK31" s="916"/>
      <c r="BL31" s="916"/>
      <c r="BM31" s="916"/>
      <c r="BN31" s="916"/>
      <c r="BO31" s="916"/>
      <c r="BP31" s="916"/>
      <c r="BQ31" s="916"/>
      <c r="BR31" s="916"/>
      <c r="BS31" s="916"/>
      <c r="BT31" s="916"/>
    </row>
    <row r="32" spans="1:72" x14ac:dyDescent="0.2">
      <c r="A32" s="919" t="s">
        <v>573</v>
      </c>
      <c r="B32" s="920">
        <f t="shared" si="0"/>
        <v>1.03736526166104</v>
      </c>
      <c r="C32" s="920">
        <f t="shared" si="1"/>
        <v>1.0084486821562659</v>
      </c>
      <c r="D32" s="920">
        <f t="shared" si="2"/>
        <v>1.0010687685088917</v>
      </c>
      <c r="E32" s="1613"/>
      <c r="F32" s="1613"/>
      <c r="G32" s="1613"/>
      <c r="H32" s="1613"/>
      <c r="I32" s="1613"/>
      <c r="J32" s="923">
        <v>1993</v>
      </c>
      <c r="K32" s="924">
        <v>88.4</v>
      </c>
      <c r="L32" s="916"/>
      <c r="M32" s="916"/>
      <c r="N32" s="916"/>
      <c r="O32" s="916"/>
      <c r="P32" s="916"/>
      <c r="Q32" s="916"/>
      <c r="R32" s="916"/>
      <c r="S32" s="916"/>
      <c r="T32" s="916"/>
      <c r="U32" s="916"/>
      <c r="V32" s="916"/>
      <c r="W32" s="916"/>
      <c r="X32" s="916"/>
      <c r="Y32" s="916"/>
      <c r="Z32" s="916"/>
      <c r="AA32" s="916"/>
      <c r="AB32" s="916"/>
      <c r="AC32" s="916"/>
      <c r="AD32" s="916"/>
      <c r="AE32" s="916"/>
      <c r="AF32" s="916"/>
      <c r="AG32" s="916"/>
      <c r="AH32" s="916"/>
      <c r="AI32" s="916"/>
      <c r="AJ32" s="916"/>
      <c r="AK32" s="916"/>
      <c r="AL32" s="916"/>
      <c r="AM32" s="916"/>
      <c r="AN32" s="916"/>
      <c r="AO32" s="916"/>
      <c r="AP32" s="916"/>
      <c r="AQ32" s="916"/>
      <c r="AR32" s="916"/>
      <c r="AS32" s="916"/>
      <c r="AT32" s="916"/>
      <c r="AU32" s="916"/>
      <c r="AV32" s="916"/>
      <c r="AW32" s="916"/>
      <c r="AX32" s="916"/>
      <c r="AY32" s="916"/>
      <c r="AZ32" s="916"/>
      <c r="BA32" s="916"/>
      <c r="BB32" s="916"/>
      <c r="BC32" s="916"/>
      <c r="BD32" s="916"/>
      <c r="BE32" s="916"/>
      <c r="BF32" s="916"/>
      <c r="BG32" s="916"/>
      <c r="BH32" s="916"/>
      <c r="BI32" s="916"/>
      <c r="BJ32" s="916"/>
      <c r="BK32" s="916"/>
      <c r="BL32" s="916"/>
      <c r="BM32" s="916"/>
      <c r="BN32" s="916"/>
      <c r="BO32" s="916"/>
      <c r="BP32" s="916"/>
      <c r="BQ32" s="916"/>
      <c r="BR32" s="916"/>
      <c r="BS32" s="916"/>
      <c r="BT32" s="916"/>
    </row>
    <row r="33" spans="1:72" x14ac:dyDescent="0.2">
      <c r="A33" s="921" t="s">
        <v>574</v>
      </c>
      <c r="B33" s="922">
        <f t="shared" si="0"/>
        <v>0.975071533164794</v>
      </c>
      <c r="C33" s="922">
        <f t="shared" si="1"/>
        <v>1.0087393571750138</v>
      </c>
      <c r="D33" s="922">
        <f t="shared" si="2"/>
        <v>0.99663324890666094</v>
      </c>
      <c r="E33" s="1613"/>
      <c r="F33" s="1613"/>
      <c r="G33" s="1613"/>
      <c r="H33" s="1613"/>
      <c r="I33" s="1613"/>
      <c r="J33" s="925">
        <v>1994</v>
      </c>
      <c r="K33" s="926">
        <v>90.3</v>
      </c>
      <c r="L33" s="916"/>
      <c r="M33" s="916"/>
      <c r="N33" s="916"/>
      <c r="O33" s="916"/>
      <c r="P33" s="916"/>
      <c r="Q33" s="916"/>
      <c r="R33" s="916"/>
      <c r="S33" s="916"/>
      <c r="T33" s="916"/>
      <c r="U33" s="916"/>
      <c r="V33" s="916"/>
      <c r="W33" s="916"/>
      <c r="X33" s="916"/>
      <c r="Y33" s="916"/>
      <c r="Z33" s="916"/>
      <c r="AA33" s="916"/>
      <c r="AB33" s="916"/>
      <c r="AC33" s="916"/>
      <c r="AD33" s="916"/>
      <c r="AE33" s="916"/>
      <c r="AF33" s="916"/>
      <c r="AG33" s="916"/>
      <c r="AH33" s="916"/>
      <c r="AI33" s="916"/>
      <c r="AJ33" s="916"/>
      <c r="AK33" s="916"/>
      <c r="AL33" s="916"/>
      <c r="AM33" s="916"/>
      <c r="AN33" s="916"/>
      <c r="AO33" s="916"/>
      <c r="AP33" s="916"/>
      <c r="AQ33" s="916"/>
      <c r="AR33" s="916"/>
      <c r="AS33" s="916"/>
      <c r="AT33" s="916"/>
      <c r="AU33" s="916"/>
      <c r="AV33" s="916"/>
      <c r="AW33" s="916"/>
      <c r="AX33" s="916"/>
      <c r="AY33" s="916"/>
      <c r="AZ33" s="916"/>
      <c r="BA33" s="916"/>
      <c r="BB33" s="916"/>
      <c r="BC33" s="916"/>
      <c r="BD33" s="916"/>
      <c r="BE33" s="916"/>
      <c r="BF33" s="916"/>
      <c r="BG33" s="916"/>
      <c r="BH33" s="916"/>
      <c r="BI33" s="916"/>
      <c r="BJ33" s="916"/>
      <c r="BK33" s="916"/>
      <c r="BL33" s="916"/>
      <c r="BM33" s="916"/>
      <c r="BN33" s="916"/>
      <c r="BO33" s="916"/>
      <c r="BP33" s="916"/>
      <c r="BQ33" s="916"/>
      <c r="BR33" s="916"/>
      <c r="BS33" s="916"/>
      <c r="BT33" s="916"/>
    </row>
    <row r="34" spans="1:72" x14ac:dyDescent="0.2">
      <c r="A34" s="919" t="s">
        <v>575</v>
      </c>
      <c r="B34" s="920">
        <f t="shared" si="0"/>
        <v>1.0938371922267365</v>
      </c>
      <c r="C34" s="920">
        <f t="shared" si="1"/>
        <v>1.0852680569229392</v>
      </c>
      <c r="D34" s="920">
        <f t="shared" si="2"/>
        <v>1.0142672175626977</v>
      </c>
      <c r="E34" s="1613"/>
      <c r="F34" s="1613"/>
      <c r="G34" s="1613"/>
      <c r="H34" s="1613"/>
      <c r="I34" s="1613"/>
      <c r="J34" s="923">
        <v>1995</v>
      </c>
      <c r="K34" s="924">
        <v>92.1</v>
      </c>
      <c r="L34" s="916"/>
      <c r="M34" s="916"/>
      <c r="N34" s="916"/>
      <c r="O34" s="916"/>
      <c r="P34" s="916"/>
      <c r="Q34" s="916"/>
      <c r="R34" s="916"/>
      <c r="S34" s="916"/>
      <c r="T34" s="916"/>
      <c r="U34" s="916"/>
      <c r="V34" s="916"/>
      <c r="W34" s="916"/>
      <c r="X34" s="916"/>
      <c r="Y34" s="916"/>
      <c r="Z34" s="916"/>
      <c r="AA34" s="916"/>
      <c r="AB34" s="916"/>
      <c r="AC34" s="916"/>
      <c r="AD34" s="916"/>
      <c r="AE34" s="916"/>
      <c r="AF34" s="916"/>
      <c r="AG34" s="916"/>
      <c r="AH34" s="916"/>
      <c r="AI34" s="916"/>
      <c r="AJ34" s="916"/>
      <c r="AK34" s="916"/>
      <c r="AL34" s="916"/>
      <c r="AM34" s="916"/>
      <c r="AN34" s="916"/>
      <c r="AO34" s="916"/>
      <c r="AP34" s="916"/>
      <c r="AQ34" s="916"/>
      <c r="AR34" s="916"/>
      <c r="AS34" s="916"/>
      <c r="AT34" s="916"/>
      <c r="AU34" s="916"/>
      <c r="AV34" s="916"/>
      <c r="AW34" s="916"/>
      <c r="AX34" s="916"/>
      <c r="AY34" s="916"/>
      <c r="AZ34" s="916"/>
      <c r="BA34" s="916"/>
      <c r="BB34" s="916"/>
      <c r="BC34" s="916"/>
      <c r="BD34" s="916"/>
      <c r="BE34" s="916"/>
      <c r="BF34" s="916"/>
      <c r="BG34" s="916"/>
      <c r="BH34" s="916"/>
      <c r="BI34" s="916"/>
      <c r="BJ34" s="916"/>
      <c r="BK34" s="916"/>
      <c r="BL34" s="916"/>
      <c r="BM34" s="916"/>
      <c r="BN34" s="916"/>
      <c r="BO34" s="916"/>
      <c r="BP34" s="916"/>
      <c r="BQ34" s="916"/>
      <c r="BR34" s="916"/>
      <c r="BS34" s="916"/>
      <c r="BT34" s="916"/>
    </row>
    <row r="35" spans="1:72" x14ac:dyDescent="0.2">
      <c r="A35" s="921" t="s">
        <v>312</v>
      </c>
      <c r="B35" s="922">
        <f t="shared" si="0"/>
        <v>1.0046194107582356</v>
      </c>
      <c r="C35" s="922">
        <f t="shared" si="1"/>
        <v>1.003094645903579</v>
      </c>
      <c r="D35" s="922">
        <f t="shared" si="2"/>
        <v>0.99710816742279029</v>
      </c>
      <c r="E35" s="1613"/>
      <c r="F35" s="1613"/>
      <c r="G35" s="1613"/>
      <c r="H35" s="1613"/>
      <c r="I35" s="1613"/>
      <c r="J35" s="925">
        <v>1996</v>
      </c>
      <c r="K35" s="926">
        <v>93.9</v>
      </c>
      <c r="L35" s="916"/>
      <c r="M35" s="916"/>
      <c r="N35" s="916"/>
      <c r="O35" s="916"/>
      <c r="P35" s="916"/>
      <c r="Q35" s="916"/>
      <c r="R35" s="916"/>
      <c r="S35" s="916"/>
      <c r="T35" s="916"/>
      <c r="U35" s="916"/>
      <c r="V35" s="916"/>
      <c r="W35" s="916"/>
      <c r="X35" s="916"/>
      <c r="Y35" s="916"/>
      <c r="Z35" s="916"/>
      <c r="AA35" s="916"/>
      <c r="AB35" s="916"/>
      <c r="AC35" s="916"/>
      <c r="AD35" s="916"/>
      <c r="AE35" s="916"/>
      <c r="AF35" s="916"/>
      <c r="AG35" s="916"/>
      <c r="AH35" s="916"/>
      <c r="AI35" s="916"/>
      <c r="AJ35" s="916"/>
      <c r="AK35" s="916"/>
      <c r="AL35" s="916"/>
      <c r="AM35" s="916"/>
      <c r="AN35" s="916"/>
      <c r="AO35" s="916"/>
      <c r="AP35" s="916"/>
      <c r="AQ35" s="916"/>
      <c r="AR35" s="916"/>
      <c r="AS35" s="916"/>
      <c r="AT35" s="916"/>
      <c r="AU35" s="916"/>
      <c r="AV35" s="916"/>
      <c r="AW35" s="916"/>
      <c r="AX35" s="916"/>
      <c r="AY35" s="916"/>
      <c r="AZ35" s="916"/>
      <c r="BA35" s="916"/>
      <c r="BB35" s="916"/>
      <c r="BC35" s="916"/>
      <c r="BD35" s="916"/>
      <c r="BE35" s="916"/>
      <c r="BF35" s="916"/>
      <c r="BG35" s="916"/>
      <c r="BH35" s="916"/>
      <c r="BI35" s="916"/>
      <c r="BJ35" s="916"/>
      <c r="BK35" s="916"/>
      <c r="BL35" s="916"/>
      <c r="BM35" s="916"/>
      <c r="BN35" s="916"/>
      <c r="BO35" s="916"/>
      <c r="BP35" s="916"/>
      <c r="BQ35" s="916"/>
      <c r="BR35" s="916"/>
      <c r="BS35" s="916"/>
      <c r="BT35" s="916"/>
    </row>
    <row r="36" spans="1:72" x14ac:dyDescent="0.2">
      <c r="A36" s="1615"/>
      <c r="B36" s="1616"/>
      <c r="C36" s="1616"/>
      <c r="D36" s="1616"/>
      <c r="E36" s="1613"/>
      <c r="F36" s="1613"/>
      <c r="G36" s="1613"/>
      <c r="H36" s="1613"/>
      <c r="I36" s="1613"/>
      <c r="J36" s="923">
        <v>1997</v>
      </c>
      <c r="K36" s="924">
        <v>95.4</v>
      </c>
      <c r="L36" s="916"/>
      <c r="M36" s="916"/>
      <c r="N36" s="916"/>
      <c r="O36" s="916"/>
      <c r="P36" s="916"/>
      <c r="Q36" s="916"/>
      <c r="R36" s="916"/>
      <c r="S36" s="916"/>
      <c r="T36" s="916"/>
      <c r="U36" s="916"/>
      <c r="V36" s="916"/>
      <c r="W36" s="916"/>
      <c r="X36" s="916"/>
      <c r="Y36" s="916"/>
      <c r="Z36" s="916"/>
      <c r="AA36" s="916"/>
      <c r="AB36" s="916"/>
      <c r="AC36" s="916"/>
      <c r="AD36" s="916"/>
      <c r="AE36" s="916"/>
      <c r="AF36" s="916"/>
      <c r="AG36" s="916"/>
      <c r="AH36" s="916"/>
      <c r="AI36" s="916"/>
      <c r="AJ36" s="916"/>
      <c r="AK36" s="916"/>
      <c r="AL36" s="916"/>
      <c r="AM36" s="916"/>
      <c r="AN36" s="916"/>
      <c r="AO36" s="916"/>
      <c r="AP36" s="916"/>
      <c r="AQ36" s="916"/>
      <c r="AR36" s="916"/>
      <c r="AS36" s="916"/>
      <c r="AT36" s="916"/>
      <c r="AU36" s="916"/>
      <c r="AV36" s="916"/>
      <c r="AW36" s="916"/>
      <c r="AX36" s="916"/>
      <c r="AY36" s="916"/>
      <c r="AZ36" s="916"/>
      <c r="BA36" s="916"/>
      <c r="BB36" s="916"/>
      <c r="BC36" s="916"/>
      <c r="BD36" s="916"/>
      <c r="BE36" s="916"/>
      <c r="BF36" s="916"/>
      <c r="BG36" s="916"/>
      <c r="BH36" s="916"/>
      <c r="BI36" s="916"/>
      <c r="BJ36" s="916"/>
      <c r="BK36" s="916"/>
      <c r="BL36" s="916"/>
      <c r="BM36" s="916"/>
      <c r="BN36" s="916"/>
      <c r="BO36" s="916"/>
      <c r="BP36" s="916"/>
      <c r="BQ36" s="916"/>
      <c r="BR36" s="916"/>
      <c r="BS36" s="916"/>
      <c r="BT36" s="916"/>
    </row>
    <row r="37" spans="1:72" x14ac:dyDescent="0.2">
      <c r="A37" s="1615"/>
      <c r="B37" s="1616"/>
      <c r="C37" s="1616"/>
      <c r="D37" s="1616"/>
      <c r="E37" s="1613"/>
      <c r="F37" s="1613"/>
      <c r="G37" s="1613"/>
      <c r="H37" s="1613"/>
      <c r="I37" s="1613"/>
      <c r="J37" s="925">
        <v>1998</v>
      </c>
      <c r="K37" s="926">
        <v>96.5</v>
      </c>
      <c r="L37" s="916"/>
      <c r="M37" s="916"/>
      <c r="N37" s="916"/>
      <c r="O37" s="916"/>
      <c r="P37" s="916"/>
      <c r="Q37" s="916"/>
      <c r="R37" s="916"/>
      <c r="S37" s="916"/>
      <c r="T37" s="916"/>
      <c r="U37" s="916"/>
      <c r="V37" s="916"/>
      <c r="W37" s="916"/>
      <c r="X37" s="916"/>
      <c r="Y37" s="916"/>
      <c r="Z37" s="916"/>
      <c r="AA37" s="916"/>
      <c r="AB37" s="916"/>
      <c r="AC37" s="916"/>
      <c r="AD37" s="916"/>
      <c r="AE37" s="916"/>
      <c r="AF37" s="916"/>
      <c r="AG37" s="916"/>
      <c r="AH37" s="916"/>
      <c r="AI37" s="916"/>
      <c r="AJ37" s="916"/>
      <c r="AK37" s="916"/>
      <c r="AL37" s="916"/>
      <c r="AM37" s="916"/>
      <c r="AN37" s="916"/>
      <c r="AO37" s="916"/>
      <c r="AP37" s="916"/>
      <c r="AQ37" s="916"/>
      <c r="AR37" s="916"/>
      <c r="AS37" s="916"/>
      <c r="AT37" s="916"/>
      <c r="AU37" s="916"/>
      <c r="AV37" s="916"/>
      <c r="AW37" s="916"/>
      <c r="AX37" s="916"/>
      <c r="AY37" s="916"/>
      <c r="AZ37" s="916"/>
      <c r="BA37" s="916"/>
      <c r="BB37" s="916"/>
      <c r="BC37" s="916"/>
      <c r="BD37" s="916"/>
      <c r="BE37" s="916"/>
      <c r="BF37" s="916"/>
      <c r="BG37" s="916"/>
      <c r="BH37" s="916"/>
      <c r="BI37" s="916"/>
      <c r="BJ37" s="916"/>
      <c r="BK37" s="916"/>
      <c r="BL37" s="916"/>
      <c r="BM37" s="916"/>
      <c r="BN37" s="916"/>
      <c r="BO37" s="916"/>
      <c r="BP37" s="916"/>
      <c r="BQ37" s="916"/>
      <c r="BR37" s="916"/>
      <c r="BS37" s="916"/>
      <c r="BT37" s="916"/>
    </row>
    <row r="38" spans="1:72" x14ac:dyDescent="0.2">
      <c r="A38" s="1620" t="s">
        <v>577</v>
      </c>
      <c r="B38" s="1621"/>
      <c r="C38" s="927" t="s">
        <v>578</v>
      </c>
      <c r="D38" s="927" t="s">
        <v>578</v>
      </c>
      <c r="E38" s="1621" t="s">
        <v>1116</v>
      </c>
      <c r="F38" s="1621"/>
      <c r="G38" s="1621"/>
      <c r="H38" s="1621"/>
      <c r="I38" s="1621"/>
      <c r="J38" s="923">
        <v>1999</v>
      </c>
      <c r="K38" s="924">
        <v>97.9</v>
      </c>
      <c r="L38" s="916"/>
      <c r="M38" s="916"/>
      <c r="N38" s="916"/>
      <c r="O38" s="916"/>
      <c r="P38" s="916"/>
      <c r="Q38" s="916"/>
      <c r="R38" s="916"/>
      <c r="S38" s="916"/>
      <c r="T38" s="916"/>
      <c r="U38" s="916"/>
      <c r="V38" s="916"/>
      <c r="W38" s="916"/>
      <c r="X38" s="916"/>
      <c r="Y38" s="916"/>
      <c r="Z38" s="916"/>
      <c r="AA38" s="916"/>
      <c r="AB38" s="916"/>
      <c r="AC38" s="916"/>
      <c r="AD38" s="916"/>
      <c r="AE38" s="916"/>
      <c r="AF38" s="916"/>
      <c r="AG38" s="916"/>
      <c r="AH38" s="916"/>
      <c r="AI38" s="916"/>
      <c r="AJ38" s="916"/>
      <c r="AK38" s="916"/>
      <c r="AL38" s="916"/>
      <c r="AM38" s="916"/>
      <c r="AN38" s="916"/>
      <c r="AO38" s="916"/>
      <c r="AP38" s="916"/>
      <c r="AQ38" s="916"/>
      <c r="AR38" s="916"/>
      <c r="AS38" s="916"/>
      <c r="AT38" s="916"/>
      <c r="AU38" s="916"/>
      <c r="AV38" s="916"/>
      <c r="AW38" s="916"/>
      <c r="AX38" s="916"/>
      <c r="AY38" s="916"/>
      <c r="AZ38" s="916"/>
      <c r="BA38" s="916"/>
      <c r="BB38" s="916"/>
      <c r="BC38" s="916"/>
      <c r="BD38" s="916"/>
      <c r="BE38" s="916"/>
      <c r="BF38" s="916"/>
      <c r="BG38" s="916"/>
      <c r="BH38" s="916"/>
      <c r="BI38" s="916"/>
      <c r="BJ38" s="916"/>
      <c r="BK38" s="916"/>
      <c r="BL38" s="916"/>
      <c r="BM38" s="916"/>
      <c r="BN38" s="916"/>
      <c r="BO38" s="916"/>
      <c r="BP38" s="916"/>
      <c r="BQ38" s="916"/>
      <c r="BR38" s="916"/>
      <c r="BS38" s="916"/>
      <c r="BT38" s="916"/>
    </row>
    <row r="39" spans="1:72" x14ac:dyDescent="0.2">
      <c r="A39" s="921"/>
      <c r="B39" s="870" t="s">
        <v>1050</v>
      </c>
      <c r="C39" s="925">
        <v>2000</v>
      </c>
      <c r="D39" s="925">
        <v>2005</v>
      </c>
      <c r="E39" s="925">
        <v>2020</v>
      </c>
      <c r="F39" s="925">
        <v>2035</v>
      </c>
      <c r="G39" s="925">
        <v>2050</v>
      </c>
      <c r="H39" s="925">
        <v>2065</v>
      </c>
      <c r="I39" s="925">
        <v>2070</v>
      </c>
      <c r="J39" s="925">
        <v>2000</v>
      </c>
      <c r="K39" s="926">
        <v>100</v>
      </c>
      <c r="L39" s="916"/>
      <c r="M39" s="916"/>
      <c r="N39" s="916"/>
      <c r="O39" s="916"/>
      <c r="P39" s="916"/>
      <c r="Q39" s="916"/>
      <c r="R39" s="916"/>
      <c r="S39" s="916"/>
      <c r="T39" s="916"/>
      <c r="U39" s="916"/>
      <c r="V39" s="916"/>
      <c r="W39" s="916"/>
      <c r="X39" s="916"/>
      <c r="Y39" s="916"/>
      <c r="Z39" s="916"/>
      <c r="AA39" s="916"/>
      <c r="AB39" s="916"/>
      <c r="AC39" s="916"/>
      <c r="AD39" s="916"/>
      <c r="AE39" s="916"/>
      <c r="AF39" s="916"/>
      <c r="AG39" s="916"/>
      <c r="AH39" s="916"/>
      <c r="AI39" s="916"/>
      <c r="AJ39" s="916"/>
      <c r="AK39" s="916"/>
      <c r="AL39" s="916"/>
      <c r="AM39" s="916"/>
      <c r="AN39" s="916"/>
      <c r="AO39" s="916"/>
      <c r="AP39" s="916"/>
      <c r="AQ39" s="916"/>
      <c r="AR39" s="916"/>
      <c r="AS39" s="916"/>
      <c r="AT39" s="916"/>
      <c r="AU39" s="916"/>
      <c r="AV39" s="916"/>
      <c r="AW39" s="916"/>
      <c r="AX39" s="916"/>
      <c r="AY39" s="916"/>
      <c r="AZ39" s="916"/>
      <c r="BA39" s="916"/>
      <c r="BB39" s="916"/>
      <c r="BC39" s="916"/>
      <c r="BD39" s="916"/>
      <c r="BE39" s="916"/>
      <c r="BF39" s="916"/>
      <c r="BG39" s="916"/>
      <c r="BH39" s="916"/>
      <c r="BI39" s="916"/>
      <c r="BJ39" s="916"/>
      <c r="BK39" s="916"/>
      <c r="BL39" s="916"/>
      <c r="BM39" s="916"/>
      <c r="BN39" s="916"/>
      <c r="BO39" s="916"/>
      <c r="BP39" s="916"/>
      <c r="BQ39" s="916"/>
      <c r="BR39" s="916"/>
      <c r="BS39" s="916"/>
      <c r="BT39" s="916"/>
    </row>
    <row r="40" spans="1:72" x14ac:dyDescent="0.2">
      <c r="A40" s="919" t="s">
        <v>569</v>
      </c>
      <c r="B40" s="928" t="s">
        <v>579</v>
      </c>
      <c r="C40" s="923">
        <v>25.276500000000002</v>
      </c>
      <c r="D40" s="923">
        <v>25.071000000000002</v>
      </c>
      <c r="E40" s="923">
        <v>49.911552427759986</v>
      </c>
      <c r="F40" s="923">
        <v>51.73380738099187</v>
      </c>
      <c r="G40" s="923">
        <v>54.228868079187265</v>
      </c>
      <c r="H40" s="923">
        <v>57.083559627090274</v>
      </c>
      <c r="I40" s="923">
        <v>57.998580810871225</v>
      </c>
      <c r="J40" s="923">
        <v>2001</v>
      </c>
      <c r="K40" s="924">
        <v>102.4</v>
      </c>
      <c r="L40" s="916"/>
      <c r="M40" s="916"/>
      <c r="N40" s="916"/>
      <c r="O40" s="916"/>
      <c r="P40" s="916"/>
      <c r="Q40" s="916"/>
      <c r="R40" s="916"/>
      <c r="S40" s="916"/>
      <c r="T40" s="916"/>
      <c r="U40" s="916"/>
      <c r="V40" s="916"/>
      <c r="W40" s="916"/>
      <c r="X40" s="916"/>
      <c r="Y40" s="916"/>
      <c r="Z40" s="916"/>
      <c r="AA40" s="916"/>
      <c r="AB40" s="916"/>
      <c r="AC40" s="916"/>
      <c r="AD40" s="916"/>
      <c r="AE40" s="916"/>
      <c r="AF40" s="916"/>
      <c r="AG40" s="916"/>
      <c r="AH40" s="916"/>
      <c r="AI40" s="916"/>
      <c r="AJ40" s="916"/>
      <c r="AK40" s="916"/>
      <c r="AL40" s="916"/>
      <c r="AM40" s="916"/>
      <c r="AN40" s="916"/>
      <c r="AO40" s="916"/>
      <c r="AP40" s="916"/>
      <c r="AQ40" s="916"/>
      <c r="AR40" s="916"/>
      <c r="AS40" s="916"/>
      <c r="AT40" s="916"/>
      <c r="AU40" s="916"/>
      <c r="AV40" s="916"/>
      <c r="AW40" s="916"/>
      <c r="AX40" s="916"/>
      <c r="AY40" s="916"/>
      <c r="AZ40" s="916"/>
      <c r="BA40" s="916"/>
      <c r="BB40" s="916"/>
      <c r="BC40" s="916"/>
      <c r="BD40" s="916"/>
      <c r="BE40" s="916"/>
      <c r="BF40" s="916"/>
      <c r="BG40" s="916"/>
      <c r="BH40" s="916"/>
      <c r="BI40" s="916"/>
      <c r="BJ40" s="916"/>
      <c r="BK40" s="916"/>
      <c r="BL40" s="916"/>
      <c r="BM40" s="916"/>
      <c r="BN40" s="916"/>
      <c r="BO40" s="916"/>
      <c r="BP40" s="916"/>
      <c r="BQ40" s="916"/>
      <c r="BR40" s="916"/>
      <c r="BS40" s="916"/>
      <c r="BT40" s="916"/>
    </row>
    <row r="41" spans="1:72" x14ac:dyDescent="0.2">
      <c r="A41" s="921" t="s">
        <v>570</v>
      </c>
      <c r="B41" s="929" t="s">
        <v>580</v>
      </c>
      <c r="C41" s="925">
        <v>3.83</v>
      </c>
      <c r="D41" s="925">
        <v>2.88</v>
      </c>
      <c r="E41" s="925">
        <v>3.4820792312666162</v>
      </c>
      <c r="F41" s="925">
        <v>3.718467288972283</v>
      </c>
      <c r="G41" s="925">
        <v>4.254403392012021</v>
      </c>
      <c r="H41" s="925">
        <v>4.8331418485312492</v>
      </c>
      <c r="I41" s="925">
        <v>5.0085938618348607</v>
      </c>
      <c r="J41" s="925">
        <v>2002</v>
      </c>
      <c r="K41" s="926">
        <v>104.1</v>
      </c>
      <c r="L41" s="916"/>
      <c r="M41" s="916"/>
      <c r="N41" s="916"/>
      <c r="O41" s="916"/>
      <c r="P41" s="916"/>
      <c r="Q41" s="916"/>
      <c r="R41" s="916"/>
      <c r="S41" s="916"/>
      <c r="T41" s="916"/>
      <c r="U41" s="916"/>
      <c r="V41" s="916"/>
      <c r="W41" s="916"/>
      <c r="X41" s="916"/>
      <c r="Y41" s="916"/>
      <c r="Z41" s="916"/>
      <c r="AA41" s="916"/>
      <c r="AB41" s="916"/>
      <c r="AC41" s="916"/>
      <c r="AD41" s="916"/>
      <c r="AE41" s="916"/>
      <c r="AF41" s="916"/>
      <c r="AG41" s="916"/>
      <c r="AH41" s="916"/>
      <c r="AI41" s="916"/>
      <c r="AJ41" s="916"/>
      <c r="AK41" s="916"/>
      <c r="AL41" s="916"/>
      <c r="AM41" s="916"/>
      <c r="AN41" s="916"/>
      <c r="AO41" s="916"/>
      <c r="AP41" s="916"/>
      <c r="AQ41" s="916"/>
      <c r="AR41" s="916"/>
      <c r="AS41" s="916"/>
      <c r="AT41" s="916"/>
      <c r="AU41" s="916"/>
      <c r="AV41" s="916"/>
      <c r="AW41" s="916"/>
      <c r="AX41" s="916"/>
      <c r="AY41" s="916"/>
      <c r="AZ41" s="916"/>
      <c r="BA41" s="916"/>
      <c r="BB41" s="916"/>
      <c r="BC41" s="916"/>
      <c r="BD41" s="916"/>
      <c r="BE41" s="916"/>
      <c r="BF41" s="916"/>
      <c r="BG41" s="916"/>
      <c r="BH41" s="916"/>
      <c r="BI41" s="916"/>
      <c r="BJ41" s="916"/>
      <c r="BK41" s="916"/>
      <c r="BL41" s="916"/>
      <c r="BM41" s="916"/>
      <c r="BN41" s="916"/>
      <c r="BO41" s="916"/>
      <c r="BP41" s="916"/>
      <c r="BQ41" s="916"/>
      <c r="BR41" s="916"/>
      <c r="BS41" s="916"/>
      <c r="BT41" s="916"/>
    </row>
    <row r="42" spans="1:72" x14ac:dyDescent="0.2">
      <c r="A42" s="919" t="s">
        <v>571</v>
      </c>
      <c r="B42" s="928" t="s">
        <v>580</v>
      </c>
      <c r="C42" s="923">
        <v>4.333333333333333</v>
      </c>
      <c r="D42" s="923">
        <v>3.2058823529411766</v>
      </c>
      <c r="E42" s="923">
        <v>5.3135477999345282</v>
      </c>
      <c r="F42" s="923">
        <v>5.6703709369749671</v>
      </c>
      <c r="G42" s="923">
        <v>6.3804589018936815</v>
      </c>
      <c r="H42" s="923">
        <v>7.1603102550975084</v>
      </c>
      <c r="I42" s="923">
        <v>7.3649472464330987</v>
      </c>
      <c r="J42" s="923">
        <v>2003</v>
      </c>
      <c r="K42" s="924">
        <v>106</v>
      </c>
      <c r="L42" s="916"/>
      <c r="M42" s="916"/>
      <c r="N42" s="916"/>
      <c r="O42" s="916"/>
      <c r="P42" s="916"/>
      <c r="Q42" s="916"/>
      <c r="R42" s="916"/>
      <c r="S42" s="916"/>
      <c r="T42" s="916"/>
      <c r="U42" s="916"/>
      <c r="V42" s="916"/>
      <c r="W42" s="916"/>
      <c r="X42" s="916"/>
      <c r="Y42" s="916"/>
      <c r="Z42" s="916"/>
      <c r="AA42" s="916"/>
      <c r="AB42" s="916"/>
      <c r="AC42" s="916"/>
      <c r="AD42" s="916"/>
      <c r="AE42" s="916"/>
      <c r="AF42" s="916"/>
      <c r="AG42" s="916"/>
      <c r="AH42" s="916"/>
      <c r="AI42" s="916"/>
      <c r="AJ42" s="916"/>
      <c r="AK42" s="916"/>
      <c r="AL42" s="916"/>
      <c r="AM42" s="916"/>
      <c r="AN42" s="916"/>
      <c r="AO42" s="916"/>
      <c r="AP42" s="916"/>
      <c r="AQ42" s="916"/>
      <c r="AR42" s="916"/>
      <c r="AS42" s="916"/>
      <c r="AT42" s="916"/>
      <c r="AU42" s="916"/>
      <c r="AV42" s="916"/>
      <c r="AW42" s="916"/>
      <c r="AX42" s="916"/>
      <c r="AY42" s="916"/>
      <c r="AZ42" s="916"/>
      <c r="BA42" s="916"/>
      <c r="BB42" s="916"/>
      <c r="BC42" s="916"/>
      <c r="BD42" s="916"/>
      <c r="BE42" s="916"/>
      <c r="BF42" s="916"/>
      <c r="BG42" s="916"/>
      <c r="BH42" s="916"/>
      <c r="BI42" s="916"/>
      <c r="BJ42" s="916"/>
      <c r="BK42" s="916"/>
      <c r="BL42" s="916"/>
      <c r="BM42" s="916"/>
      <c r="BN42" s="916"/>
      <c r="BO42" s="916"/>
      <c r="BP42" s="916"/>
      <c r="BQ42" s="916"/>
      <c r="BR42" s="916"/>
      <c r="BS42" s="916"/>
      <c r="BT42" s="916"/>
    </row>
    <row r="43" spans="1:72" x14ac:dyDescent="0.2">
      <c r="A43" s="921" t="s">
        <v>572</v>
      </c>
      <c r="B43" s="929" t="s">
        <v>581</v>
      </c>
      <c r="C43" s="925">
        <v>28.35</v>
      </c>
      <c r="D43" s="925">
        <v>23.27</v>
      </c>
      <c r="E43" s="925">
        <v>38.166254666132858</v>
      </c>
      <c r="F43" s="925">
        <v>44.018296607182357</v>
      </c>
      <c r="G43" s="925">
        <v>47.046046898954408</v>
      </c>
      <c r="H43" s="925">
        <v>48.050792851691</v>
      </c>
      <c r="I43" s="925">
        <v>48.201553003292787</v>
      </c>
      <c r="J43" s="925">
        <v>2004</v>
      </c>
      <c r="K43" s="930">
        <v>108.3</v>
      </c>
      <c r="L43" s="916"/>
      <c r="M43" s="916"/>
      <c r="N43" s="916"/>
      <c r="O43" s="916"/>
      <c r="P43" s="916"/>
      <c r="Q43" s="916"/>
      <c r="R43" s="916"/>
      <c r="S43" s="916"/>
      <c r="T43" s="916"/>
      <c r="U43" s="916"/>
      <c r="V43" s="916"/>
      <c r="W43" s="916"/>
      <c r="X43" s="916"/>
      <c r="Y43" s="916"/>
      <c r="Z43" s="916"/>
      <c r="AA43" s="916"/>
      <c r="AB43" s="916"/>
      <c r="AC43" s="916"/>
      <c r="AD43" s="916"/>
      <c r="AE43" s="916"/>
      <c r="AF43" s="916"/>
      <c r="AG43" s="916"/>
      <c r="AH43" s="916"/>
      <c r="AI43" s="916"/>
      <c r="AJ43" s="916"/>
      <c r="AK43" s="916"/>
      <c r="AL43" s="916"/>
      <c r="AM43" s="916"/>
      <c r="AN43" s="916"/>
      <c r="AO43" s="916"/>
      <c r="AP43" s="916"/>
      <c r="AQ43" s="916"/>
      <c r="AR43" s="916"/>
      <c r="AS43" s="916"/>
      <c r="AT43" s="916"/>
      <c r="AU43" s="916"/>
      <c r="AV43" s="916"/>
      <c r="AW43" s="916"/>
      <c r="AX43" s="916"/>
      <c r="AY43" s="916"/>
      <c r="AZ43" s="916"/>
      <c r="BA43" s="916"/>
      <c r="BB43" s="916"/>
      <c r="BC43" s="916"/>
      <c r="BD43" s="916"/>
      <c r="BE43" s="916"/>
      <c r="BF43" s="916"/>
      <c r="BG43" s="916"/>
      <c r="BH43" s="916"/>
      <c r="BI43" s="916"/>
      <c r="BJ43" s="916"/>
      <c r="BK43" s="916"/>
      <c r="BL43" s="916"/>
      <c r="BM43" s="916"/>
      <c r="BN43" s="916"/>
      <c r="BO43" s="916"/>
      <c r="BP43" s="916"/>
      <c r="BQ43" s="916"/>
      <c r="BR43" s="916"/>
      <c r="BS43" s="916"/>
      <c r="BT43" s="916"/>
    </row>
    <row r="44" spans="1:72" x14ac:dyDescent="0.2">
      <c r="A44" s="919" t="s">
        <v>573</v>
      </c>
      <c r="B44" s="928" t="s">
        <v>582</v>
      </c>
      <c r="C44" s="923">
        <v>1.5176666666666667</v>
      </c>
      <c r="D44" s="923">
        <v>1.2925714285714285</v>
      </c>
      <c r="E44" s="923">
        <v>1.9428327208531595</v>
      </c>
      <c r="F44" s="923">
        <v>2.1262391061548653</v>
      </c>
      <c r="G44" s="923">
        <v>2.2056865867102777</v>
      </c>
      <c r="H44" s="923">
        <v>2.2243217316177319</v>
      </c>
      <c r="I44" s="923">
        <v>2.2266990166381286</v>
      </c>
      <c r="J44" s="923">
        <v>2005</v>
      </c>
      <c r="K44" s="931">
        <v>110.5</v>
      </c>
      <c r="L44" s="916"/>
      <c r="M44" s="916"/>
      <c r="N44" s="916"/>
      <c r="O44" s="916"/>
      <c r="P44" s="916"/>
      <c r="Q44" s="916"/>
      <c r="R44" s="916"/>
      <c r="S44" s="916"/>
      <c r="T44" s="916"/>
      <c r="U44" s="916"/>
      <c r="V44" s="916"/>
      <c r="W44" s="916"/>
      <c r="X44" s="916"/>
      <c r="Y44" s="916"/>
      <c r="Z44" s="916"/>
      <c r="AA44" s="916"/>
      <c r="AB44" s="916"/>
      <c r="AC44" s="916"/>
      <c r="AD44" s="916"/>
      <c r="AE44" s="916"/>
      <c r="AF44" s="916"/>
      <c r="AG44" s="916"/>
      <c r="AH44" s="916"/>
      <c r="AI44" s="916"/>
      <c r="AJ44" s="916"/>
      <c r="AK44" s="916"/>
      <c r="AL44" s="916"/>
      <c r="AM44" s="916"/>
      <c r="AN44" s="916"/>
      <c r="AO44" s="916"/>
      <c r="AP44" s="916"/>
      <c r="AQ44" s="916"/>
      <c r="AR44" s="916"/>
      <c r="AS44" s="916"/>
      <c r="AT44" s="916"/>
      <c r="AU44" s="916"/>
      <c r="AV44" s="916"/>
      <c r="AW44" s="916"/>
      <c r="AX44" s="916"/>
      <c r="AY44" s="916"/>
      <c r="AZ44" s="916"/>
      <c r="BA44" s="916"/>
      <c r="BB44" s="916"/>
      <c r="BC44" s="916"/>
      <c r="BD44" s="916"/>
      <c r="BE44" s="916"/>
      <c r="BF44" s="916"/>
      <c r="BG44" s="916"/>
      <c r="BH44" s="916"/>
      <c r="BI44" s="916"/>
      <c r="BJ44" s="916"/>
      <c r="BK44" s="916"/>
      <c r="BL44" s="916"/>
      <c r="BM44" s="916"/>
      <c r="BN44" s="916"/>
      <c r="BO44" s="916"/>
      <c r="BP44" s="916"/>
      <c r="BQ44" s="916"/>
      <c r="BR44" s="916"/>
      <c r="BS44" s="916"/>
      <c r="BT44" s="916"/>
    </row>
    <row r="45" spans="1:72" x14ac:dyDescent="0.2">
      <c r="A45" s="921" t="s">
        <v>574</v>
      </c>
      <c r="B45" s="929" t="s">
        <v>583</v>
      </c>
      <c r="C45" s="925">
        <v>6.9</v>
      </c>
      <c r="D45" s="925">
        <v>6.4</v>
      </c>
      <c r="E45" s="925">
        <v>7.2674708046079139</v>
      </c>
      <c r="F45" s="925">
        <v>7.0885496188632935</v>
      </c>
      <c r="G45" s="925">
        <v>6.9118429447797478</v>
      </c>
      <c r="H45" s="925">
        <v>6.9722480090117775</v>
      </c>
      <c r="I45" s="925">
        <v>6.9487741854044058</v>
      </c>
      <c r="J45" s="1622" t="s">
        <v>761</v>
      </c>
      <c r="K45" s="1623"/>
      <c r="L45" s="916"/>
      <c r="M45" s="916"/>
      <c r="N45" s="916"/>
      <c r="O45" s="916"/>
      <c r="P45" s="916"/>
      <c r="Q45" s="916"/>
      <c r="R45" s="916"/>
      <c r="S45" s="916"/>
      <c r="T45" s="916"/>
      <c r="U45" s="916"/>
      <c r="V45" s="916"/>
      <c r="W45" s="916"/>
      <c r="X45" s="916"/>
      <c r="Y45" s="916"/>
      <c r="Z45" s="916"/>
      <c r="AA45" s="916"/>
      <c r="AB45" s="916"/>
      <c r="AC45" s="916"/>
      <c r="AD45" s="916"/>
      <c r="AE45" s="916"/>
      <c r="AF45" s="916"/>
      <c r="AG45" s="916"/>
      <c r="AH45" s="916"/>
      <c r="AI45" s="916"/>
      <c r="AJ45" s="916"/>
      <c r="AK45" s="916"/>
      <c r="AL45" s="916"/>
      <c r="AM45" s="916"/>
      <c r="AN45" s="916"/>
      <c r="AO45" s="916"/>
      <c r="AP45" s="916"/>
      <c r="AQ45" s="916"/>
      <c r="AR45" s="916"/>
      <c r="AS45" s="916"/>
      <c r="AT45" s="916"/>
      <c r="AU45" s="916"/>
      <c r="AV45" s="916"/>
      <c r="AW45" s="916"/>
      <c r="AX45" s="916"/>
      <c r="AY45" s="916"/>
      <c r="AZ45" s="916"/>
      <c r="BA45" s="916"/>
      <c r="BB45" s="916"/>
      <c r="BC45" s="916"/>
      <c r="BD45" s="916"/>
      <c r="BE45" s="916"/>
      <c r="BF45" s="916"/>
      <c r="BG45" s="916"/>
      <c r="BH45" s="916"/>
      <c r="BI45" s="916"/>
      <c r="BJ45" s="916"/>
      <c r="BK45" s="916"/>
      <c r="BL45" s="916"/>
      <c r="BM45" s="916"/>
      <c r="BN45" s="916"/>
      <c r="BO45" s="916"/>
      <c r="BP45" s="916"/>
      <c r="BQ45" s="916"/>
      <c r="BR45" s="916"/>
      <c r="BS45" s="916"/>
      <c r="BT45" s="916"/>
    </row>
    <row r="46" spans="1:72" x14ac:dyDescent="0.2">
      <c r="A46" s="919" t="s">
        <v>575</v>
      </c>
      <c r="B46" s="928" t="s">
        <v>584</v>
      </c>
      <c r="C46" s="923"/>
      <c r="D46" s="923"/>
      <c r="E46" s="923">
        <v>3.9267286033597717</v>
      </c>
      <c r="F46" s="923">
        <v>3.4025762910602637</v>
      </c>
      <c r="G46" s="923">
        <v>3.7218644965506216</v>
      </c>
      <c r="H46" s="923">
        <v>4.0392206503019663</v>
      </c>
      <c r="I46" s="923">
        <v>4.0968490901035652</v>
      </c>
      <c r="J46" s="1622"/>
      <c r="K46" s="1623"/>
      <c r="L46" s="916"/>
      <c r="M46" s="916"/>
      <c r="N46" s="916"/>
      <c r="O46" s="916"/>
      <c r="P46" s="916"/>
      <c r="Q46" s="916"/>
      <c r="R46" s="916"/>
      <c r="S46" s="916"/>
      <c r="T46" s="916"/>
      <c r="U46" s="916"/>
      <c r="V46" s="916"/>
      <c r="W46" s="916"/>
      <c r="X46" s="916"/>
      <c r="Y46" s="916"/>
      <c r="Z46" s="916"/>
      <c r="AA46" s="916"/>
      <c r="AB46" s="916"/>
      <c r="AC46" s="916"/>
      <c r="AD46" s="916"/>
      <c r="AE46" s="916"/>
      <c r="AF46" s="916"/>
      <c r="AG46" s="916"/>
      <c r="AH46" s="916"/>
      <c r="AI46" s="916"/>
      <c r="AJ46" s="916"/>
      <c r="AK46" s="916"/>
      <c r="AL46" s="916"/>
      <c r="AM46" s="916"/>
      <c r="AN46" s="916"/>
      <c r="AO46" s="916"/>
      <c r="AP46" s="916"/>
      <c r="AQ46" s="916"/>
      <c r="AR46" s="916"/>
      <c r="AS46" s="916"/>
      <c r="AT46" s="916"/>
      <c r="AU46" s="916"/>
      <c r="AV46" s="916"/>
      <c r="AW46" s="916"/>
      <c r="AX46" s="916"/>
      <c r="AY46" s="916"/>
      <c r="AZ46" s="916"/>
      <c r="BA46" s="916"/>
      <c r="BB46" s="916"/>
      <c r="BC46" s="916"/>
      <c r="BD46" s="916"/>
      <c r="BE46" s="916"/>
      <c r="BF46" s="916"/>
      <c r="BG46" s="916"/>
      <c r="BH46" s="916"/>
      <c r="BI46" s="916"/>
      <c r="BJ46" s="916"/>
      <c r="BK46" s="916"/>
      <c r="BL46" s="916"/>
      <c r="BM46" s="916"/>
      <c r="BN46" s="916"/>
      <c r="BO46" s="916"/>
      <c r="BP46" s="916"/>
      <c r="BQ46" s="916"/>
      <c r="BR46" s="916"/>
      <c r="BS46" s="916"/>
      <c r="BT46" s="916"/>
    </row>
    <row r="47" spans="1:72" x14ac:dyDescent="0.2">
      <c r="A47" s="921" t="s">
        <v>312</v>
      </c>
      <c r="B47" s="929" t="s">
        <v>584</v>
      </c>
      <c r="C47" s="925"/>
      <c r="D47" s="925"/>
      <c r="E47" s="925">
        <v>24.686324737923844</v>
      </c>
      <c r="F47" s="925">
        <v>23.090083577893328</v>
      </c>
      <c r="G47" s="925">
        <v>23.196746158381607</v>
      </c>
      <c r="H47" s="925">
        <v>23.268531873857007</v>
      </c>
      <c r="I47" s="925">
        <v>23.201243175360347</v>
      </c>
      <c r="J47" s="1622"/>
      <c r="K47" s="1623"/>
      <c r="L47" s="916"/>
      <c r="M47" s="916"/>
      <c r="N47" s="916"/>
      <c r="O47" s="916"/>
      <c r="P47" s="916"/>
      <c r="Q47" s="916"/>
      <c r="R47" s="916"/>
      <c r="S47" s="916"/>
      <c r="T47" s="916"/>
      <c r="U47" s="916"/>
      <c r="V47" s="916"/>
      <c r="W47" s="916"/>
      <c r="X47" s="916"/>
      <c r="Y47" s="916"/>
      <c r="Z47" s="916"/>
      <c r="AA47" s="916"/>
      <c r="AB47" s="916"/>
      <c r="AC47" s="916"/>
      <c r="AD47" s="916"/>
      <c r="AE47" s="916"/>
      <c r="AF47" s="916"/>
      <c r="AG47" s="916"/>
      <c r="AH47" s="916"/>
      <c r="AI47" s="916"/>
      <c r="AJ47" s="916"/>
      <c r="AK47" s="916"/>
      <c r="AL47" s="916"/>
      <c r="AM47" s="916"/>
      <c r="AN47" s="916"/>
      <c r="AO47" s="916"/>
      <c r="AP47" s="916"/>
      <c r="AQ47" s="916"/>
      <c r="AR47" s="916"/>
      <c r="AS47" s="916"/>
      <c r="AT47" s="916"/>
      <c r="AU47" s="916"/>
      <c r="AV47" s="916"/>
      <c r="AW47" s="916"/>
      <c r="AX47" s="916"/>
      <c r="AY47" s="916"/>
      <c r="AZ47" s="916"/>
      <c r="BA47" s="916"/>
      <c r="BB47" s="916"/>
      <c r="BC47" s="916"/>
      <c r="BD47" s="916"/>
      <c r="BE47" s="916"/>
      <c r="BF47" s="916"/>
      <c r="BG47" s="916"/>
      <c r="BH47" s="916"/>
      <c r="BI47" s="916"/>
      <c r="BJ47" s="916"/>
      <c r="BK47" s="916"/>
      <c r="BL47" s="916"/>
      <c r="BM47" s="916"/>
      <c r="BN47" s="916"/>
      <c r="BO47" s="916"/>
      <c r="BP47" s="916"/>
      <c r="BQ47" s="916"/>
      <c r="BR47" s="916"/>
      <c r="BS47" s="916"/>
      <c r="BT47" s="916"/>
    </row>
    <row r="48" spans="1:72" ht="38.25" x14ac:dyDescent="0.2">
      <c r="A48" s="937" t="s">
        <v>770</v>
      </c>
      <c r="B48" s="928" t="s">
        <v>579</v>
      </c>
      <c r="C48" s="923"/>
      <c r="D48" s="923"/>
      <c r="E48" s="923">
        <v>10</v>
      </c>
      <c r="F48" s="923">
        <v>10</v>
      </c>
      <c r="G48" s="923">
        <v>10</v>
      </c>
      <c r="H48" s="923">
        <v>10</v>
      </c>
      <c r="I48" s="923"/>
      <c r="J48" s="1622"/>
      <c r="K48" s="1623"/>
      <c r="L48" s="916"/>
      <c r="M48" s="916"/>
      <c r="N48" s="916"/>
      <c r="O48" s="916"/>
      <c r="P48" s="916"/>
      <c r="Q48" s="916"/>
      <c r="R48" s="916"/>
      <c r="S48" s="916"/>
      <c r="T48" s="916"/>
      <c r="U48" s="916"/>
      <c r="V48" s="916"/>
      <c r="W48" s="916"/>
      <c r="X48" s="916"/>
      <c r="Y48" s="916"/>
      <c r="Z48" s="916"/>
      <c r="AA48" s="916"/>
      <c r="AB48" s="916"/>
      <c r="AC48" s="916"/>
      <c r="AD48" s="916"/>
      <c r="AE48" s="916"/>
      <c r="AF48" s="916"/>
      <c r="AG48" s="916"/>
      <c r="AH48" s="916"/>
      <c r="AI48" s="916"/>
      <c r="AJ48" s="916"/>
      <c r="AK48" s="916"/>
      <c r="AL48" s="916"/>
      <c r="AM48" s="916"/>
      <c r="AN48" s="916"/>
      <c r="AO48" s="916"/>
      <c r="AP48" s="916"/>
      <c r="AQ48" s="916"/>
      <c r="AR48" s="916"/>
      <c r="AS48" s="916"/>
      <c r="AT48" s="916"/>
      <c r="AU48" s="916"/>
      <c r="AV48" s="916"/>
      <c r="AW48" s="916"/>
      <c r="AX48" s="916"/>
      <c r="AY48" s="916"/>
      <c r="AZ48" s="916"/>
      <c r="BA48" s="916"/>
      <c r="BB48" s="916"/>
      <c r="BC48" s="916"/>
      <c r="BD48" s="916"/>
      <c r="BE48" s="916"/>
      <c r="BF48" s="916"/>
      <c r="BG48" s="916"/>
      <c r="BH48" s="916"/>
      <c r="BI48" s="916"/>
      <c r="BJ48" s="916"/>
      <c r="BK48" s="916"/>
      <c r="BL48" s="916"/>
      <c r="BM48" s="916"/>
      <c r="BN48" s="916"/>
      <c r="BO48" s="916"/>
      <c r="BP48" s="916"/>
      <c r="BQ48" s="916"/>
      <c r="BR48" s="916"/>
      <c r="BS48" s="916"/>
      <c r="BT48" s="916"/>
    </row>
    <row r="49" spans="1:72" x14ac:dyDescent="0.2">
      <c r="B49" s="936" t="s">
        <v>769</v>
      </c>
      <c r="C49" s="934"/>
      <c r="D49" s="934"/>
      <c r="E49" s="934">
        <f>E48*$B$61</f>
        <v>0.65713983050847458</v>
      </c>
      <c r="F49" s="934">
        <f>F48*$B$61</f>
        <v>0.65713983050847458</v>
      </c>
      <c r="G49" s="934">
        <f>G48*$B$61</f>
        <v>0.65713983050847458</v>
      </c>
      <c r="H49" s="934">
        <f>H48*$B$61</f>
        <v>0.65713983050847458</v>
      </c>
      <c r="I49" s="934"/>
      <c r="J49" s="934"/>
      <c r="K49" s="935"/>
      <c r="L49" s="916"/>
      <c r="M49" s="916"/>
      <c r="N49" s="916"/>
      <c r="O49" s="916"/>
      <c r="P49" s="916"/>
      <c r="Q49" s="916"/>
      <c r="R49" s="916"/>
      <c r="S49" s="916"/>
      <c r="T49" s="916"/>
      <c r="U49" s="916"/>
      <c r="V49" s="916"/>
      <c r="W49" s="916"/>
      <c r="X49" s="916"/>
      <c r="Y49" s="916"/>
      <c r="Z49" s="916"/>
      <c r="AA49" s="916"/>
      <c r="AB49" s="916"/>
      <c r="AC49" s="916"/>
      <c r="AD49" s="916"/>
      <c r="AE49" s="916"/>
      <c r="AF49" s="916"/>
      <c r="AG49" s="916"/>
      <c r="AH49" s="916"/>
      <c r="AI49" s="916"/>
      <c r="AJ49" s="916"/>
      <c r="AK49" s="916"/>
      <c r="AL49" s="916"/>
      <c r="AM49" s="916"/>
      <c r="AN49" s="916"/>
      <c r="AO49" s="916"/>
      <c r="AP49" s="916"/>
      <c r="AQ49" s="916"/>
      <c r="AR49" s="916"/>
      <c r="AS49" s="916"/>
      <c r="AT49" s="916"/>
      <c r="AU49" s="916"/>
      <c r="AV49" s="916"/>
      <c r="AW49" s="916"/>
      <c r="AX49" s="916"/>
      <c r="AY49" s="916"/>
      <c r="AZ49" s="916"/>
      <c r="BA49" s="916"/>
      <c r="BB49" s="916"/>
      <c r="BC49" s="916"/>
      <c r="BD49" s="916"/>
      <c r="BE49" s="916"/>
      <c r="BF49" s="916"/>
      <c r="BG49" s="916"/>
      <c r="BH49" s="916"/>
      <c r="BI49" s="916"/>
      <c r="BJ49" s="916"/>
      <c r="BK49" s="916"/>
      <c r="BL49" s="916"/>
      <c r="BM49" s="916"/>
      <c r="BN49" s="916"/>
      <c r="BO49" s="916"/>
      <c r="BP49" s="916"/>
      <c r="BQ49" s="916"/>
      <c r="BR49" s="916"/>
      <c r="BS49" s="916"/>
      <c r="BT49" s="916"/>
    </row>
    <row r="50" spans="1:72" ht="25.5" x14ac:dyDescent="0.2">
      <c r="A50" s="937" t="s">
        <v>771</v>
      </c>
      <c r="B50" s="938" t="s">
        <v>584</v>
      </c>
      <c r="C50" s="923"/>
      <c r="D50" s="923"/>
      <c r="E50" s="923">
        <f>E49+E46</f>
        <v>4.5838684338682461</v>
      </c>
      <c r="F50" s="923">
        <f>F49+F46</f>
        <v>4.0597161215687381</v>
      </c>
      <c r="G50" s="923">
        <f>G49+G46</f>
        <v>4.3790043270590964</v>
      </c>
      <c r="H50" s="923">
        <f>H49+H46</f>
        <v>4.6963604808104407</v>
      </c>
      <c r="I50" s="923"/>
      <c r="J50" s="934"/>
      <c r="K50" s="935"/>
      <c r="L50" s="916"/>
      <c r="M50" s="916"/>
      <c r="N50" s="916"/>
      <c r="O50" s="916"/>
      <c r="P50" s="916"/>
      <c r="Q50" s="916"/>
      <c r="R50" s="916"/>
      <c r="S50" s="916"/>
      <c r="T50" s="916"/>
      <c r="U50" s="916"/>
      <c r="V50" s="916"/>
      <c r="W50" s="916"/>
      <c r="X50" s="916"/>
      <c r="Y50" s="916"/>
      <c r="Z50" s="916"/>
      <c r="AA50" s="916"/>
      <c r="AB50" s="916"/>
      <c r="AC50" s="916"/>
      <c r="AD50" s="916"/>
      <c r="AE50" s="916"/>
      <c r="AF50" s="916"/>
      <c r="AG50" s="916"/>
      <c r="AH50" s="916"/>
      <c r="AI50" s="916"/>
      <c r="AJ50" s="916"/>
      <c r="AK50" s="916"/>
      <c r="AL50" s="916"/>
      <c r="AM50" s="916"/>
      <c r="AN50" s="916"/>
      <c r="AO50" s="916"/>
      <c r="AP50" s="916"/>
      <c r="AQ50" s="916"/>
      <c r="AR50" s="916"/>
      <c r="AS50" s="916"/>
      <c r="AT50" s="916"/>
      <c r="AU50" s="916"/>
      <c r="AV50" s="916"/>
      <c r="AW50" s="916"/>
      <c r="AX50" s="916"/>
      <c r="AY50" s="916"/>
      <c r="AZ50" s="916"/>
      <c r="BA50" s="916"/>
      <c r="BB50" s="916"/>
      <c r="BC50" s="916"/>
      <c r="BD50" s="916"/>
      <c r="BE50" s="916"/>
      <c r="BF50" s="916"/>
      <c r="BG50" s="916"/>
      <c r="BH50" s="916"/>
      <c r="BI50" s="916"/>
      <c r="BJ50" s="916"/>
      <c r="BK50" s="916"/>
      <c r="BL50" s="916"/>
      <c r="BM50" s="916"/>
      <c r="BN50" s="916"/>
      <c r="BO50" s="916"/>
      <c r="BP50" s="916"/>
      <c r="BQ50" s="916"/>
      <c r="BR50" s="916"/>
      <c r="BS50" s="916"/>
      <c r="BT50" s="916"/>
    </row>
    <row r="51" spans="1:72" x14ac:dyDescent="0.2">
      <c r="B51" s="936"/>
      <c r="C51" s="934"/>
      <c r="D51" s="934"/>
      <c r="E51" s="934"/>
      <c r="F51" s="934"/>
      <c r="G51" s="934"/>
      <c r="H51" s="934"/>
      <c r="I51" s="934"/>
      <c r="J51" s="934"/>
      <c r="K51" s="935"/>
      <c r="L51" s="916"/>
      <c r="M51" s="916"/>
      <c r="N51" s="916"/>
      <c r="O51" s="916"/>
      <c r="P51" s="916"/>
      <c r="Q51" s="916"/>
      <c r="R51" s="916"/>
      <c r="S51" s="916"/>
      <c r="T51" s="916"/>
      <c r="U51" s="916"/>
      <c r="V51" s="916"/>
      <c r="W51" s="916"/>
      <c r="X51" s="916"/>
      <c r="Y51" s="916"/>
      <c r="Z51" s="916"/>
      <c r="AA51" s="916"/>
      <c r="AB51" s="916"/>
      <c r="AC51" s="916"/>
      <c r="AD51" s="916"/>
      <c r="AE51" s="916"/>
      <c r="AF51" s="916"/>
      <c r="AG51" s="916"/>
      <c r="AH51" s="916"/>
      <c r="AI51" s="916"/>
      <c r="AJ51" s="916"/>
      <c r="AK51" s="916"/>
      <c r="AL51" s="916"/>
      <c r="AM51" s="916"/>
      <c r="AN51" s="916"/>
      <c r="AO51" s="916"/>
      <c r="AP51" s="916"/>
      <c r="AQ51" s="916"/>
      <c r="AR51" s="916"/>
      <c r="AS51" s="916"/>
      <c r="AT51" s="916"/>
      <c r="AU51" s="916"/>
      <c r="AV51" s="916"/>
      <c r="AW51" s="916"/>
      <c r="AX51" s="916"/>
      <c r="AY51" s="916"/>
      <c r="AZ51" s="916"/>
      <c r="BA51" s="916"/>
      <c r="BB51" s="916"/>
      <c r="BC51" s="916"/>
      <c r="BD51" s="916"/>
      <c r="BE51" s="916"/>
      <c r="BF51" s="916"/>
      <c r="BG51" s="916"/>
      <c r="BH51" s="916"/>
      <c r="BI51" s="916"/>
      <c r="BJ51" s="916"/>
      <c r="BK51" s="916"/>
      <c r="BL51" s="916"/>
      <c r="BM51" s="916"/>
      <c r="BN51" s="916"/>
      <c r="BO51" s="916"/>
      <c r="BP51" s="916"/>
      <c r="BQ51" s="916"/>
      <c r="BR51" s="916"/>
      <c r="BS51" s="916"/>
      <c r="BT51" s="916"/>
    </row>
    <row r="52" spans="1:72" x14ac:dyDescent="0.2">
      <c r="A52" s="933" t="s">
        <v>762</v>
      </c>
      <c r="B52" s="934"/>
      <c r="C52" s="934"/>
      <c r="D52" s="934"/>
      <c r="E52" s="934"/>
      <c r="F52" s="934"/>
      <c r="G52" s="934"/>
      <c r="H52" s="934"/>
      <c r="I52" s="934"/>
      <c r="J52" s="934"/>
      <c r="K52" s="935"/>
      <c r="L52" s="916"/>
      <c r="M52" s="916"/>
      <c r="N52" s="916"/>
      <c r="O52" s="916"/>
      <c r="P52" s="916"/>
      <c r="Q52" s="916"/>
      <c r="R52" s="916"/>
      <c r="S52" s="916"/>
      <c r="T52" s="916"/>
      <c r="U52" s="916"/>
      <c r="V52" s="916"/>
      <c r="W52" s="916"/>
      <c r="X52" s="916"/>
      <c r="Y52" s="916"/>
      <c r="Z52" s="916"/>
      <c r="AA52" s="916"/>
      <c r="AB52" s="916"/>
      <c r="AC52" s="916"/>
      <c r="AD52" s="916"/>
      <c r="AE52" s="916"/>
      <c r="AF52" s="916"/>
      <c r="AG52" s="916"/>
      <c r="AH52" s="916"/>
      <c r="AI52" s="916"/>
      <c r="AJ52" s="916"/>
      <c r="AK52" s="916"/>
      <c r="AL52" s="916"/>
      <c r="AM52" s="916"/>
      <c r="AN52" s="916"/>
      <c r="AO52" s="916"/>
      <c r="AP52" s="916"/>
      <c r="AQ52" s="916"/>
      <c r="AR52" s="916"/>
      <c r="AS52" s="916"/>
      <c r="AT52" s="916"/>
      <c r="AU52" s="916"/>
      <c r="AV52" s="916"/>
      <c r="AW52" s="916"/>
      <c r="AX52" s="916"/>
      <c r="AY52" s="916"/>
      <c r="AZ52" s="916"/>
      <c r="BA52" s="916"/>
      <c r="BB52" s="916"/>
      <c r="BC52" s="916"/>
      <c r="BD52" s="916"/>
      <c r="BE52" s="916"/>
      <c r="BF52" s="916"/>
      <c r="BG52" s="916"/>
      <c r="BH52" s="916"/>
      <c r="BI52" s="916"/>
      <c r="BJ52" s="916"/>
      <c r="BK52" s="916"/>
      <c r="BL52" s="916"/>
      <c r="BM52" s="916"/>
      <c r="BN52" s="916"/>
      <c r="BO52" s="916"/>
      <c r="BP52" s="916"/>
      <c r="BQ52" s="916"/>
      <c r="BR52" s="916"/>
      <c r="BS52" s="916"/>
      <c r="BT52" s="916"/>
    </row>
    <row r="53" spans="1:72" x14ac:dyDescent="0.2">
      <c r="A53" s="1624" t="s">
        <v>763</v>
      </c>
      <c r="B53" s="1625"/>
      <c r="C53" s="1625"/>
      <c r="D53" s="1625"/>
      <c r="E53" s="1625"/>
      <c r="F53" s="1625"/>
      <c r="G53" s="1625"/>
      <c r="H53" s="1625"/>
      <c r="I53" s="1625"/>
      <c r="J53" s="1625"/>
      <c r="K53" s="1626"/>
      <c r="L53" s="916"/>
      <c r="M53" s="916"/>
      <c r="N53" s="916"/>
      <c r="O53" s="916"/>
      <c r="P53" s="916"/>
      <c r="Q53" s="916"/>
      <c r="R53" s="916"/>
      <c r="S53" s="916"/>
      <c r="T53" s="916"/>
      <c r="U53" s="916"/>
      <c r="V53" s="916"/>
      <c r="W53" s="916"/>
      <c r="X53" s="916"/>
      <c r="Y53" s="916"/>
      <c r="Z53" s="916"/>
      <c r="AA53" s="916"/>
      <c r="AB53" s="916"/>
      <c r="AC53" s="916"/>
      <c r="AD53" s="916"/>
      <c r="AE53" s="916"/>
      <c r="AF53" s="916"/>
      <c r="AG53" s="916"/>
      <c r="AH53" s="916"/>
      <c r="AI53" s="916"/>
      <c r="AJ53" s="916"/>
      <c r="AK53" s="916"/>
      <c r="AL53" s="916"/>
      <c r="AM53" s="916"/>
      <c r="AN53" s="916"/>
      <c r="AO53" s="916"/>
      <c r="AP53" s="916"/>
      <c r="AQ53" s="916"/>
      <c r="AR53" s="916"/>
      <c r="AS53" s="916"/>
      <c r="AT53" s="916"/>
      <c r="AU53" s="916"/>
      <c r="AV53" s="916"/>
      <c r="AW53" s="916"/>
      <c r="AX53" s="916"/>
      <c r="AY53" s="916"/>
      <c r="AZ53" s="916"/>
      <c r="BA53" s="916"/>
      <c r="BB53" s="916"/>
      <c r="BC53" s="916"/>
      <c r="BD53" s="916"/>
      <c r="BE53" s="916"/>
      <c r="BF53" s="916"/>
      <c r="BG53" s="916"/>
      <c r="BH53" s="916"/>
      <c r="BI53" s="916"/>
      <c r="BJ53" s="916"/>
      <c r="BK53" s="916"/>
      <c r="BL53" s="916"/>
      <c r="BM53" s="916"/>
      <c r="BN53" s="916"/>
      <c r="BO53" s="916"/>
      <c r="BP53" s="916"/>
      <c r="BQ53" s="916"/>
      <c r="BR53" s="916"/>
      <c r="BS53" s="916"/>
      <c r="BT53" s="916"/>
    </row>
    <row r="54" spans="1:72" x14ac:dyDescent="0.2">
      <c r="A54" s="1627" t="s">
        <v>320</v>
      </c>
      <c r="B54" s="1628"/>
      <c r="C54" s="1628"/>
      <c r="D54" s="1628"/>
      <c r="E54" s="1628"/>
      <c r="F54" s="1628"/>
      <c r="G54" s="1628"/>
      <c r="H54" s="1628"/>
      <c r="I54" s="1628"/>
      <c r="J54" s="1628"/>
      <c r="K54" s="1629"/>
      <c r="L54" s="916"/>
      <c r="M54" s="916"/>
      <c r="N54" s="916"/>
      <c r="O54" s="916"/>
      <c r="P54" s="916"/>
      <c r="Q54" s="916"/>
      <c r="R54" s="916"/>
      <c r="S54" s="916"/>
      <c r="T54" s="916"/>
      <c r="U54" s="916"/>
      <c r="V54" s="916"/>
      <c r="W54" s="916"/>
      <c r="X54" s="916"/>
      <c r="Y54" s="916"/>
      <c r="Z54" s="916"/>
      <c r="AA54" s="916"/>
      <c r="AB54" s="916"/>
      <c r="AC54" s="916"/>
      <c r="AD54" s="916"/>
      <c r="AE54" s="916"/>
      <c r="AF54" s="916"/>
      <c r="AG54" s="916"/>
      <c r="AH54" s="916"/>
      <c r="AI54" s="916"/>
      <c r="AJ54" s="916"/>
      <c r="AK54" s="916"/>
      <c r="AL54" s="916"/>
      <c r="AM54" s="916"/>
      <c r="AN54" s="916"/>
      <c r="AO54" s="916"/>
      <c r="AP54" s="916"/>
      <c r="AQ54" s="916"/>
      <c r="AR54" s="916"/>
      <c r="AS54" s="916"/>
      <c r="AT54" s="916"/>
      <c r="AU54" s="916"/>
      <c r="AV54" s="916"/>
      <c r="AW54" s="916"/>
      <c r="AX54" s="916"/>
      <c r="AY54" s="916"/>
      <c r="AZ54" s="916"/>
      <c r="BA54" s="916"/>
      <c r="BB54" s="916"/>
      <c r="BC54" s="916"/>
      <c r="BD54" s="916"/>
      <c r="BE54" s="916"/>
      <c r="BF54" s="916"/>
      <c r="BG54" s="916"/>
      <c r="BH54" s="916"/>
      <c r="BI54" s="916"/>
      <c r="BJ54" s="916"/>
      <c r="BK54" s="916"/>
      <c r="BL54" s="916"/>
      <c r="BM54" s="916"/>
      <c r="BN54" s="916"/>
      <c r="BO54" s="916"/>
      <c r="BP54" s="916"/>
      <c r="BQ54" s="916"/>
      <c r="BR54" s="916"/>
      <c r="BS54" s="916"/>
      <c r="BT54" s="916"/>
    </row>
    <row r="55" spans="1:72" x14ac:dyDescent="0.2">
      <c r="A55" s="1627"/>
      <c r="B55" s="1628"/>
      <c r="C55" s="1628"/>
      <c r="D55" s="1628"/>
      <c r="E55" s="1628"/>
      <c r="F55" s="1628"/>
      <c r="G55" s="1628"/>
      <c r="H55" s="1628"/>
      <c r="I55" s="1628"/>
      <c r="J55" s="1628"/>
      <c r="K55" s="1629"/>
      <c r="L55" s="916"/>
      <c r="M55" s="916"/>
      <c r="N55" s="916"/>
      <c r="O55" s="916"/>
      <c r="P55" s="916"/>
      <c r="Q55" s="916"/>
      <c r="R55" s="916"/>
      <c r="S55" s="916"/>
      <c r="T55" s="916"/>
      <c r="U55" s="916"/>
      <c r="V55" s="916"/>
      <c r="W55" s="916"/>
      <c r="X55" s="916"/>
      <c r="Y55" s="916"/>
      <c r="Z55" s="916"/>
      <c r="AA55" s="916"/>
      <c r="AB55" s="916"/>
      <c r="AC55" s="916"/>
      <c r="AD55" s="916"/>
      <c r="AE55" s="916"/>
      <c r="AF55" s="916"/>
      <c r="AG55" s="916"/>
      <c r="AH55" s="916"/>
      <c r="AI55" s="916"/>
      <c r="AJ55" s="916"/>
      <c r="AK55" s="916"/>
      <c r="AL55" s="916"/>
      <c r="AM55" s="916"/>
      <c r="AN55" s="916"/>
      <c r="AO55" s="916"/>
      <c r="AP55" s="916"/>
      <c r="AQ55" s="916"/>
      <c r="AR55" s="916"/>
      <c r="AS55" s="916"/>
      <c r="AT55" s="916"/>
      <c r="AU55" s="916"/>
      <c r="AV55" s="916"/>
      <c r="AW55" s="916"/>
      <c r="AX55" s="916"/>
      <c r="AY55" s="916"/>
      <c r="AZ55" s="916"/>
      <c r="BA55" s="916"/>
      <c r="BB55" s="916"/>
      <c r="BC55" s="916"/>
      <c r="BD55" s="916"/>
      <c r="BE55" s="916"/>
      <c r="BF55" s="916"/>
      <c r="BG55" s="916"/>
      <c r="BH55" s="916"/>
      <c r="BI55" s="916"/>
      <c r="BJ55" s="916"/>
      <c r="BK55" s="916"/>
      <c r="BL55" s="916"/>
      <c r="BM55" s="916"/>
      <c r="BN55" s="916"/>
      <c r="BO55" s="916"/>
      <c r="BP55" s="916"/>
      <c r="BQ55" s="916"/>
      <c r="BR55" s="916"/>
      <c r="BS55" s="916"/>
      <c r="BT55" s="916"/>
    </row>
    <row r="56" spans="1:72" ht="13.5" thickBot="1" x14ac:dyDescent="0.25">
      <c r="A56" s="1617" t="s">
        <v>764</v>
      </c>
      <c r="B56" s="1618"/>
      <c r="C56" s="1618"/>
      <c r="D56" s="1618"/>
      <c r="E56" s="1618"/>
      <c r="F56" s="1618"/>
      <c r="G56" s="1618"/>
      <c r="H56" s="1618"/>
      <c r="I56" s="1618"/>
      <c r="J56" s="1618"/>
      <c r="K56" s="1619"/>
      <c r="L56" s="916"/>
      <c r="M56" s="916"/>
      <c r="N56" s="916"/>
      <c r="O56" s="916"/>
      <c r="P56" s="916"/>
      <c r="Q56" s="916"/>
      <c r="R56" s="916"/>
      <c r="S56" s="916"/>
      <c r="T56" s="916"/>
      <c r="U56" s="916"/>
      <c r="V56" s="916"/>
      <c r="W56" s="916"/>
      <c r="X56" s="916"/>
      <c r="Y56" s="916"/>
      <c r="Z56" s="916"/>
      <c r="AA56" s="916"/>
      <c r="AB56" s="916"/>
      <c r="AC56" s="916"/>
      <c r="AD56" s="916"/>
      <c r="AE56" s="916"/>
      <c r="AF56" s="916"/>
      <c r="AG56" s="916"/>
      <c r="AH56" s="916"/>
      <c r="AI56" s="916"/>
      <c r="AJ56" s="916"/>
      <c r="AK56" s="916"/>
      <c r="AL56" s="916"/>
      <c r="AM56" s="916"/>
      <c r="AN56" s="916"/>
      <c r="AO56" s="916"/>
      <c r="AP56" s="916"/>
      <c r="AQ56" s="916"/>
      <c r="AR56" s="916"/>
      <c r="AS56" s="916"/>
      <c r="AT56" s="916"/>
      <c r="AU56" s="916"/>
      <c r="AV56" s="916"/>
      <c r="AW56" s="916"/>
      <c r="AX56" s="916"/>
      <c r="AY56" s="916"/>
      <c r="AZ56" s="916"/>
      <c r="BA56" s="916"/>
      <c r="BB56" s="916"/>
      <c r="BC56" s="916"/>
      <c r="BD56" s="916"/>
      <c r="BE56" s="916"/>
      <c r="BF56" s="916"/>
      <c r="BG56" s="916"/>
      <c r="BH56" s="916"/>
      <c r="BI56" s="916"/>
      <c r="BJ56" s="916"/>
      <c r="BK56" s="916"/>
      <c r="BL56" s="916"/>
      <c r="BM56" s="916"/>
      <c r="BN56" s="916"/>
      <c r="BO56" s="916"/>
      <c r="BP56" s="916"/>
      <c r="BQ56" s="916"/>
      <c r="BR56" s="916"/>
      <c r="BS56" s="916"/>
      <c r="BT56" s="916"/>
    </row>
    <row r="57" spans="1:72" x14ac:dyDescent="0.2">
      <c r="A57" s="932"/>
      <c r="B57" s="932"/>
      <c r="C57" s="932"/>
      <c r="D57" s="932"/>
      <c r="E57" s="932"/>
      <c r="F57" s="932"/>
      <c r="G57" s="932"/>
      <c r="H57" s="932"/>
      <c r="I57" s="932"/>
      <c r="J57" s="932"/>
      <c r="K57" s="932"/>
      <c r="L57" s="916"/>
      <c r="M57" s="916"/>
      <c r="N57" s="916"/>
      <c r="O57" s="916"/>
      <c r="P57" s="916"/>
      <c r="Q57" s="916"/>
      <c r="R57" s="916"/>
      <c r="S57" s="916"/>
      <c r="T57" s="916"/>
      <c r="U57" s="916"/>
      <c r="V57" s="916"/>
      <c r="W57" s="916"/>
      <c r="X57" s="916"/>
      <c r="Y57" s="916"/>
      <c r="Z57" s="916"/>
      <c r="AA57" s="916"/>
      <c r="AB57" s="916"/>
      <c r="AC57" s="916"/>
      <c r="AD57" s="916"/>
      <c r="AE57" s="916"/>
      <c r="AF57" s="916"/>
      <c r="AG57" s="916"/>
      <c r="AH57" s="916"/>
      <c r="AI57" s="916"/>
      <c r="AJ57" s="916"/>
      <c r="AK57" s="916"/>
      <c r="AL57" s="916"/>
      <c r="AM57" s="916"/>
      <c r="AN57" s="916"/>
      <c r="AO57" s="916"/>
      <c r="AP57" s="916"/>
      <c r="AQ57" s="916"/>
      <c r="AR57" s="916"/>
      <c r="AS57" s="916"/>
      <c r="AT57" s="916"/>
      <c r="AU57" s="916"/>
      <c r="AV57" s="916"/>
      <c r="AW57" s="916"/>
      <c r="AX57" s="916"/>
      <c r="AY57" s="916"/>
      <c r="AZ57" s="916"/>
      <c r="BA57" s="916"/>
      <c r="BB57" s="916"/>
      <c r="BC57" s="916"/>
      <c r="BD57" s="916"/>
      <c r="BE57" s="916"/>
      <c r="BF57" s="916"/>
      <c r="BG57" s="916"/>
      <c r="BH57" s="916"/>
      <c r="BI57" s="916"/>
      <c r="BJ57" s="916"/>
      <c r="BK57" s="916"/>
      <c r="BL57" s="916"/>
      <c r="BM57" s="916"/>
      <c r="BN57" s="916"/>
      <c r="BO57" s="916"/>
      <c r="BP57" s="916"/>
      <c r="BQ57" s="916"/>
      <c r="BR57" s="916"/>
      <c r="BS57" s="916"/>
      <c r="BT57" s="916"/>
    </row>
    <row r="58" spans="1:72" x14ac:dyDescent="0.2">
      <c r="A58" s="916" t="s">
        <v>767</v>
      </c>
      <c r="B58" s="916"/>
      <c r="C58" s="916"/>
      <c r="D58" s="916"/>
      <c r="E58" s="916"/>
      <c r="F58" s="916"/>
      <c r="G58" s="916"/>
      <c r="H58" s="916"/>
      <c r="I58" s="916"/>
      <c r="J58" s="916"/>
      <c r="K58" s="916"/>
      <c r="L58" s="916"/>
      <c r="M58" s="916"/>
      <c r="N58" s="916"/>
      <c r="O58" s="916"/>
      <c r="P58" s="916"/>
      <c r="Q58" s="916"/>
      <c r="R58" s="916"/>
      <c r="S58" s="916"/>
      <c r="T58" s="916"/>
      <c r="U58" s="916"/>
      <c r="V58" s="916"/>
      <c r="W58" s="916"/>
      <c r="X58" s="916"/>
      <c r="Y58" s="916"/>
      <c r="Z58" s="916"/>
      <c r="AA58" s="916"/>
      <c r="AB58" s="916"/>
      <c r="AC58" s="916"/>
      <c r="AD58" s="916"/>
      <c r="AE58" s="916"/>
      <c r="AF58" s="916"/>
      <c r="AG58" s="916"/>
      <c r="AH58" s="916"/>
      <c r="AI58" s="916"/>
      <c r="AJ58" s="916"/>
      <c r="AK58" s="916"/>
      <c r="AL58" s="916"/>
      <c r="AM58" s="916"/>
      <c r="AN58" s="916"/>
      <c r="AO58" s="916"/>
      <c r="AP58" s="916"/>
      <c r="AQ58" s="916"/>
      <c r="AR58" s="916"/>
      <c r="AS58" s="916"/>
      <c r="AT58" s="916"/>
      <c r="AU58" s="916"/>
      <c r="AV58" s="916"/>
      <c r="AW58" s="916"/>
      <c r="AX58" s="916"/>
      <c r="AY58" s="916"/>
      <c r="AZ58" s="916"/>
      <c r="BA58" s="916"/>
      <c r="BB58" s="916"/>
      <c r="BC58" s="916"/>
      <c r="BD58" s="916"/>
      <c r="BE58" s="916"/>
      <c r="BF58" s="916"/>
      <c r="BG58" s="916"/>
      <c r="BH58" s="916"/>
      <c r="BI58" s="916"/>
      <c r="BJ58" s="916"/>
      <c r="BK58" s="916"/>
      <c r="BL58" s="916"/>
      <c r="BM58" s="916"/>
      <c r="BN58" s="916"/>
      <c r="BO58" s="916"/>
      <c r="BP58" s="916"/>
      <c r="BQ58" s="916"/>
      <c r="BR58" s="916"/>
      <c r="BS58" s="916"/>
      <c r="BT58" s="916"/>
    </row>
    <row r="59" spans="1:72" x14ac:dyDescent="0.2">
      <c r="A59" s="916" t="s">
        <v>766</v>
      </c>
      <c r="B59" s="916">
        <v>19022</v>
      </c>
      <c r="C59" s="916"/>
      <c r="D59" s="916"/>
      <c r="E59" s="916"/>
      <c r="F59" s="916"/>
      <c r="G59" s="916"/>
      <c r="H59" s="916"/>
      <c r="I59" s="916"/>
      <c r="J59" s="916"/>
      <c r="K59" s="916"/>
      <c r="L59" s="916"/>
      <c r="M59" s="916"/>
      <c r="N59" s="916"/>
      <c r="O59" s="916"/>
      <c r="P59" s="916"/>
      <c r="Q59" s="916"/>
      <c r="R59" s="916"/>
      <c r="S59" s="916"/>
      <c r="T59" s="916"/>
      <c r="U59" s="916"/>
      <c r="V59" s="916"/>
      <c r="W59" s="916"/>
      <c r="X59" s="916"/>
      <c r="Y59" s="916"/>
      <c r="Z59" s="916"/>
      <c r="AA59" s="916"/>
      <c r="AB59" s="916"/>
      <c r="AC59" s="916"/>
      <c r="AD59" s="916"/>
      <c r="AE59" s="916"/>
      <c r="AF59" s="916"/>
      <c r="AG59" s="916"/>
      <c r="AH59" s="916"/>
      <c r="AI59" s="916"/>
      <c r="AJ59" s="916"/>
      <c r="AK59" s="916"/>
      <c r="AL59" s="916"/>
      <c r="AM59" s="916"/>
      <c r="AN59" s="916"/>
      <c r="AO59" s="916"/>
      <c r="AP59" s="916"/>
      <c r="AQ59" s="916"/>
      <c r="AR59" s="916"/>
      <c r="AS59" s="916"/>
      <c r="AT59" s="916"/>
      <c r="AU59" s="916"/>
      <c r="AV59" s="916"/>
      <c r="AW59" s="916"/>
      <c r="AX59" s="916"/>
      <c r="AY59" s="916"/>
      <c r="AZ59" s="916"/>
      <c r="BA59" s="916"/>
      <c r="BB59" s="916"/>
      <c r="BC59" s="916"/>
      <c r="BD59" s="916"/>
      <c r="BE59" s="916"/>
      <c r="BF59" s="916"/>
      <c r="BG59" s="916"/>
      <c r="BH59" s="916"/>
      <c r="BI59" s="916"/>
      <c r="BJ59" s="916"/>
      <c r="BK59" s="916"/>
      <c r="BL59" s="916"/>
      <c r="BM59" s="916"/>
      <c r="BN59" s="916"/>
      <c r="BO59" s="916"/>
      <c r="BP59" s="916"/>
      <c r="BQ59" s="916"/>
      <c r="BR59" s="916"/>
      <c r="BS59" s="916"/>
      <c r="BT59" s="916"/>
    </row>
    <row r="60" spans="1:72" x14ac:dyDescent="0.2">
      <c r="A60" s="916" t="s">
        <v>765</v>
      </c>
      <c r="B60" s="916">
        <v>17700</v>
      </c>
      <c r="C60" s="916"/>
      <c r="D60" s="916"/>
      <c r="E60" s="916"/>
      <c r="F60" s="916"/>
      <c r="G60" s="916"/>
      <c r="H60" s="916"/>
      <c r="I60" s="916"/>
      <c r="J60" s="916"/>
      <c r="K60" s="916"/>
      <c r="L60" s="916"/>
      <c r="M60" s="916"/>
      <c r="N60" s="916"/>
      <c r="O60" s="916"/>
      <c r="P60" s="916"/>
      <c r="Q60" s="916"/>
      <c r="R60" s="916"/>
      <c r="S60" s="916"/>
      <c r="T60" s="916"/>
      <c r="U60" s="916"/>
      <c r="V60" s="916"/>
      <c r="W60" s="916"/>
      <c r="X60" s="916"/>
      <c r="Y60" s="916"/>
      <c r="Z60" s="916"/>
      <c r="AA60" s="916"/>
      <c r="AB60" s="916"/>
      <c r="AC60" s="916"/>
      <c r="AD60" s="916"/>
      <c r="AE60" s="916"/>
      <c r="AF60" s="916"/>
      <c r="AG60" s="916"/>
      <c r="AH60" s="916"/>
      <c r="AI60" s="916"/>
      <c r="AJ60" s="916"/>
      <c r="AK60" s="916"/>
      <c r="AL60" s="916"/>
      <c r="AM60" s="916"/>
      <c r="AN60" s="916"/>
      <c r="AO60" s="916"/>
      <c r="AP60" s="916"/>
      <c r="AQ60" s="916"/>
      <c r="AR60" s="916"/>
      <c r="AS60" s="916"/>
      <c r="AT60" s="916"/>
      <c r="AU60" s="916"/>
      <c r="AV60" s="916"/>
      <c r="AW60" s="916"/>
      <c r="AX60" s="916"/>
      <c r="AY60" s="916"/>
      <c r="AZ60" s="916"/>
      <c r="BA60" s="916"/>
      <c r="BB60" s="916"/>
      <c r="BC60" s="916"/>
      <c r="BD60" s="916"/>
      <c r="BE60" s="916"/>
      <c r="BF60" s="916"/>
      <c r="BG60" s="916"/>
      <c r="BH60" s="916"/>
      <c r="BI60" s="916"/>
      <c r="BJ60" s="916"/>
      <c r="BK60" s="916"/>
      <c r="BL60" s="916"/>
      <c r="BM60" s="916"/>
      <c r="BN60" s="916"/>
      <c r="BO60" s="916"/>
      <c r="BP60" s="916"/>
      <c r="BQ60" s="916"/>
      <c r="BR60" s="916"/>
      <c r="BS60" s="916"/>
      <c r="BT60" s="916"/>
    </row>
    <row r="61" spans="1:72" x14ac:dyDescent="0.2">
      <c r="A61" s="916" t="s">
        <v>768</v>
      </c>
      <c r="B61" s="916">
        <f>2.205/2000/B60*mmBTU_to_GJ*1000000</f>
        <v>6.5713983050847455E-2</v>
      </c>
      <c r="C61" s="916"/>
      <c r="D61" s="916"/>
      <c r="E61" s="916"/>
      <c r="F61" s="916"/>
      <c r="G61" s="916"/>
      <c r="H61" s="916"/>
      <c r="I61" s="916"/>
      <c r="J61" s="916"/>
      <c r="K61" s="916"/>
      <c r="L61" s="916"/>
      <c r="M61" s="916"/>
      <c r="N61" s="916"/>
      <c r="O61" s="916"/>
      <c r="P61" s="916"/>
      <c r="Q61" s="916"/>
      <c r="R61" s="916"/>
      <c r="S61" s="916"/>
      <c r="T61" s="916"/>
      <c r="U61" s="916"/>
      <c r="V61" s="916"/>
      <c r="W61" s="916"/>
      <c r="X61" s="916"/>
      <c r="Y61" s="916"/>
      <c r="Z61" s="916"/>
      <c r="AA61" s="916"/>
      <c r="AB61" s="916"/>
      <c r="AC61" s="916"/>
      <c r="AD61" s="916"/>
      <c r="AE61" s="916"/>
      <c r="AF61" s="916"/>
      <c r="AG61" s="916"/>
      <c r="AH61" s="916"/>
      <c r="AI61" s="916"/>
      <c r="AJ61" s="916"/>
      <c r="AK61" s="916"/>
      <c r="AL61" s="916"/>
      <c r="AM61" s="916"/>
      <c r="AN61" s="916"/>
      <c r="AO61" s="916"/>
      <c r="AP61" s="916"/>
      <c r="AQ61" s="916"/>
      <c r="AR61" s="916"/>
      <c r="AS61" s="916"/>
      <c r="AT61" s="916"/>
      <c r="AU61" s="916"/>
      <c r="AV61" s="916"/>
      <c r="AW61" s="916"/>
      <c r="AX61" s="916"/>
      <c r="AY61" s="916"/>
      <c r="AZ61" s="916"/>
      <c r="BA61" s="916"/>
      <c r="BB61" s="916"/>
      <c r="BC61" s="916"/>
      <c r="BD61" s="916"/>
      <c r="BE61" s="916"/>
      <c r="BF61" s="916"/>
      <c r="BG61" s="916"/>
      <c r="BH61" s="916"/>
      <c r="BI61" s="916"/>
      <c r="BJ61" s="916"/>
      <c r="BK61" s="916"/>
      <c r="BL61" s="916"/>
      <c r="BM61" s="916"/>
      <c r="BN61" s="916"/>
      <c r="BO61" s="916"/>
      <c r="BP61" s="916"/>
      <c r="BQ61" s="916"/>
      <c r="BR61" s="916"/>
      <c r="BS61" s="916"/>
      <c r="BT61" s="916"/>
    </row>
    <row r="62" spans="1:72" x14ac:dyDescent="0.2">
      <c r="A62" s="916"/>
      <c r="B62" s="916"/>
      <c r="C62" s="916"/>
      <c r="D62" s="916"/>
      <c r="E62" s="916"/>
      <c r="F62" s="916"/>
      <c r="G62" s="916"/>
      <c r="H62" s="916"/>
      <c r="I62" s="916"/>
      <c r="J62" s="916"/>
      <c r="K62" s="916"/>
      <c r="L62" s="916"/>
      <c r="M62" s="916"/>
      <c r="N62" s="916"/>
      <c r="O62" s="916"/>
      <c r="P62" s="916"/>
      <c r="Q62" s="916"/>
      <c r="R62" s="916"/>
      <c r="S62" s="916"/>
      <c r="T62" s="916"/>
      <c r="U62" s="916"/>
      <c r="V62" s="916"/>
      <c r="W62" s="916"/>
      <c r="X62" s="916"/>
      <c r="Y62" s="916"/>
      <c r="Z62" s="916"/>
      <c r="AA62" s="916"/>
      <c r="AB62" s="916"/>
      <c r="AC62" s="916"/>
      <c r="AD62" s="916"/>
      <c r="AE62" s="916"/>
      <c r="AF62" s="916"/>
      <c r="AG62" s="916"/>
      <c r="AH62" s="916"/>
      <c r="AI62" s="916"/>
      <c r="AJ62" s="916"/>
      <c r="AK62" s="916"/>
      <c r="AL62" s="916"/>
      <c r="AM62" s="916"/>
      <c r="AN62" s="916"/>
      <c r="AO62" s="916"/>
      <c r="AP62" s="916"/>
      <c r="AQ62" s="916"/>
      <c r="AR62" s="916"/>
      <c r="AS62" s="916"/>
      <c r="AT62" s="916"/>
      <c r="AU62" s="916"/>
      <c r="AV62" s="916"/>
      <c r="AW62" s="916"/>
      <c r="AX62" s="916"/>
      <c r="AY62" s="916"/>
      <c r="AZ62" s="916"/>
      <c r="BA62" s="916"/>
      <c r="BB62" s="916"/>
      <c r="BC62" s="916"/>
      <c r="BD62" s="916"/>
      <c r="BE62" s="916"/>
      <c r="BF62" s="916"/>
      <c r="BG62" s="916"/>
      <c r="BH62" s="916"/>
      <c r="BI62" s="916"/>
      <c r="BJ62" s="916"/>
      <c r="BK62" s="916"/>
      <c r="BL62" s="916"/>
      <c r="BM62" s="916"/>
      <c r="BN62" s="916"/>
      <c r="BO62" s="916"/>
      <c r="BP62" s="916"/>
      <c r="BQ62" s="916"/>
      <c r="BR62" s="916"/>
      <c r="BS62" s="916"/>
      <c r="BT62" s="916"/>
    </row>
    <row r="63" spans="1:72" x14ac:dyDescent="0.2">
      <c r="A63" s="916"/>
      <c r="B63" s="916"/>
      <c r="C63" s="916"/>
      <c r="D63" s="916"/>
      <c r="E63" s="916"/>
      <c r="F63" s="916"/>
      <c r="G63" s="916"/>
      <c r="H63" s="916"/>
      <c r="I63" s="916"/>
      <c r="J63" s="916"/>
      <c r="K63" s="916"/>
      <c r="L63" s="916"/>
      <c r="M63" s="916"/>
      <c r="N63" s="916"/>
      <c r="O63" s="916"/>
      <c r="P63" s="916"/>
      <c r="Q63" s="916"/>
      <c r="R63" s="916"/>
      <c r="S63" s="916"/>
      <c r="T63" s="916"/>
      <c r="U63" s="916"/>
      <c r="V63" s="916"/>
      <c r="W63" s="916"/>
      <c r="X63" s="916"/>
      <c r="Y63" s="916"/>
      <c r="Z63" s="916"/>
      <c r="AA63" s="916"/>
      <c r="AB63" s="916"/>
      <c r="AC63" s="916"/>
      <c r="AD63" s="916"/>
      <c r="AE63" s="916"/>
      <c r="AF63" s="916"/>
      <c r="AG63" s="916"/>
      <c r="AH63" s="916"/>
      <c r="AI63" s="916"/>
      <c r="AJ63" s="916"/>
      <c r="AK63" s="916"/>
      <c r="AL63" s="916"/>
      <c r="AM63" s="916"/>
      <c r="AN63" s="916"/>
      <c r="AO63" s="916"/>
      <c r="AP63" s="916"/>
      <c r="AQ63" s="916"/>
      <c r="AR63" s="916"/>
      <c r="AS63" s="916"/>
      <c r="AT63" s="916"/>
      <c r="AU63" s="916"/>
      <c r="AV63" s="916"/>
      <c r="AW63" s="916"/>
      <c r="AX63" s="916"/>
      <c r="AY63" s="916"/>
      <c r="AZ63" s="916"/>
      <c r="BA63" s="916"/>
      <c r="BB63" s="916"/>
      <c r="BC63" s="916"/>
      <c r="BD63" s="916"/>
      <c r="BE63" s="916"/>
      <c r="BF63" s="916"/>
      <c r="BG63" s="916"/>
      <c r="BH63" s="916"/>
      <c r="BI63" s="916"/>
      <c r="BJ63" s="916"/>
      <c r="BK63" s="916"/>
      <c r="BL63" s="916"/>
      <c r="BM63" s="916"/>
      <c r="BN63" s="916"/>
      <c r="BO63" s="916"/>
      <c r="BP63" s="916"/>
      <c r="BQ63" s="916"/>
      <c r="BR63" s="916"/>
      <c r="BS63" s="916"/>
      <c r="BT63" s="916"/>
    </row>
    <row r="64" spans="1:72" x14ac:dyDescent="0.2">
      <c r="A64" s="916"/>
      <c r="B64" s="916" t="s">
        <v>774</v>
      </c>
      <c r="C64" s="916" t="s">
        <v>775</v>
      </c>
      <c r="D64" s="916"/>
      <c r="E64" s="916"/>
      <c r="F64" s="916"/>
      <c r="G64" s="916"/>
      <c r="H64" s="916"/>
      <c r="I64" s="916"/>
      <c r="J64" s="916"/>
      <c r="K64" s="916"/>
      <c r="L64" s="916"/>
      <c r="M64" s="916"/>
      <c r="N64" s="916"/>
      <c r="O64" s="916"/>
      <c r="P64" s="916"/>
      <c r="Q64" s="916"/>
      <c r="R64" s="916"/>
      <c r="S64" s="916"/>
      <c r="T64" s="916"/>
      <c r="U64" s="916"/>
      <c r="V64" s="916"/>
      <c r="W64" s="916"/>
      <c r="X64" s="916"/>
      <c r="Y64" s="916"/>
      <c r="Z64" s="916"/>
      <c r="AA64" s="916"/>
      <c r="AB64" s="916"/>
      <c r="AC64" s="916"/>
      <c r="AD64" s="916"/>
      <c r="AE64" s="916"/>
      <c r="AF64" s="916"/>
      <c r="AG64" s="916"/>
      <c r="AH64" s="916"/>
      <c r="AI64" s="916"/>
      <c r="AJ64" s="916"/>
      <c r="AK64" s="916"/>
      <c r="AL64" s="916"/>
      <c r="AM64" s="916"/>
      <c r="AN64" s="916"/>
      <c r="AO64" s="916"/>
      <c r="AP64" s="916"/>
      <c r="AQ64" s="916"/>
      <c r="AR64" s="916"/>
      <c r="AS64" s="916"/>
      <c r="AT64" s="916"/>
      <c r="AU64" s="916"/>
      <c r="AV64" s="916"/>
      <c r="AW64" s="916"/>
      <c r="AX64" s="916"/>
      <c r="AY64" s="916"/>
      <c r="AZ64" s="916"/>
      <c r="BA64" s="916"/>
      <c r="BB64" s="916"/>
      <c r="BC64" s="916"/>
      <c r="BD64" s="916"/>
      <c r="BE64" s="916"/>
      <c r="BF64" s="916"/>
      <c r="BG64" s="916"/>
      <c r="BH64" s="916"/>
      <c r="BI64" s="916"/>
      <c r="BJ64" s="916"/>
      <c r="BK64" s="916"/>
      <c r="BL64" s="916"/>
      <c r="BM64" s="916"/>
      <c r="BN64" s="916"/>
      <c r="BO64" s="916"/>
      <c r="BP64" s="916"/>
      <c r="BQ64" s="916"/>
      <c r="BR64" s="916"/>
      <c r="BS64" s="916"/>
      <c r="BT64" s="916"/>
    </row>
    <row r="65" spans="1:72" x14ac:dyDescent="0.2">
      <c r="A65" s="916"/>
      <c r="B65" s="916" t="s">
        <v>776</v>
      </c>
      <c r="C65" s="916" t="s">
        <v>777</v>
      </c>
      <c r="D65" s="916"/>
      <c r="E65" s="916"/>
      <c r="F65" s="916" t="s">
        <v>778</v>
      </c>
      <c r="G65" s="916"/>
      <c r="H65" s="916"/>
      <c r="I65" s="916"/>
      <c r="J65" s="916"/>
      <c r="K65" s="916"/>
      <c r="L65" s="916"/>
      <c r="M65" s="916"/>
      <c r="N65" s="916"/>
      <c r="O65" s="916"/>
      <c r="P65" s="916"/>
      <c r="Q65" s="916"/>
      <c r="R65" s="916"/>
      <c r="S65" s="916"/>
      <c r="T65" s="916"/>
      <c r="U65" s="916"/>
      <c r="V65" s="916"/>
      <c r="W65" s="916"/>
      <c r="X65" s="916"/>
      <c r="Y65" s="916"/>
      <c r="Z65" s="916"/>
      <c r="AA65" s="916"/>
      <c r="AB65" s="916"/>
      <c r="AC65" s="916"/>
      <c r="AD65" s="916"/>
      <c r="AE65" s="916"/>
      <c r="AF65" s="916"/>
      <c r="AG65" s="916"/>
      <c r="AH65" s="916"/>
      <c r="AI65" s="916"/>
      <c r="AJ65" s="916"/>
      <c r="AK65" s="916"/>
      <c r="AL65" s="916"/>
      <c r="AM65" s="916"/>
      <c r="AN65" s="916"/>
      <c r="AO65" s="916"/>
      <c r="AP65" s="916"/>
      <c r="AQ65" s="916"/>
      <c r="AR65" s="916"/>
      <c r="AS65" s="916"/>
      <c r="AT65" s="916"/>
      <c r="AU65" s="916"/>
      <c r="AV65" s="916"/>
      <c r="AW65" s="916"/>
      <c r="AX65" s="916"/>
      <c r="AY65" s="916"/>
      <c r="AZ65" s="916"/>
      <c r="BA65" s="916"/>
      <c r="BB65" s="916"/>
      <c r="BC65" s="916"/>
      <c r="BD65" s="916"/>
      <c r="BE65" s="916"/>
      <c r="BF65" s="916"/>
      <c r="BG65" s="916"/>
      <c r="BH65" s="916"/>
      <c r="BI65" s="916"/>
      <c r="BJ65" s="916"/>
      <c r="BK65" s="916"/>
      <c r="BL65" s="916"/>
      <c r="BM65" s="916"/>
      <c r="BN65" s="916"/>
      <c r="BO65" s="916"/>
      <c r="BP65" s="916"/>
      <c r="BQ65" s="916"/>
      <c r="BR65" s="916"/>
      <c r="BS65" s="916"/>
      <c r="BT65" s="916"/>
    </row>
    <row r="66" spans="1:72" x14ac:dyDescent="0.2">
      <c r="A66" s="916"/>
      <c r="B66" s="916" t="s">
        <v>779</v>
      </c>
      <c r="C66" s="916" t="s">
        <v>780</v>
      </c>
      <c r="D66" s="916"/>
      <c r="E66" s="916"/>
      <c r="F66" s="916"/>
      <c r="G66" s="916"/>
      <c r="H66" s="916"/>
      <c r="I66" s="916"/>
      <c r="J66" s="916"/>
      <c r="K66" s="916"/>
      <c r="L66" s="916"/>
      <c r="M66" s="916"/>
      <c r="N66" s="916"/>
      <c r="O66" s="916"/>
      <c r="P66" s="916"/>
      <c r="Q66" s="916"/>
      <c r="R66" s="916"/>
      <c r="S66" s="916"/>
      <c r="T66" s="916"/>
      <c r="U66" s="916"/>
      <c r="V66" s="916"/>
      <c r="W66" s="916"/>
      <c r="X66" s="916"/>
      <c r="Y66" s="916"/>
      <c r="Z66" s="916"/>
      <c r="AA66" s="916"/>
      <c r="AB66" s="916"/>
      <c r="AC66" s="916"/>
      <c r="AD66" s="916"/>
      <c r="AE66" s="916"/>
      <c r="AF66" s="916"/>
      <c r="AG66" s="916"/>
      <c r="AH66" s="916"/>
      <c r="AI66" s="916"/>
      <c r="AJ66" s="916"/>
      <c r="AK66" s="916"/>
      <c r="AL66" s="916"/>
      <c r="AM66" s="916"/>
      <c r="AN66" s="916"/>
      <c r="AO66" s="916"/>
      <c r="AP66" s="916"/>
      <c r="AQ66" s="916"/>
      <c r="AR66" s="916"/>
      <c r="AS66" s="916"/>
      <c r="AT66" s="916"/>
      <c r="AU66" s="916"/>
      <c r="AV66" s="916"/>
      <c r="AW66" s="916"/>
      <c r="AX66" s="916"/>
      <c r="AY66" s="916"/>
      <c r="AZ66" s="916"/>
      <c r="BA66" s="916"/>
      <c r="BB66" s="916"/>
      <c r="BC66" s="916"/>
      <c r="BD66" s="916"/>
      <c r="BE66" s="916"/>
      <c r="BF66" s="916"/>
      <c r="BG66" s="916"/>
      <c r="BH66" s="916"/>
      <c r="BI66" s="916"/>
      <c r="BJ66" s="916"/>
      <c r="BK66" s="916"/>
      <c r="BL66" s="916"/>
      <c r="BM66" s="916"/>
      <c r="BN66" s="916"/>
      <c r="BO66" s="916"/>
      <c r="BP66" s="916"/>
      <c r="BQ66" s="916"/>
      <c r="BR66" s="916"/>
      <c r="BS66" s="916"/>
      <c r="BT66" s="916"/>
    </row>
    <row r="67" spans="1:72" x14ac:dyDescent="0.2">
      <c r="A67" s="916"/>
      <c r="B67" s="916" t="s">
        <v>781</v>
      </c>
      <c r="C67" s="916"/>
      <c r="D67" s="916" t="s">
        <v>782</v>
      </c>
      <c r="E67" s="916"/>
      <c r="F67" s="916"/>
      <c r="G67" s="916"/>
      <c r="H67" s="916"/>
      <c r="I67" s="916"/>
      <c r="J67" s="916"/>
      <c r="K67" s="916"/>
      <c r="L67" s="916"/>
      <c r="M67" s="916"/>
      <c r="N67" s="916"/>
      <c r="O67" s="916"/>
      <c r="P67" s="916"/>
      <c r="Q67" s="916"/>
      <c r="R67" s="916"/>
      <c r="S67" s="916"/>
      <c r="T67" s="916"/>
      <c r="U67" s="916"/>
      <c r="V67" s="916"/>
      <c r="W67" s="916"/>
      <c r="X67" s="916"/>
      <c r="Y67" s="916"/>
      <c r="Z67" s="916"/>
      <c r="AA67" s="916"/>
      <c r="AB67" s="916"/>
      <c r="AC67" s="916"/>
      <c r="AD67" s="916"/>
      <c r="AE67" s="916"/>
      <c r="AF67" s="916"/>
      <c r="AG67" s="916"/>
      <c r="AH67" s="916"/>
      <c r="AI67" s="916"/>
      <c r="AJ67" s="916"/>
      <c r="AK67" s="916"/>
      <c r="AL67" s="916"/>
      <c r="AM67" s="916"/>
      <c r="AN67" s="916"/>
      <c r="AO67" s="916"/>
      <c r="AP67" s="916"/>
      <c r="AQ67" s="916"/>
      <c r="AR67" s="916"/>
      <c r="AS67" s="916"/>
      <c r="AT67" s="916"/>
      <c r="AU67" s="916"/>
      <c r="AV67" s="916"/>
      <c r="AW67" s="916"/>
      <c r="AX67" s="916"/>
      <c r="AY67" s="916"/>
      <c r="AZ67" s="916"/>
      <c r="BA67" s="916"/>
      <c r="BB67" s="916"/>
      <c r="BC67" s="916"/>
      <c r="BD67" s="916"/>
      <c r="BE67" s="916"/>
      <c r="BF67" s="916"/>
      <c r="BG67" s="916"/>
      <c r="BH67" s="916"/>
      <c r="BI67" s="916"/>
      <c r="BJ67" s="916"/>
      <c r="BK67" s="916"/>
      <c r="BL67" s="916"/>
      <c r="BM67" s="916"/>
      <c r="BN67" s="916"/>
      <c r="BO67" s="916"/>
      <c r="BP67" s="916"/>
      <c r="BQ67" s="916"/>
      <c r="BR67" s="916"/>
      <c r="BS67" s="916"/>
      <c r="BT67" s="916"/>
    </row>
    <row r="68" spans="1:72" x14ac:dyDescent="0.2">
      <c r="A68" s="916"/>
      <c r="B68" s="916"/>
      <c r="C68" s="916"/>
      <c r="D68" s="916"/>
      <c r="E68" s="916"/>
      <c r="F68" s="916"/>
      <c r="G68" s="916"/>
      <c r="H68" s="916"/>
      <c r="I68" s="916"/>
      <c r="J68" s="916"/>
      <c r="K68" s="916"/>
      <c r="L68" s="916"/>
      <c r="M68" s="916"/>
      <c r="N68" s="916"/>
      <c r="O68" s="916"/>
      <c r="P68" s="916"/>
      <c r="Q68" s="916"/>
      <c r="R68" s="916"/>
      <c r="S68" s="916"/>
      <c r="T68" s="916"/>
      <c r="U68" s="916"/>
      <c r="V68" s="916"/>
      <c r="W68" s="916"/>
      <c r="X68" s="916"/>
      <c r="Y68" s="916"/>
      <c r="Z68" s="916"/>
      <c r="AA68" s="916"/>
      <c r="AB68" s="916"/>
      <c r="AC68" s="916"/>
      <c r="AD68" s="916"/>
      <c r="AE68" s="916"/>
      <c r="AF68" s="916"/>
      <c r="AG68" s="916"/>
      <c r="AH68" s="916"/>
      <c r="AI68" s="916"/>
      <c r="AJ68" s="916"/>
      <c r="AK68" s="916"/>
      <c r="AL68" s="916"/>
      <c r="AM68" s="916"/>
      <c r="AN68" s="916"/>
      <c r="AO68" s="916"/>
      <c r="AP68" s="916"/>
      <c r="AQ68" s="916"/>
      <c r="AR68" s="916"/>
      <c r="AS68" s="916"/>
      <c r="AT68" s="916"/>
      <c r="AU68" s="916"/>
      <c r="AV68" s="916"/>
      <c r="AW68" s="916"/>
      <c r="AX68" s="916"/>
      <c r="AY68" s="916"/>
      <c r="AZ68" s="916"/>
      <c r="BA68" s="916"/>
      <c r="BB68" s="916"/>
      <c r="BC68" s="916"/>
      <c r="BD68" s="916"/>
      <c r="BE68" s="916"/>
      <c r="BF68" s="916"/>
      <c r="BG68" s="916"/>
      <c r="BH68" s="916"/>
      <c r="BI68" s="916"/>
      <c r="BJ68" s="916"/>
      <c r="BK68" s="916"/>
      <c r="BL68" s="916"/>
      <c r="BM68" s="916"/>
      <c r="BN68" s="916"/>
      <c r="BO68" s="916"/>
      <c r="BP68" s="916"/>
      <c r="BQ68" s="916"/>
      <c r="BR68" s="916"/>
      <c r="BS68" s="916"/>
      <c r="BT68" s="916"/>
    </row>
    <row r="69" spans="1:72" x14ac:dyDescent="0.2">
      <c r="A69" s="916"/>
      <c r="B69" s="916"/>
      <c r="C69" s="916"/>
      <c r="D69" s="916"/>
      <c r="E69" s="916"/>
      <c r="F69" s="916"/>
      <c r="G69" s="916"/>
      <c r="H69" s="916"/>
      <c r="I69" s="916"/>
      <c r="J69" s="916"/>
      <c r="K69" s="916"/>
      <c r="L69" s="916"/>
      <c r="M69" s="916"/>
      <c r="N69" s="916"/>
      <c r="O69" s="916"/>
      <c r="P69" s="916"/>
      <c r="Q69" s="916"/>
      <c r="R69" s="916"/>
      <c r="S69" s="916"/>
      <c r="T69" s="916"/>
      <c r="U69" s="916"/>
      <c r="V69" s="916"/>
      <c r="W69" s="916"/>
      <c r="X69" s="916"/>
      <c r="Y69" s="916"/>
      <c r="Z69" s="916"/>
      <c r="AA69" s="916"/>
      <c r="AB69" s="916"/>
      <c r="AC69" s="916"/>
      <c r="AD69" s="916"/>
      <c r="AE69" s="916"/>
      <c r="AF69" s="916"/>
      <c r="AG69" s="916"/>
      <c r="AH69" s="916"/>
      <c r="AI69" s="916"/>
      <c r="AJ69" s="916"/>
      <c r="AK69" s="916"/>
      <c r="AL69" s="916"/>
      <c r="AM69" s="916"/>
      <c r="AN69" s="916"/>
      <c r="AO69" s="916"/>
      <c r="AP69" s="916"/>
      <c r="AQ69" s="916"/>
      <c r="AR69" s="916"/>
      <c r="AS69" s="916"/>
      <c r="AT69" s="916"/>
      <c r="AU69" s="916"/>
      <c r="AV69" s="916"/>
      <c r="AW69" s="916"/>
      <c r="AX69" s="916"/>
      <c r="AY69" s="916"/>
      <c r="AZ69" s="916"/>
      <c r="BA69" s="916"/>
      <c r="BB69" s="916"/>
      <c r="BC69" s="916"/>
      <c r="BD69" s="916"/>
      <c r="BE69" s="916"/>
      <c r="BF69" s="916"/>
      <c r="BG69" s="916"/>
      <c r="BH69" s="916"/>
      <c r="BI69" s="916"/>
      <c r="BJ69" s="916"/>
      <c r="BK69" s="916"/>
      <c r="BL69" s="916"/>
      <c r="BM69" s="916"/>
      <c r="BN69" s="916"/>
      <c r="BO69" s="916"/>
      <c r="BP69" s="916"/>
      <c r="BQ69" s="916"/>
      <c r="BR69" s="916"/>
      <c r="BS69" s="916"/>
      <c r="BT69" s="916"/>
    </row>
    <row r="70" spans="1:72" x14ac:dyDescent="0.2">
      <c r="A70" s="916"/>
      <c r="B70" s="916"/>
      <c r="C70" s="916"/>
      <c r="D70" s="916"/>
      <c r="E70" s="916"/>
      <c r="F70" s="916"/>
      <c r="G70" s="916"/>
      <c r="H70" s="916"/>
      <c r="I70" s="916"/>
      <c r="J70" s="916"/>
      <c r="K70" s="916"/>
      <c r="L70" s="916"/>
      <c r="M70" s="916"/>
      <c r="N70" s="916"/>
      <c r="O70" s="916"/>
      <c r="P70" s="916"/>
      <c r="Q70" s="916"/>
      <c r="R70" s="916"/>
      <c r="S70" s="916"/>
      <c r="T70" s="916"/>
      <c r="U70" s="916"/>
      <c r="V70" s="916"/>
      <c r="W70" s="916"/>
      <c r="X70" s="916"/>
      <c r="Y70" s="916"/>
      <c r="Z70" s="916"/>
      <c r="AA70" s="916"/>
      <c r="AB70" s="916"/>
      <c r="AC70" s="916"/>
      <c r="AD70" s="916"/>
      <c r="AE70" s="916"/>
      <c r="AF70" s="916"/>
      <c r="AG70" s="916"/>
      <c r="AH70" s="916"/>
      <c r="AI70" s="916"/>
      <c r="AJ70" s="916"/>
      <c r="AK70" s="916"/>
      <c r="AL70" s="916"/>
      <c r="AM70" s="916"/>
      <c r="AN70" s="916"/>
      <c r="AO70" s="916"/>
      <c r="AP70" s="916"/>
      <c r="AQ70" s="916"/>
      <c r="AR70" s="916"/>
      <c r="AS70" s="916"/>
      <c r="AT70" s="916"/>
      <c r="AU70" s="916"/>
      <c r="AV70" s="916"/>
      <c r="AW70" s="916"/>
      <c r="AX70" s="916"/>
      <c r="AY70" s="916"/>
      <c r="AZ70" s="916"/>
      <c r="BA70" s="916"/>
      <c r="BB70" s="916"/>
      <c r="BC70" s="916"/>
      <c r="BD70" s="916"/>
      <c r="BE70" s="916"/>
      <c r="BF70" s="916"/>
      <c r="BG70" s="916"/>
      <c r="BH70" s="916"/>
      <c r="BI70" s="916"/>
      <c r="BJ70" s="916"/>
      <c r="BK70" s="916"/>
      <c r="BL70" s="916"/>
      <c r="BM70" s="916"/>
      <c r="BN70" s="916"/>
      <c r="BO70" s="916"/>
      <c r="BP70" s="916"/>
      <c r="BQ70" s="916"/>
      <c r="BR70" s="916"/>
      <c r="BS70" s="916"/>
      <c r="BT70" s="916"/>
    </row>
    <row r="71" spans="1:72" x14ac:dyDescent="0.2">
      <c r="A71" s="916"/>
      <c r="B71" s="916"/>
      <c r="C71" s="916"/>
      <c r="D71" s="916"/>
      <c r="E71" s="916"/>
      <c r="F71" s="916"/>
      <c r="G71" s="916"/>
      <c r="H71" s="916"/>
      <c r="I71" s="916"/>
      <c r="J71" s="916"/>
      <c r="K71" s="916"/>
      <c r="L71" s="916"/>
      <c r="M71" s="916"/>
      <c r="N71" s="916"/>
      <c r="O71" s="916"/>
      <c r="P71" s="916"/>
      <c r="Q71" s="916"/>
      <c r="R71" s="916"/>
      <c r="S71" s="916"/>
      <c r="T71" s="916"/>
      <c r="U71" s="916"/>
      <c r="V71" s="916"/>
      <c r="W71" s="916"/>
      <c r="X71" s="916"/>
      <c r="Y71" s="916"/>
      <c r="Z71" s="916"/>
      <c r="AA71" s="916"/>
      <c r="AB71" s="916"/>
      <c r="AC71" s="916"/>
      <c r="AD71" s="916"/>
      <c r="AE71" s="916"/>
      <c r="AF71" s="916"/>
      <c r="AG71" s="916"/>
      <c r="AH71" s="916"/>
      <c r="AI71" s="916"/>
      <c r="AJ71" s="916"/>
      <c r="AK71" s="916"/>
      <c r="AL71" s="916"/>
      <c r="AM71" s="916"/>
      <c r="AN71" s="916"/>
      <c r="AO71" s="916"/>
      <c r="AP71" s="916"/>
      <c r="AQ71" s="916"/>
      <c r="AR71" s="916"/>
      <c r="AS71" s="916"/>
      <c r="AT71" s="916"/>
      <c r="AU71" s="916"/>
      <c r="AV71" s="916"/>
      <c r="AW71" s="916"/>
      <c r="AX71" s="916"/>
      <c r="AY71" s="916"/>
      <c r="AZ71" s="916"/>
      <c r="BA71" s="916"/>
      <c r="BB71" s="916"/>
      <c r="BC71" s="916"/>
      <c r="BD71" s="916"/>
      <c r="BE71" s="916"/>
      <c r="BF71" s="916"/>
      <c r="BG71" s="916"/>
      <c r="BH71" s="916"/>
      <c r="BI71" s="916"/>
      <c r="BJ71" s="916"/>
      <c r="BK71" s="916"/>
      <c r="BL71" s="916"/>
      <c r="BM71" s="916"/>
      <c r="BN71" s="916"/>
      <c r="BO71" s="916"/>
      <c r="BP71" s="916"/>
      <c r="BQ71" s="916"/>
      <c r="BR71" s="916"/>
      <c r="BS71" s="916"/>
      <c r="BT71" s="916"/>
    </row>
    <row r="72" spans="1:72" x14ac:dyDescent="0.2">
      <c r="A72" s="916" t="s">
        <v>783</v>
      </c>
      <c r="B72" s="916"/>
      <c r="C72" s="916"/>
      <c r="D72" s="916"/>
      <c r="E72" s="916"/>
      <c r="F72" s="916"/>
      <c r="G72" s="916"/>
      <c r="H72" s="916"/>
      <c r="I72" s="916"/>
      <c r="J72" s="916"/>
      <c r="K72" s="916"/>
      <c r="L72" s="916"/>
      <c r="M72" s="916"/>
      <c r="N72" s="916"/>
      <c r="O72" s="916"/>
      <c r="P72" s="916"/>
      <c r="Q72" s="916"/>
      <c r="R72" s="916"/>
      <c r="S72" s="916"/>
      <c r="T72" s="916"/>
      <c r="U72" s="916"/>
      <c r="V72" s="916"/>
      <c r="W72" s="916"/>
      <c r="X72" s="916"/>
      <c r="Y72" s="916"/>
      <c r="Z72" s="916"/>
      <c r="AA72" s="916"/>
      <c r="AB72" s="916"/>
      <c r="AC72" s="916"/>
      <c r="AD72" s="916"/>
      <c r="AE72" s="916"/>
      <c r="AF72" s="916"/>
      <c r="AG72" s="916"/>
      <c r="AH72" s="916"/>
      <c r="AI72" s="916"/>
      <c r="AJ72" s="916"/>
      <c r="AK72" s="916"/>
      <c r="AL72" s="916"/>
      <c r="AM72" s="916"/>
      <c r="AN72" s="916"/>
      <c r="AO72" s="916"/>
      <c r="AP72" s="916"/>
      <c r="AQ72" s="916"/>
      <c r="AR72" s="916"/>
      <c r="AS72" s="916"/>
      <c r="AT72" s="916"/>
      <c r="AU72" s="916"/>
      <c r="AV72" s="916"/>
      <c r="AW72" s="916"/>
      <c r="AX72" s="916"/>
      <c r="AY72" s="916"/>
      <c r="AZ72" s="916"/>
      <c r="BA72" s="916"/>
      <c r="BB72" s="916"/>
      <c r="BC72" s="916"/>
      <c r="BD72" s="916"/>
      <c r="BE72" s="916"/>
      <c r="BF72" s="916"/>
      <c r="BG72" s="916"/>
      <c r="BH72" s="916"/>
      <c r="BI72" s="916"/>
      <c r="BJ72" s="916"/>
      <c r="BK72" s="916"/>
      <c r="BL72" s="916"/>
      <c r="BM72" s="916"/>
      <c r="BN72" s="916"/>
      <c r="BO72" s="916"/>
      <c r="BP72" s="916"/>
      <c r="BQ72" s="916"/>
      <c r="BR72" s="916"/>
      <c r="BS72" s="916"/>
      <c r="BT72" s="916"/>
    </row>
    <row r="73" spans="1:72" x14ac:dyDescent="0.2">
      <c r="A73" s="916"/>
      <c r="B73" s="916"/>
      <c r="C73" s="916"/>
      <c r="D73" s="916"/>
      <c r="E73" s="916"/>
      <c r="F73" s="916"/>
      <c r="G73" s="916"/>
      <c r="H73" s="916"/>
      <c r="I73" s="916"/>
      <c r="J73" s="916"/>
      <c r="K73" s="916"/>
      <c r="L73" s="916"/>
      <c r="M73" s="916"/>
      <c r="N73" s="916"/>
      <c r="O73" s="916"/>
      <c r="P73" s="916"/>
      <c r="Q73" s="916"/>
      <c r="R73" s="916"/>
      <c r="S73" s="916"/>
      <c r="T73" s="916"/>
      <c r="U73" s="916"/>
      <c r="V73" s="916"/>
      <c r="W73" s="916"/>
      <c r="X73" s="916"/>
      <c r="Y73" s="916"/>
      <c r="Z73" s="916"/>
      <c r="AA73" s="916"/>
      <c r="AB73" s="916"/>
      <c r="AC73" s="916"/>
      <c r="AD73" s="916"/>
      <c r="AE73" s="916"/>
      <c r="AF73" s="916"/>
      <c r="AG73" s="916"/>
      <c r="AH73" s="916"/>
      <c r="AI73" s="916"/>
      <c r="AJ73" s="916"/>
      <c r="AK73" s="916"/>
      <c r="AL73" s="916"/>
      <c r="AM73" s="916"/>
      <c r="AN73" s="916"/>
      <c r="AO73" s="916"/>
      <c r="AP73" s="916"/>
      <c r="AQ73" s="916"/>
      <c r="AR73" s="916"/>
      <c r="AS73" s="916"/>
      <c r="AT73" s="916"/>
      <c r="AU73" s="916"/>
      <c r="AV73" s="916"/>
      <c r="AW73" s="916"/>
      <c r="AX73" s="916"/>
      <c r="AY73" s="916"/>
      <c r="AZ73" s="916"/>
      <c r="BA73" s="916"/>
      <c r="BB73" s="916"/>
      <c r="BC73" s="916"/>
      <c r="BD73" s="916"/>
      <c r="BE73" s="916"/>
      <c r="BF73" s="916"/>
      <c r="BG73" s="916"/>
      <c r="BH73" s="916"/>
      <c r="BI73" s="916"/>
      <c r="BJ73" s="916"/>
      <c r="BK73" s="916"/>
      <c r="BL73" s="916"/>
      <c r="BM73" s="916"/>
      <c r="BN73" s="916"/>
      <c r="BO73" s="916"/>
      <c r="BP73" s="916"/>
      <c r="BQ73" s="916"/>
      <c r="BR73" s="916"/>
      <c r="BS73" s="916"/>
      <c r="BT73" s="916"/>
    </row>
    <row r="74" spans="1:72" x14ac:dyDescent="0.2">
      <c r="A74" s="916" t="s">
        <v>784</v>
      </c>
      <c r="B74" s="916"/>
      <c r="C74" s="916"/>
      <c r="D74" s="916"/>
      <c r="E74" s="916"/>
      <c r="F74" s="916"/>
      <c r="G74" s="916"/>
      <c r="H74" s="916"/>
      <c r="I74" s="916"/>
      <c r="J74" s="916"/>
      <c r="K74" s="916"/>
      <c r="L74" s="916"/>
      <c r="M74" s="916"/>
      <c r="N74" s="916"/>
      <c r="O74" s="916"/>
      <c r="P74" s="916"/>
      <c r="Q74" s="916"/>
      <c r="R74" s="916"/>
      <c r="S74" s="916"/>
      <c r="T74" s="916"/>
      <c r="U74" s="916"/>
      <c r="V74" s="916"/>
      <c r="W74" s="916"/>
      <c r="X74" s="916"/>
      <c r="Y74" s="916"/>
      <c r="Z74" s="916"/>
      <c r="AA74" s="916"/>
      <c r="AB74" s="916"/>
      <c r="AC74" s="916"/>
      <c r="AD74" s="916"/>
      <c r="AE74" s="916"/>
      <c r="AF74" s="916"/>
      <c r="AG74" s="916"/>
      <c r="AH74" s="916"/>
      <c r="AI74" s="916"/>
      <c r="AJ74" s="916"/>
      <c r="AK74" s="916"/>
      <c r="AL74" s="916"/>
      <c r="AM74" s="916"/>
      <c r="AN74" s="916"/>
      <c r="AO74" s="916"/>
      <c r="AP74" s="916"/>
      <c r="AQ74" s="916"/>
      <c r="AR74" s="916"/>
      <c r="AS74" s="916"/>
      <c r="AT74" s="916"/>
      <c r="AU74" s="916"/>
      <c r="AV74" s="916"/>
      <c r="AW74" s="916"/>
      <c r="AX74" s="916"/>
      <c r="AY74" s="916"/>
      <c r="AZ74" s="916"/>
      <c r="BA74" s="916"/>
      <c r="BB74" s="916"/>
      <c r="BC74" s="916"/>
      <c r="BD74" s="916"/>
      <c r="BE74" s="916"/>
      <c r="BF74" s="916"/>
      <c r="BG74" s="916"/>
      <c r="BH74" s="916"/>
      <c r="BI74" s="916"/>
      <c r="BJ74" s="916"/>
      <c r="BK74" s="916"/>
      <c r="BL74" s="916"/>
      <c r="BM74" s="916"/>
      <c r="BN74" s="916"/>
      <c r="BO74" s="916"/>
      <c r="BP74" s="916"/>
      <c r="BQ74" s="916"/>
      <c r="BR74" s="916"/>
      <c r="BS74" s="916"/>
      <c r="BT74" s="916"/>
    </row>
    <row r="75" spans="1:72" x14ac:dyDescent="0.2">
      <c r="A75" s="916" t="s">
        <v>785</v>
      </c>
      <c r="B75" s="916"/>
      <c r="C75" s="916"/>
      <c r="D75" s="916"/>
      <c r="E75" s="916"/>
      <c r="F75" s="916"/>
      <c r="G75" s="916"/>
      <c r="H75" s="916"/>
      <c r="I75" s="916"/>
      <c r="J75" s="916"/>
      <c r="K75" s="916"/>
      <c r="L75" s="916"/>
      <c r="M75" s="916"/>
      <c r="N75" s="916"/>
      <c r="O75" s="916"/>
      <c r="P75" s="916"/>
      <c r="Q75" s="916"/>
      <c r="R75" s="916"/>
      <c r="S75" s="916"/>
      <c r="T75" s="916"/>
      <c r="U75" s="916"/>
      <c r="V75" s="916"/>
      <c r="W75" s="916"/>
      <c r="X75" s="916"/>
      <c r="Y75" s="916"/>
      <c r="Z75" s="916"/>
      <c r="AA75" s="916"/>
      <c r="AB75" s="916"/>
      <c r="AC75" s="916"/>
      <c r="AD75" s="916"/>
      <c r="AE75" s="916"/>
      <c r="AF75" s="916"/>
      <c r="AG75" s="916"/>
      <c r="AH75" s="916"/>
      <c r="AI75" s="916"/>
      <c r="AJ75" s="916"/>
      <c r="AK75" s="916"/>
      <c r="AL75" s="916"/>
      <c r="AM75" s="916"/>
      <c r="AN75" s="916"/>
      <c r="AO75" s="916"/>
      <c r="AP75" s="916"/>
      <c r="AQ75" s="916"/>
      <c r="AR75" s="916"/>
      <c r="AS75" s="916"/>
      <c r="AT75" s="916"/>
      <c r="AU75" s="916"/>
      <c r="AV75" s="916"/>
      <c r="AW75" s="916"/>
      <c r="AX75" s="916"/>
      <c r="AY75" s="916"/>
      <c r="AZ75" s="916"/>
      <c r="BA75" s="916"/>
      <c r="BB75" s="916"/>
      <c r="BC75" s="916"/>
      <c r="BD75" s="916"/>
      <c r="BE75" s="916"/>
      <c r="BF75" s="916"/>
      <c r="BG75" s="916"/>
      <c r="BH75" s="916"/>
      <c r="BI75" s="916"/>
      <c r="BJ75" s="916"/>
      <c r="BK75" s="916"/>
      <c r="BL75" s="916"/>
      <c r="BM75" s="916"/>
      <c r="BN75" s="916"/>
      <c r="BO75" s="916"/>
      <c r="BP75" s="916"/>
      <c r="BQ75" s="916"/>
      <c r="BR75" s="916"/>
      <c r="BS75" s="916"/>
      <c r="BT75" s="916"/>
    </row>
    <row r="76" spans="1:72" x14ac:dyDescent="0.2">
      <c r="A76" s="916"/>
      <c r="B76" s="916"/>
      <c r="C76" s="916"/>
      <c r="D76" s="916"/>
      <c r="E76" s="916"/>
      <c r="F76" s="916"/>
      <c r="G76" s="916"/>
      <c r="H76" s="916"/>
      <c r="I76" s="916"/>
      <c r="J76" s="916"/>
      <c r="K76" s="916"/>
      <c r="L76" s="916"/>
      <c r="M76" s="916"/>
      <c r="N76" s="916"/>
      <c r="O76" s="916"/>
      <c r="P76" s="916"/>
      <c r="Q76" s="916"/>
      <c r="R76" s="916"/>
      <c r="S76" s="916"/>
      <c r="T76" s="916"/>
      <c r="U76" s="916"/>
      <c r="V76" s="916"/>
      <c r="W76" s="916"/>
      <c r="X76" s="916"/>
      <c r="Y76" s="916"/>
      <c r="Z76" s="916"/>
      <c r="AA76" s="916"/>
      <c r="AB76" s="916"/>
      <c r="AC76" s="916"/>
      <c r="AD76" s="916"/>
      <c r="AE76" s="916" t="s">
        <v>786</v>
      </c>
      <c r="AF76" s="916"/>
      <c r="AG76" s="916"/>
      <c r="AH76" s="916"/>
      <c r="AI76" s="916"/>
      <c r="AJ76" s="916"/>
      <c r="AK76" s="916"/>
      <c r="AL76" s="916"/>
      <c r="AM76" s="916"/>
      <c r="AN76" s="916"/>
      <c r="AO76" s="916"/>
      <c r="AP76" s="916"/>
      <c r="AQ76" s="916"/>
      <c r="AR76" s="916"/>
      <c r="AS76" s="916"/>
      <c r="AT76" s="916"/>
      <c r="AU76" s="916"/>
      <c r="AV76" s="916"/>
      <c r="AW76" s="916"/>
      <c r="AX76" s="916"/>
      <c r="AY76" s="916"/>
      <c r="AZ76" s="916"/>
      <c r="BA76" s="916"/>
      <c r="BB76" s="916"/>
      <c r="BC76" s="916"/>
      <c r="BD76" s="916"/>
      <c r="BE76" s="916"/>
      <c r="BF76" s="916"/>
      <c r="BG76" s="916"/>
      <c r="BH76" s="916"/>
      <c r="BI76" s="916"/>
      <c r="BJ76" s="916"/>
      <c r="BK76" s="916"/>
      <c r="BL76" s="916"/>
      <c r="BM76" s="916"/>
      <c r="BN76" s="916"/>
      <c r="BO76" s="916"/>
      <c r="BP76" s="916"/>
      <c r="BQ76" s="916"/>
      <c r="BR76" s="916"/>
      <c r="BS76" s="916"/>
      <c r="BT76" s="916"/>
    </row>
    <row r="77" spans="1:72" x14ac:dyDescent="0.2">
      <c r="A77" s="916" t="s">
        <v>787</v>
      </c>
      <c r="B77" s="916">
        <v>2007</v>
      </c>
      <c r="C77" s="916">
        <v>2008</v>
      </c>
      <c r="D77" s="916">
        <v>2009</v>
      </c>
      <c r="E77" s="916">
        <v>2010</v>
      </c>
      <c r="F77" s="916">
        <v>2011</v>
      </c>
      <c r="G77" s="916">
        <v>2012</v>
      </c>
      <c r="H77" s="916">
        <v>2013</v>
      </c>
      <c r="I77" s="916">
        <v>2014</v>
      </c>
      <c r="J77" s="916">
        <v>2015</v>
      </c>
      <c r="K77" s="916">
        <v>2016</v>
      </c>
      <c r="L77" s="916">
        <v>2017</v>
      </c>
      <c r="M77" s="916">
        <v>2018</v>
      </c>
      <c r="N77" s="916">
        <v>2019</v>
      </c>
      <c r="O77" s="916">
        <v>2020</v>
      </c>
      <c r="P77" s="916">
        <v>2021</v>
      </c>
      <c r="Q77" s="916">
        <v>2022</v>
      </c>
      <c r="R77" s="916">
        <v>2023</v>
      </c>
      <c r="S77" s="916">
        <v>2024</v>
      </c>
      <c r="T77" s="916">
        <v>2025</v>
      </c>
      <c r="U77" s="916">
        <v>2026</v>
      </c>
      <c r="V77" s="916">
        <v>2027</v>
      </c>
      <c r="W77" s="916">
        <v>2028</v>
      </c>
      <c r="X77" s="916">
        <v>2029</v>
      </c>
      <c r="Y77" s="916">
        <v>2030</v>
      </c>
      <c r="Z77" s="916">
        <v>2031</v>
      </c>
      <c r="AA77" s="916">
        <v>2032</v>
      </c>
      <c r="AB77" s="916">
        <v>2033</v>
      </c>
      <c r="AC77" s="916">
        <v>2034</v>
      </c>
      <c r="AD77" s="916">
        <v>2035</v>
      </c>
      <c r="AE77" s="916">
        <v>2035</v>
      </c>
      <c r="AF77" s="916"/>
      <c r="AG77" s="916"/>
      <c r="AH77" s="916"/>
      <c r="AI77" s="916"/>
      <c r="AJ77" s="916"/>
      <c r="AK77" s="916"/>
      <c r="AL77" s="916"/>
      <c r="AM77" s="916"/>
      <c r="AN77" s="916"/>
      <c r="AO77" s="916"/>
      <c r="AP77" s="916"/>
      <c r="AQ77" s="916"/>
      <c r="AR77" s="916"/>
      <c r="AS77" s="916"/>
      <c r="AT77" s="916"/>
      <c r="AU77" s="916"/>
      <c r="AV77" s="916"/>
      <c r="AW77" s="916"/>
      <c r="AX77" s="916"/>
      <c r="AY77" s="916"/>
      <c r="AZ77" s="916"/>
      <c r="BA77" s="916"/>
      <c r="BB77" s="916"/>
      <c r="BC77" s="916"/>
      <c r="BD77" s="916"/>
      <c r="BE77" s="916"/>
      <c r="BF77" s="916"/>
      <c r="BG77" s="916"/>
      <c r="BH77" s="916"/>
      <c r="BI77" s="916"/>
      <c r="BJ77" s="916"/>
      <c r="BK77" s="916"/>
      <c r="BL77" s="916"/>
      <c r="BM77" s="916"/>
      <c r="BN77" s="916"/>
      <c r="BO77" s="916"/>
      <c r="BP77" s="916"/>
      <c r="BQ77" s="916"/>
      <c r="BR77" s="916"/>
      <c r="BS77" s="916"/>
      <c r="BT77" s="916"/>
    </row>
    <row r="78" spans="1:72" x14ac:dyDescent="0.2">
      <c r="A78" s="916"/>
      <c r="B78" s="916"/>
      <c r="C78" s="916"/>
      <c r="D78" s="916"/>
      <c r="E78" s="916"/>
      <c r="F78" s="916"/>
      <c r="G78" s="916"/>
      <c r="H78" s="916"/>
      <c r="I78" s="916"/>
      <c r="J78" s="916"/>
      <c r="K78" s="916"/>
      <c r="L78" s="916"/>
      <c r="M78" s="916"/>
      <c r="N78" s="916"/>
      <c r="O78" s="916"/>
      <c r="P78" s="916"/>
      <c r="Q78" s="916"/>
      <c r="R78" s="916"/>
      <c r="S78" s="916"/>
      <c r="T78" s="916"/>
      <c r="U78" s="916"/>
      <c r="V78" s="916"/>
      <c r="W78" s="916"/>
      <c r="X78" s="916"/>
      <c r="Y78" s="916"/>
      <c r="Z78" s="916"/>
      <c r="AA78" s="916"/>
      <c r="AB78" s="916"/>
      <c r="AC78" s="916"/>
      <c r="AD78" s="916"/>
      <c r="AE78" s="916"/>
      <c r="AF78" s="916"/>
      <c r="AG78" s="916"/>
      <c r="AH78" s="916"/>
      <c r="AI78" s="916"/>
      <c r="AJ78" s="916"/>
      <c r="AK78" s="916"/>
      <c r="AL78" s="916"/>
      <c r="AM78" s="916"/>
      <c r="AN78" s="916"/>
      <c r="AO78" s="916"/>
      <c r="AP78" s="916"/>
      <c r="AQ78" s="916"/>
      <c r="AR78" s="916"/>
      <c r="AS78" s="916"/>
      <c r="AT78" s="916"/>
      <c r="AU78" s="916"/>
      <c r="AV78" s="916"/>
      <c r="AW78" s="916"/>
      <c r="AX78" s="916"/>
      <c r="AY78" s="916"/>
      <c r="AZ78" s="916"/>
      <c r="BA78" s="916"/>
      <c r="BB78" s="916"/>
      <c r="BC78" s="916"/>
      <c r="BD78" s="916"/>
      <c r="BE78" s="916"/>
      <c r="BF78" s="916"/>
      <c r="BG78" s="916"/>
      <c r="BH78" s="916"/>
      <c r="BI78" s="916"/>
      <c r="BJ78" s="916"/>
      <c r="BK78" s="916"/>
      <c r="BL78" s="916"/>
      <c r="BM78" s="916"/>
      <c r="BN78" s="916"/>
      <c r="BO78" s="916"/>
      <c r="BP78" s="916"/>
      <c r="BQ78" s="916"/>
      <c r="BR78" s="916"/>
      <c r="BS78" s="916"/>
      <c r="BT78" s="916"/>
    </row>
    <row r="79" spans="1:72" x14ac:dyDescent="0.2">
      <c r="A79" s="916" t="s">
        <v>473</v>
      </c>
      <c r="B79" s="916"/>
      <c r="C79" s="916"/>
      <c r="D79" s="916"/>
      <c r="E79" s="916"/>
      <c r="F79" s="916"/>
      <c r="G79" s="916"/>
      <c r="H79" s="916"/>
      <c r="I79" s="916"/>
      <c r="J79" s="916"/>
      <c r="K79" s="916"/>
      <c r="L79" s="916"/>
      <c r="M79" s="916"/>
      <c r="N79" s="916"/>
      <c r="O79" s="916"/>
      <c r="P79" s="916"/>
      <c r="Q79" s="916"/>
      <c r="R79" s="916"/>
      <c r="S79" s="916"/>
      <c r="T79" s="916"/>
      <c r="U79" s="916"/>
      <c r="V79" s="916"/>
      <c r="W79" s="916"/>
      <c r="X79" s="916"/>
      <c r="Y79" s="916"/>
      <c r="Z79" s="916"/>
      <c r="AA79" s="916"/>
      <c r="AB79" s="916"/>
      <c r="AC79" s="916"/>
      <c r="AD79" s="916"/>
      <c r="AE79" s="916"/>
      <c r="AF79" s="916"/>
      <c r="AG79" s="916"/>
      <c r="AH79" s="916"/>
      <c r="AI79" s="916"/>
      <c r="AJ79" s="916"/>
      <c r="AK79" s="916"/>
      <c r="AL79" s="916"/>
      <c r="AM79" s="916"/>
      <c r="AN79" s="916"/>
      <c r="AO79" s="916"/>
      <c r="AP79" s="916"/>
      <c r="AQ79" s="916"/>
      <c r="AR79" s="916"/>
      <c r="AS79" s="916"/>
      <c r="AT79" s="916"/>
      <c r="AU79" s="916"/>
      <c r="AV79" s="916"/>
      <c r="AW79" s="916"/>
      <c r="AX79" s="916"/>
      <c r="AY79" s="916"/>
      <c r="AZ79" s="916"/>
      <c r="BA79" s="916"/>
      <c r="BB79" s="916"/>
      <c r="BC79" s="916"/>
      <c r="BD79" s="916"/>
      <c r="BE79" s="916"/>
      <c r="BF79" s="916"/>
      <c r="BG79" s="916"/>
      <c r="BH79" s="916"/>
      <c r="BI79" s="916"/>
      <c r="BJ79" s="916"/>
      <c r="BK79" s="916"/>
      <c r="BL79" s="916"/>
      <c r="BM79" s="916"/>
      <c r="BN79" s="916"/>
      <c r="BO79" s="916"/>
      <c r="BP79" s="916"/>
      <c r="BQ79" s="916"/>
      <c r="BR79" s="916"/>
      <c r="BS79" s="916"/>
      <c r="BT79" s="916"/>
    </row>
    <row r="80" spans="1:72" x14ac:dyDescent="0.2">
      <c r="A80" s="916" t="s">
        <v>609</v>
      </c>
      <c r="B80" s="916">
        <v>26.25</v>
      </c>
      <c r="C80" s="916">
        <v>29.35</v>
      </c>
      <c r="D80" s="916">
        <v>24.9</v>
      </c>
      <c r="E80" s="916">
        <v>24.01</v>
      </c>
      <c r="F80" s="916">
        <v>24.09</v>
      </c>
      <c r="G80" s="916">
        <v>25.25</v>
      </c>
      <c r="H80" s="916">
        <v>26.47</v>
      </c>
      <c r="I80" s="916">
        <v>27.44</v>
      </c>
      <c r="J80" s="916">
        <v>28.03</v>
      </c>
      <c r="K80" s="916">
        <v>28.67</v>
      </c>
      <c r="L80" s="916">
        <v>29.21</v>
      </c>
      <c r="M80" s="916">
        <v>29.8</v>
      </c>
      <c r="N80" s="916">
        <v>30.06</v>
      </c>
      <c r="O80" s="916">
        <v>30.29</v>
      </c>
      <c r="P80" s="916">
        <v>30.53</v>
      </c>
      <c r="Q80" s="916">
        <v>30.73</v>
      </c>
      <c r="R80" s="916">
        <v>31.01</v>
      </c>
      <c r="S80" s="916">
        <v>31.28</v>
      </c>
      <c r="T80" s="916">
        <v>31.55</v>
      </c>
      <c r="U80" s="916">
        <v>31.7</v>
      </c>
      <c r="V80" s="916">
        <v>31.98</v>
      </c>
      <c r="W80" s="916">
        <v>32.229999999999997</v>
      </c>
      <c r="X80" s="916">
        <v>32.590000000000003</v>
      </c>
      <c r="Y80" s="916">
        <v>32.81</v>
      </c>
      <c r="Z80" s="916">
        <v>33.17</v>
      </c>
      <c r="AA80" s="916">
        <v>33.51</v>
      </c>
      <c r="AB80" s="916">
        <v>33.9</v>
      </c>
      <c r="AC80" s="916">
        <v>34.26</v>
      </c>
      <c r="AD80" s="916">
        <v>34.65</v>
      </c>
      <c r="AE80" s="955">
        <v>6.0000000000000001E-3</v>
      </c>
      <c r="AF80" s="916"/>
      <c r="AG80" s="916"/>
      <c r="AH80" s="916"/>
      <c r="AI80" s="916"/>
      <c r="AJ80" s="916"/>
      <c r="AK80" s="916"/>
      <c r="AL80" s="916"/>
      <c r="AM80" s="916"/>
      <c r="AN80" s="916"/>
      <c r="AO80" s="916"/>
      <c r="AP80" s="916"/>
      <c r="AQ80" s="916"/>
      <c r="AR80" s="916"/>
      <c r="AS80" s="916"/>
      <c r="AT80" s="916"/>
      <c r="AU80" s="916"/>
      <c r="AV80" s="916"/>
      <c r="AW80" s="916"/>
      <c r="AX80" s="916"/>
      <c r="AY80" s="916"/>
      <c r="AZ80" s="916"/>
      <c r="BA80" s="916"/>
      <c r="BB80" s="916"/>
      <c r="BC80" s="916"/>
      <c r="BD80" s="916"/>
      <c r="BE80" s="916"/>
      <c r="BF80" s="916"/>
      <c r="BG80" s="916"/>
      <c r="BH80" s="916"/>
      <c r="BI80" s="916"/>
      <c r="BJ80" s="916"/>
      <c r="BK80" s="916"/>
      <c r="BL80" s="916"/>
      <c r="BM80" s="916"/>
      <c r="BN80" s="916"/>
      <c r="BO80" s="916"/>
      <c r="BP80" s="916"/>
      <c r="BQ80" s="916"/>
      <c r="BR80" s="916"/>
      <c r="BS80" s="916"/>
      <c r="BT80" s="916"/>
    </row>
    <row r="81" spans="1:72" x14ac:dyDescent="0.2">
      <c r="A81" s="916" t="s">
        <v>610</v>
      </c>
      <c r="B81" s="916">
        <v>20.3</v>
      </c>
      <c r="C81" s="916">
        <v>24.47</v>
      </c>
      <c r="D81" s="916">
        <v>17.98</v>
      </c>
      <c r="E81" s="916">
        <v>17.57</v>
      </c>
      <c r="F81" s="916">
        <v>17.72</v>
      </c>
      <c r="G81" s="916">
        <v>18.84</v>
      </c>
      <c r="H81" s="916">
        <v>19.86</v>
      </c>
      <c r="I81" s="916">
        <v>20.58</v>
      </c>
      <c r="J81" s="916">
        <v>21.08</v>
      </c>
      <c r="K81" s="916">
        <v>22</v>
      </c>
      <c r="L81" s="916">
        <v>22.66</v>
      </c>
      <c r="M81" s="916">
        <v>23.32</v>
      </c>
      <c r="N81" s="916">
        <v>23.74</v>
      </c>
      <c r="O81" s="916">
        <v>24.1</v>
      </c>
      <c r="P81" s="916">
        <v>24.24</v>
      </c>
      <c r="Q81" s="916">
        <v>24.44</v>
      </c>
      <c r="R81" s="916">
        <v>24.76</v>
      </c>
      <c r="S81" s="916">
        <v>24.94</v>
      </c>
      <c r="T81" s="916">
        <v>25.23</v>
      </c>
      <c r="U81" s="916">
        <v>25.5</v>
      </c>
      <c r="V81" s="916">
        <v>25.72</v>
      </c>
      <c r="W81" s="916">
        <v>26.04</v>
      </c>
      <c r="X81" s="916">
        <v>26.44</v>
      </c>
      <c r="Y81" s="916">
        <v>26.61</v>
      </c>
      <c r="Z81" s="916">
        <v>27.05</v>
      </c>
      <c r="AA81" s="916">
        <v>27.45</v>
      </c>
      <c r="AB81" s="916">
        <v>27.82</v>
      </c>
      <c r="AC81" s="916">
        <v>28.24</v>
      </c>
      <c r="AD81" s="916">
        <v>28.66</v>
      </c>
      <c r="AE81" s="955">
        <v>6.0000000000000001E-3</v>
      </c>
      <c r="AF81" s="916"/>
      <c r="AG81" s="916"/>
      <c r="AH81" s="916"/>
      <c r="AI81" s="916"/>
      <c r="AJ81" s="916"/>
      <c r="AK81" s="916"/>
      <c r="AL81" s="916"/>
      <c r="AM81" s="916"/>
      <c r="AN81" s="916"/>
      <c r="AO81" s="916"/>
      <c r="AP81" s="916"/>
      <c r="AQ81" s="916"/>
      <c r="AR81" s="916"/>
      <c r="AS81" s="916"/>
      <c r="AT81" s="916"/>
      <c r="AU81" s="916"/>
      <c r="AV81" s="916"/>
      <c r="AW81" s="916"/>
      <c r="AX81" s="916"/>
      <c r="AY81" s="916"/>
      <c r="AZ81" s="916"/>
      <c r="BA81" s="916"/>
      <c r="BB81" s="916"/>
      <c r="BC81" s="916"/>
      <c r="BD81" s="916"/>
      <c r="BE81" s="916"/>
      <c r="BF81" s="916"/>
      <c r="BG81" s="916"/>
      <c r="BH81" s="916"/>
      <c r="BI81" s="916"/>
      <c r="BJ81" s="916"/>
      <c r="BK81" s="916"/>
      <c r="BL81" s="916"/>
      <c r="BM81" s="916"/>
      <c r="BN81" s="916"/>
      <c r="BO81" s="916"/>
      <c r="BP81" s="916"/>
      <c r="BQ81" s="916"/>
      <c r="BR81" s="916"/>
      <c r="BS81" s="916"/>
      <c r="BT81" s="916"/>
    </row>
    <row r="82" spans="1:72" x14ac:dyDescent="0.2">
      <c r="A82" s="916" t="s">
        <v>510</v>
      </c>
      <c r="B82" s="916">
        <v>12.94</v>
      </c>
      <c r="C82" s="916">
        <v>13.48</v>
      </c>
      <c r="D82" s="916">
        <v>11.39</v>
      </c>
      <c r="E82" s="916">
        <v>10.89</v>
      </c>
      <c r="F82" s="916">
        <v>11.78</v>
      </c>
      <c r="G82" s="916">
        <v>11.87</v>
      </c>
      <c r="H82" s="916">
        <v>11.48</v>
      </c>
      <c r="I82" s="916">
        <v>11.41</v>
      </c>
      <c r="J82" s="916">
        <v>11.56</v>
      </c>
      <c r="K82" s="916">
        <v>11.65</v>
      </c>
      <c r="L82" s="916">
        <v>11.69</v>
      </c>
      <c r="M82" s="916">
        <v>11.76</v>
      </c>
      <c r="N82" s="916">
        <v>11.83</v>
      </c>
      <c r="O82" s="916">
        <v>11.95</v>
      </c>
      <c r="P82" s="916">
        <v>12.07</v>
      </c>
      <c r="Q82" s="916">
        <v>12.26</v>
      </c>
      <c r="R82" s="916">
        <v>12.29</v>
      </c>
      <c r="S82" s="916">
        <v>12.2</v>
      </c>
      <c r="T82" s="916">
        <v>12.29</v>
      </c>
      <c r="U82" s="916">
        <v>12.46</v>
      </c>
      <c r="V82" s="916">
        <v>12.66</v>
      </c>
      <c r="W82" s="916">
        <v>12.9</v>
      </c>
      <c r="X82" s="916">
        <v>13.16</v>
      </c>
      <c r="Y82" s="916">
        <v>13.44</v>
      </c>
      <c r="Z82" s="916">
        <v>13.78</v>
      </c>
      <c r="AA82" s="916">
        <v>13.93</v>
      </c>
      <c r="AB82" s="916">
        <v>14.03</v>
      </c>
      <c r="AC82" s="916">
        <v>14.25</v>
      </c>
      <c r="AD82" s="916">
        <v>14.4</v>
      </c>
      <c r="AE82" s="955">
        <v>2E-3</v>
      </c>
      <c r="AF82" s="916"/>
      <c r="AG82" s="916"/>
      <c r="AH82" s="916"/>
      <c r="AI82" s="916"/>
      <c r="AJ82" s="916"/>
      <c r="AK82" s="916"/>
      <c r="AL82" s="916"/>
      <c r="AM82" s="916"/>
      <c r="AN82" s="916"/>
      <c r="AO82" s="916"/>
      <c r="AP82" s="916"/>
      <c r="AQ82" s="916"/>
      <c r="AR82" s="916"/>
      <c r="AS82" s="916"/>
      <c r="AT82" s="916"/>
      <c r="AU82" s="916"/>
      <c r="AV82" s="916"/>
      <c r="AW82" s="916"/>
      <c r="AX82" s="916"/>
      <c r="AY82" s="916"/>
      <c r="AZ82" s="916"/>
      <c r="BA82" s="916"/>
      <c r="BB82" s="916"/>
      <c r="BC82" s="916"/>
      <c r="BD82" s="916"/>
      <c r="BE82" s="916"/>
      <c r="BF82" s="916"/>
      <c r="BG82" s="916"/>
      <c r="BH82" s="916"/>
      <c r="BI82" s="916"/>
      <c r="BJ82" s="916"/>
      <c r="BK82" s="916"/>
      <c r="BL82" s="916"/>
      <c r="BM82" s="916"/>
      <c r="BN82" s="916"/>
      <c r="BO82" s="916"/>
      <c r="BP82" s="916"/>
      <c r="BQ82" s="916"/>
      <c r="BR82" s="916"/>
      <c r="BS82" s="916"/>
      <c r="BT82" s="916"/>
    </row>
    <row r="83" spans="1:72" x14ac:dyDescent="0.2">
      <c r="A83" s="916" t="s">
        <v>479</v>
      </c>
      <c r="B83" s="916">
        <v>31.82</v>
      </c>
      <c r="C83" s="916">
        <v>33.29</v>
      </c>
      <c r="D83" s="916">
        <v>32.33</v>
      </c>
      <c r="E83" s="916">
        <v>30.94</v>
      </c>
      <c r="F83" s="916">
        <v>29.9</v>
      </c>
      <c r="G83" s="916">
        <v>31.08</v>
      </c>
      <c r="H83" s="916">
        <v>31.47</v>
      </c>
      <c r="I83" s="916">
        <v>31.49</v>
      </c>
      <c r="J83" s="916">
        <v>31.43</v>
      </c>
      <c r="K83" s="916">
        <v>31.64</v>
      </c>
      <c r="L83" s="916">
        <v>31.8</v>
      </c>
      <c r="M83" s="916">
        <v>31.78</v>
      </c>
      <c r="N83" s="916">
        <v>31.68</v>
      </c>
      <c r="O83" s="916">
        <v>31.84</v>
      </c>
      <c r="P83" s="916">
        <v>32.01</v>
      </c>
      <c r="Q83" s="916">
        <v>32.08</v>
      </c>
      <c r="R83" s="916">
        <v>32.200000000000003</v>
      </c>
      <c r="S83" s="916">
        <v>32.28</v>
      </c>
      <c r="T83" s="916">
        <v>32.26</v>
      </c>
      <c r="U83" s="916">
        <v>32.4</v>
      </c>
      <c r="V83" s="916">
        <v>32.57</v>
      </c>
      <c r="W83" s="916">
        <v>32.729999999999997</v>
      </c>
      <c r="X83" s="916">
        <v>33.130000000000003</v>
      </c>
      <c r="Y83" s="916">
        <v>33.46</v>
      </c>
      <c r="Z83" s="916">
        <v>33.81</v>
      </c>
      <c r="AA83" s="916">
        <v>34.11</v>
      </c>
      <c r="AB83" s="916">
        <v>34.26</v>
      </c>
      <c r="AC83" s="916">
        <v>34.49</v>
      </c>
      <c r="AD83" s="916">
        <v>34.71</v>
      </c>
      <c r="AE83" s="955">
        <v>2E-3</v>
      </c>
      <c r="AF83" s="916"/>
      <c r="AG83" s="916"/>
      <c r="AH83" s="916"/>
      <c r="AI83" s="916"/>
      <c r="AJ83" s="916"/>
      <c r="AK83" s="916"/>
      <c r="AL83" s="916"/>
      <c r="AM83" s="916"/>
      <c r="AN83" s="916"/>
      <c r="AO83" s="916"/>
      <c r="AP83" s="916"/>
      <c r="AQ83" s="916"/>
      <c r="AR83" s="916"/>
      <c r="AS83" s="916"/>
      <c r="AT83" s="916"/>
      <c r="AU83" s="916"/>
      <c r="AV83" s="916"/>
      <c r="AW83" s="916"/>
      <c r="AX83" s="916"/>
      <c r="AY83" s="916"/>
      <c r="AZ83" s="916"/>
      <c r="BA83" s="916"/>
      <c r="BB83" s="916"/>
      <c r="BC83" s="916"/>
      <c r="BD83" s="916"/>
      <c r="BE83" s="916"/>
      <c r="BF83" s="916"/>
      <c r="BG83" s="916"/>
      <c r="BH83" s="916"/>
      <c r="BI83" s="916"/>
      <c r="BJ83" s="916"/>
      <c r="BK83" s="916"/>
      <c r="BL83" s="916"/>
      <c r="BM83" s="916"/>
      <c r="BN83" s="916"/>
      <c r="BO83" s="916"/>
      <c r="BP83" s="916"/>
      <c r="BQ83" s="916"/>
      <c r="BR83" s="916"/>
      <c r="BS83" s="916"/>
      <c r="BT83" s="916"/>
    </row>
    <row r="84" spans="1:72" x14ac:dyDescent="0.2">
      <c r="A84" s="916"/>
      <c r="B84" s="916"/>
      <c r="C84" s="916"/>
      <c r="D84" s="916"/>
      <c r="E84" s="916"/>
      <c r="F84" s="916"/>
      <c r="G84" s="916"/>
      <c r="H84" s="916"/>
      <c r="I84" s="916"/>
      <c r="J84" s="916"/>
      <c r="K84" s="916"/>
      <c r="L84" s="916"/>
      <c r="M84" s="916"/>
      <c r="N84" s="916"/>
      <c r="O84" s="916"/>
      <c r="P84" s="916"/>
      <c r="Q84" s="916"/>
      <c r="R84" s="916"/>
      <c r="S84" s="916"/>
      <c r="T84" s="916"/>
      <c r="U84" s="916"/>
      <c r="V84" s="916"/>
      <c r="W84" s="916"/>
      <c r="X84" s="916"/>
      <c r="Y84" s="916"/>
      <c r="Z84" s="916"/>
      <c r="AA84" s="916"/>
      <c r="AB84" s="916"/>
      <c r="AC84" s="916"/>
      <c r="AD84" s="916"/>
      <c r="AE84" s="916"/>
      <c r="AF84" s="916"/>
      <c r="AG84" s="916"/>
      <c r="AH84" s="916"/>
      <c r="AI84" s="916"/>
      <c r="AJ84" s="916"/>
      <c r="AK84" s="916"/>
      <c r="AL84" s="916"/>
      <c r="AM84" s="916"/>
      <c r="AN84" s="916"/>
      <c r="AO84" s="916"/>
      <c r="AP84" s="916"/>
      <c r="AQ84" s="916"/>
      <c r="AR84" s="916"/>
      <c r="AS84" s="916"/>
      <c r="AT84" s="916"/>
      <c r="AU84" s="916"/>
      <c r="AV84" s="916"/>
      <c r="AW84" s="916"/>
      <c r="AX84" s="916"/>
      <c r="AY84" s="916"/>
      <c r="AZ84" s="916"/>
      <c r="BA84" s="916"/>
      <c r="BB84" s="916"/>
      <c r="BC84" s="916"/>
      <c r="BD84" s="916"/>
      <c r="BE84" s="916"/>
      <c r="BF84" s="916"/>
      <c r="BG84" s="916"/>
      <c r="BH84" s="916"/>
      <c r="BI84" s="916"/>
      <c r="BJ84" s="916"/>
      <c r="BK84" s="916"/>
      <c r="BL84" s="916"/>
      <c r="BM84" s="916"/>
      <c r="BN84" s="916"/>
      <c r="BO84" s="916"/>
      <c r="BP84" s="916"/>
      <c r="BQ84" s="916"/>
      <c r="BR84" s="916"/>
      <c r="BS84" s="916"/>
      <c r="BT84" s="916"/>
    </row>
    <row r="85" spans="1:72" x14ac:dyDescent="0.2">
      <c r="A85" s="916" t="s">
        <v>480</v>
      </c>
      <c r="B85" s="916"/>
      <c r="C85" s="916"/>
      <c r="D85" s="916"/>
      <c r="E85" s="916"/>
      <c r="F85" s="916"/>
      <c r="G85" s="916"/>
      <c r="H85" s="916"/>
      <c r="I85" s="916"/>
      <c r="J85" s="916"/>
      <c r="K85" s="916"/>
      <c r="L85" s="916"/>
      <c r="M85" s="916"/>
      <c r="N85" s="916"/>
      <c r="O85" s="916"/>
      <c r="P85" s="916"/>
      <c r="Q85" s="916"/>
      <c r="R85" s="916"/>
      <c r="S85" s="916"/>
      <c r="T85" s="916"/>
      <c r="U85" s="916"/>
      <c r="V85" s="916"/>
      <c r="W85" s="916"/>
      <c r="X85" s="916"/>
      <c r="Y85" s="916"/>
      <c r="Z85" s="916"/>
      <c r="AA85" s="916"/>
      <c r="AB85" s="916"/>
      <c r="AC85" s="916"/>
      <c r="AD85" s="916"/>
      <c r="AE85" s="916"/>
      <c r="AF85" s="916"/>
      <c r="AG85" s="916"/>
      <c r="AH85" s="916"/>
      <c r="AI85" s="916"/>
      <c r="AJ85" s="916"/>
      <c r="AK85" s="916"/>
      <c r="AL85" s="916"/>
      <c r="AM85" s="916"/>
      <c r="AN85" s="916"/>
      <c r="AO85" s="916"/>
      <c r="AP85" s="916"/>
      <c r="AQ85" s="916"/>
      <c r="AR85" s="916"/>
      <c r="AS85" s="916"/>
      <c r="AT85" s="916"/>
      <c r="AU85" s="916"/>
      <c r="AV85" s="916"/>
      <c r="AW85" s="916"/>
      <c r="AX85" s="916"/>
      <c r="AY85" s="916"/>
      <c r="AZ85" s="916"/>
      <c r="BA85" s="916"/>
      <c r="BB85" s="916"/>
      <c r="BC85" s="916"/>
      <c r="BD85" s="916"/>
      <c r="BE85" s="916"/>
      <c r="BF85" s="916"/>
      <c r="BG85" s="916"/>
      <c r="BH85" s="916"/>
      <c r="BI85" s="916"/>
      <c r="BJ85" s="916"/>
      <c r="BK85" s="916"/>
      <c r="BL85" s="916"/>
      <c r="BM85" s="916"/>
      <c r="BN85" s="916"/>
      <c r="BO85" s="916"/>
      <c r="BP85" s="916"/>
      <c r="BQ85" s="916"/>
      <c r="BR85" s="916"/>
      <c r="BS85" s="916"/>
      <c r="BT85" s="916"/>
    </row>
    <row r="86" spans="1:72" x14ac:dyDescent="0.2">
      <c r="A86" s="916" t="s">
        <v>609</v>
      </c>
      <c r="B86" s="916">
        <v>20.65</v>
      </c>
      <c r="C86" s="916">
        <v>26.15</v>
      </c>
      <c r="D86" s="916">
        <v>19.82</v>
      </c>
      <c r="E86" s="916">
        <v>20.78</v>
      </c>
      <c r="F86" s="916">
        <v>20.86</v>
      </c>
      <c r="G86" s="916">
        <v>22.02</v>
      </c>
      <c r="H86" s="916">
        <v>23.23</v>
      </c>
      <c r="I86" s="916">
        <v>24.19</v>
      </c>
      <c r="J86" s="916">
        <v>24.77</v>
      </c>
      <c r="K86" s="916">
        <v>25.41</v>
      </c>
      <c r="L86" s="916">
        <v>25.95</v>
      </c>
      <c r="M86" s="916">
        <v>26.53</v>
      </c>
      <c r="N86" s="916">
        <v>26.79</v>
      </c>
      <c r="O86" s="916">
        <v>27.02</v>
      </c>
      <c r="P86" s="916">
        <v>27.25</v>
      </c>
      <c r="Q86" s="916">
        <v>27.46</v>
      </c>
      <c r="R86" s="916">
        <v>27.73</v>
      </c>
      <c r="S86" s="916">
        <v>28</v>
      </c>
      <c r="T86" s="916">
        <v>28.26</v>
      </c>
      <c r="U86" s="916">
        <v>28.41</v>
      </c>
      <c r="V86" s="916">
        <v>28.68</v>
      </c>
      <c r="W86" s="916">
        <v>28.93</v>
      </c>
      <c r="X86" s="916">
        <v>29.28</v>
      </c>
      <c r="Y86" s="916">
        <v>29.5</v>
      </c>
      <c r="Z86" s="916">
        <v>29.86</v>
      </c>
      <c r="AA86" s="916">
        <v>30.19</v>
      </c>
      <c r="AB86" s="916">
        <v>30.58</v>
      </c>
      <c r="AC86" s="916">
        <v>30.94</v>
      </c>
      <c r="AD86" s="916">
        <v>31.32</v>
      </c>
      <c r="AE86" s="955">
        <v>7.0000000000000001E-3</v>
      </c>
      <c r="AF86" s="916"/>
      <c r="AG86" s="916"/>
      <c r="AH86" s="916"/>
      <c r="AI86" s="916"/>
      <c r="AJ86" s="916"/>
      <c r="AK86" s="916"/>
      <c r="AL86" s="916"/>
      <c r="AM86" s="916"/>
      <c r="AN86" s="916"/>
      <c r="AO86" s="916"/>
      <c r="AP86" s="916"/>
      <c r="AQ86" s="916"/>
      <c r="AR86" s="916"/>
      <c r="AS86" s="916"/>
      <c r="AT86" s="916"/>
      <c r="AU86" s="916"/>
      <c r="AV86" s="916"/>
      <c r="AW86" s="916"/>
      <c r="AX86" s="916"/>
      <c r="AY86" s="916"/>
      <c r="AZ86" s="916"/>
      <c r="BA86" s="916"/>
      <c r="BB86" s="916"/>
      <c r="BC86" s="916"/>
      <c r="BD86" s="916"/>
      <c r="BE86" s="916"/>
      <c r="BF86" s="916"/>
      <c r="BG86" s="916"/>
      <c r="BH86" s="916"/>
      <c r="BI86" s="916"/>
      <c r="BJ86" s="916"/>
      <c r="BK86" s="916"/>
      <c r="BL86" s="916"/>
      <c r="BM86" s="916"/>
      <c r="BN86" s="916"/>
      <c r="BO86" s="916"/>
      <c r="BP86" s="916"/>
      <c r="BQ86" s="916"/>
      <c r="BR86" s="916"/>
      <c r="BS86" s="916"/>
      <c r="BT86" s="916"/>
    </row>
    <row r="87" spans="1:72" x14ac:dyDescent="0.2">
      <c r="A87" s="916" t="s">
        <v>610</v>
      </c>
      <c r="B87" s="916">
        <v>17.48</v>
      </c>
      <c r="C87" s="916">
        <v>21.5</v>
      </c>
      <c r="D87" s="916">
        <v>15.8</v>
      </c>
      <c r="E87" s="916">
        <v>14.82</v>
      </c>
      <c r="F87" s="916">
        <v>15.24</v>
      </c>
      <c r="G87" s="916">
        <v>16.38</v>
      </c>
      <c r="H87" s="916">
        <v>17.399999999999999</v>
      </c>
      <c r="I87" s="916">
        <v>18.11</v>
      </c>
      <c r="J87" s="916">
        <v>18.72</v>
      </c>
      <c r="K87" s="916">
        <v>19.559999999999999</v>
      </c>
      <c r="L87" s="916">
        <v>20.2</v>
      </c>
      <c r="M87" s="916">
        <v>20.84</v>
      </c>
      <c r="N87" s="916">
        <v>21.26</v>
      </c>
      <c r="O87" s="916">
        <v>21.6</v>
      </c>
      <c r="P87" s="916">
        <v>21.78</v>
      </c>
      <c r="Q87" s="916">
        <v>22.04</v>
      </c>
      <c r="R87" s="916">
        <v>22.29</v>
      </c>
      <c r="S87" s="916">
        <v>22.43</v>
      </c>
      <c r="T87" s="916">
        <v>22.72</v>
      </c>
      <c r="U87" s="916">
        <v>22.97</v>
      </c>
      <c r="V87" s="916">
        <v>23.21</v>
      </c>
      <c r="W87" s="916">
        <v>23.53</v>
      </c>
      <c r="X87" s="916">
        <v>23.93</v>
      </c>
      <c r="Y87" s="916">
        <v>24.11</v>
      </c>
      <c r="Z87" s="916">
        <v>24.54</v>
      </c>
      <c r="AA87" s="916">
        <v>24.94</v>
      </c>
      <c r="AB87" s="916">
        <v>25.28</v>
      </c>
      <c r="AC87" s="916">
        <v>25.69</v>
      </c>
      <c r="AD87" s="916">
        <v>26.13</v>
      </c>
      <c r="AE87" s="955">
        <v>7.0000000000000001E-3</v>
      </c>
      <c r="AF87" s="916"/>
      <c r="AG87" s="916"/>
      <c r="AH87" s="916"/>
      <c r="AI87" s="916"/>
      <c r="AJ87" s="916"/>
      <c r="AK87" s="916"/>
      <c r="AL87" s="916"/>
      <c r="AM87" s="916"/>
      <c r="AN87" s="916"/>
      <c r="AO87" s="916"/>
      <c r="AP87" s="916"/>
      <c r="AQ87" s="916"/>
      <c r="AR87" s="916"/>
      <c r="AS87" s="916"/>
      <c r="AT87" s="916"/>
      <c r="AU87" s="916"/>
      <c r="AV87" s="916"/>
      <c r="AW87" s="916"/>
      <c r="AX87" s="916"/>
      <c r="AY87" s="916"/>
      <c r="AZ87" s="916"/>
      <c r="BA87" s="916"/>
      <c r="BB87" s="916"/>
      <c r="BC87" s="916"/>
      <c r="BD87" s="916"/>
      <c r="BE87" s="916"/>
      <c r="BF87" s="916"/>
      <c r="BG87" s="916"/>
      <c r="BH87" s="916"/>
      <c r="BI87" s="916"/>
      <c r="BJ87" s="916"/>
      <c r="BK87" s="916"/>
      <c r="BL87" s="916"/>
      <c r="BM87" s="916"/>
      <c r="BN87" s="916"/>
      <c r="BO87" s="916"/>
      <c r="BP87" s="916"/>
      <c r="BQ87" s="916"/>
      <c r="BR87" s="916"/>
      <c r="BS87" s="916"/>
      <c r="BT87" s="916"/>
    </row>
    <row r="88" spans="1:72" x14ac:dyDescent="0.2">
      <c r="A88" s="916" t="s">
        <v>723</v>
      </c>
      <c r="B88" s="916">
        <v>8.39</v>
      </c>
      <c r="C88" s="916">
        <v>15.52</v>
      </c>
      <c r="D88" s="916">
        <v>9.27</v>
      </c>
      <c r="E88" s="916">
        <v>9.4499999999999993</v>
      </c>
      <c r="F88" s="916">
        <v>9.6300000000000008</v>
      </c>
      <c r="G88" s="916">
        <v>10.85</v>
      </c>
      <c r="H88" s="916">
        <v>11.98</v>
      </c>
      <c r="I88" s="916">
        <v>12.76</v>
      </c>
      <c r="J88" s="916">
        <v>13.13</v>
      </c>
      <c r="K88" s="916">
        <v>13.68</v>
      </c>
      <c r="L88" s="916">
        <v>14.17</v>
      </c>
      <c r="M88" s="916">
        <v>14.69</v>
      </c>
      <c r="N88" s="916">
        <v>15.26</v>
      </c>
      <c r="O88" s="916">
        <v>15.46</v>
      </c>
      <c r="P88" s="916">
        <v>15.68</v>
      </c>
      <c r="Q88" s="916">
        <v>15.89</v>
      </c>
      <c r="R88" s="916">
        <v>16.12</v>
      </c>
      <c r="S88" s="916">
        <v>16.34</v>
      </c>
      <c r="T88" s="916">
        <v>16.54</v>
      </c>
      <c r="U88" s="916">
        <v>16.63</v>
      </c>
      <c r="V88" s="916">
        <v>16.82</v>
      </c>
      <c r="W88" s="916">
        <v>17.059999999999999</v>
      </c>
      <c r="X88" s="916">
        <v>17.28</v>
      </c>
      <c r="Y88" s="916">
        <v>17.54</v>
      </c>
      <c r="Z88" s="916">
        <v>17.89</v>
      </c>
      <c r="AA88" s="916">
        <v>18.12</v>
      </c>
      <c r="AB88" s="916">
        <v>18.25</v>
      </c>
      <c r="AC88" s="916">
        <v>18.68</v>
      </c>
      <c r="AD88" s="916">
        <v>18.84</v>
      </c>
      <c r="AE88" s="955">
        <v>7.0000000000000001E-3</v>
      </c>
      <c r="AF88" s="916"/>
      <c r="AG88" s="916"/>
      <c r="AH88" s="916"/>
      <c r="AI88" s="916"/>
      <c r="AJ88" s="916"/>
      <c r="AK88" s="916"/>
      <c r="AL88" s="916"/>
      <c r="AM88" s="916"/>
      <c r="AN88" s="916"/>
      <c r="AO88" s="916"/>
      <c r="AP88" s="916"/>
      <c r="AQ88" s="916"/>
      <c r="AR88" s="916"/>
      <c r="AS88" s="916"/>
      <c r="AT88" s="916"/>
      <c r="AU88" s="916"/>
      <c r="AV88" s="916"/>
      <c r="AW88" s="916"/>
      <c r="AX88" s="916"/>
      <c r="AY88" s="916"/>
      <c r="AZ88" s="916"/>
      <c r="BA88" s="916"/>
      <c r="BB88" s="916"/>
      <c r="BC88" s="916"/>
      <c r="BD88" s="916"/>
      <c r="BE88" s="916"/>
      <c r="BF88" s="916"/>
      <c r="BG88" s="916"/>
      <c r="BH88" s="916"/>
      <c r="BI88" s="916"/>
      <c r="BJ88" s="916"/>
      <c r="BK88" s="916"/>
      <c r="BL88" s="916"/>
      <c r="BM88" s="916"/>
      <c r="BN88" s="916"/>
      <c r="BO88" s="916"/>
      <c r="BP88" s="916"/>
      <c r="BQ88" s="916"/>
      <c r="BR88" s="916"/>
      <c r="BS88" s="916"/>
      <c r="BT88" s="916"/>
    </row>
    <row r="89" spans="1:72" x14ac:dyDescent="0.2">
      <c r="A89" s="916" t="s">
        <v>510</v>
      </c>
      <c r="B89" s="916">
        <v>11.2</v>
      </c>
      <c r="C89" s="916">
        <v>11.94</v>
      </c>
      <c r="D89" s="916">
        <v>9.0500000000000007</v>
      </c>
      <c r="E89" s="916">
        <v>8.67</v>
      </c>
      <c r="F89" s="916">
        <v>9.7200000000000006</v>
      </c>
      <c r="G89" s="916">
        <v>10.07</v>
      </c>
      <c r="H89" s="916">
        <v>9.92</v>
      </c>
      <c r="I89" s="916">
        <v>9.85</v>
      </c>
      <c r="J89" s="916">
        <v>9.99</v>
      </c>
      <c r="K89" s="916">
        <v>10.08</v>
      </c>
      <c r="L89" s="916">
        <v>10.11</v>
      </c>
      <c r="M89" s="916">
        <v>10.16</v>
      </c>
      <c r="N89" s="916">
        <v>10.23</v>
      </c>
      <c r="O89" s="916">
        <v>10.35</v>
      </c>
      <c r="P89" s="916">
        <v>10.46</v>
      </c>
      <c r="Q89" s="916">
        <v>10.65</v>
      </c>
      <c r="R89" s="916">
        <v>10.69</v>
      </c>
      <c r="S89" s="916">
        <v>10.62</v>
      </c>
      <c r="T89" s="916">
        <v>10.7</v>
      </c>
      <c r="U89" s="916">
        <v>10.86</v>
      </c>
      <c r="V89" s="916">
        <v>11.04</v>
      </c>
      <c r="W89" s="916">
        <v>11.28</v>
      </c>
      <c r="X89" s="916">
        <v>11.52</v>
      </c>
      <c r="Y89" s="916">
        <v>11.78</v>
      </c>
      <c r="Z89" s="916">
        <v>12.11</v>
      </c>
      <c r="AA89" s="916">
        <v>12.26</v>
      </c>
      <c r="AB89" s="916">
        <v>12.32</v>
      </c>
      <c r="AC89" s="916">
        <v>12.52</v>
      </c>
      <c r="AD89" s="916">
        <v>12.66</v>
      </c>
      <c r="AE89" s="955">
        <v>2E-3</v>
      </c>
      <c r="AF89" s="916"/>
      <c r="AG89" s="916"/>
      <c r="AH89" s="916"/>
      <c r="AI89" s="916"/>
      <c r="AJ89" s="916"/>
      <c r="AK89" s="916"/>
      <c r="AL89" s="916"/>
      <c r="AM89" s="916"/>
      <c r="AN89" s="916"/>
      <c r="AO89" s="916"/>
      <c r="AP89" s="916"/>
      <c r="AQ89" s="916"/>
      <c r="AR89" s="916"/>
      <c r="AS89" s="916"/>
      <c r="AT89" s="916"/>
      <c r="AU89" s="916"/>
      <c r="AV89" s="916"/>
      <c r="AW89" s="916"/>
      <c r="AX89" s="916"/>
      <c r="AY89" s="916"/>
      <c r="AZ89" s="916"/>
      <c r="BA89" s="916"/>
      <c r="BB89" s="916"/>
      <c r="BC89" s="916"/>
      <c r="BD89" s="916"/>
      <c r="BE89" s="916"/>
      <c r="BF89" s="916"/>
      <c r="BG89" s="916"/>
      <c r="BH89" s="916"/>
      <c r="BI89" s="916"/>
      <c r="BJ89" s="916"/>
      <c r="BK89" s="916"/>
      <c r="BL89" s="916"/>
      <c r="BM89" s="916"/>
      <c r="BN89" s="916"/>
      <c r="BO89" s="916"/>
      <c r="BP89" s="916"/>
      <c r="BQ89" s="916"/>
      <c r="BR89" s="916"/>
      <c r="BS89" s="916"/>
      <c r="BT89" s="916"/>
    </row>
    <row r="90" spans="1:72" x14ac:dyDescent="0.2">
      <c r="A90" s="916" t="s">
        <v>479</v>
      </c>
      <c r="B90" s="916">
        <v>28.81</v>
      </c>
      <c r="C90" s="916">
        <v>30.47</v>
      </c>
      <c r="D90" s="916">
        <v>28.94</v>
      </c>
      <c r="E90" s="916">
        <v>27.37</v>
      </c>
      <c r="F90" s="916">
        <v>25.72</v>
      </c>
      <c r="G90" s="916">
        <v>26.72</v>
      </c>
      <c r="H90" s="916">
        <v>26.81</v>
      </c>
      <c r="I90" s="916">
        <v>26.55</v>
      </c>
      <c r="J90" s="916">
        <v>26.55</v>
      </c>
      <c r="K90" s="916">
        <v>26.81</v>
      </c>
      <c r="L90" s="916">
        <v>26.97</v>
      </c>
      <c r="M90" s="916">
        <v>26.98</v>
      </c>
      <c r="N90" s="916">
        <v>26.93</v>
      </c>
      <c r="O90" s="916">
        <v>27.12</v>
      </c>
      <c r="P90" s="916">
        <v>27.31</v>
      </c>
      <c r="Q90" s="916">
        <v>27.42</v>
      </c>
      <c r="R90" s="916">
        <v>27.62</v>
      </c>
      <c r="S90" s="916">
        <v>27.77</v>
      </c>
      <c r="T90" s="916">
        <v>27.72</v>
      </c>
      <c r="U90" s="916">
        <v>27.87</v>
      </c>
      <c r="V90" s="916">
        <v>28.05</v>
      </c>
      <c r="W90" s="916">
        <v>28.25</v>
      </c>
      <c r="X90" s="916">
        <v>28.67</v>
      </c>
      <c r="Y90" s="916">
        <v>28.99</v>
      </c>
      <c r="Z90" s="916">
        <v>29.37</v>
      </c>
      <c r="AA90" s="916">
        <v>29.73</v>
      </c>
      <c r="AB90" s="916">
        <v>29.9</v>
      </c>
      <c r="AC90" s="916">
        <v>30.15</v>
      </c>
      <c r="AD90" s="916">
        <v>30.37</v>
      </c>
      <c r="AE90" s="955">
        <v>0</v>
      </c>
      <c r="AF90" s="916"/>
      <c r="AG90" s="916"/>
      <c r="AH90" s="916"/>
      <c r="AI90" s="916"/>
      <c r="AJ90" s="916"/>
      <c r="AK90" s="916"/>
      <c r="AL90" s="916"/>
      <c r="AM90" s="916"/>
      <c r="AN90" s="916"/>
      <c r="AO90" s="916"/>
      <c r="AP90" s="916"/>
      <c r="AQ90" s="916"/>
      <c r="AR90" s="916"/>
      <c r="AS90" s="916"/>
      <c r="AT90" s="916"/>
      <c r="AU90" s="916"/>
      <c r="AV90" s="916"/>
      <c r="AW90" s="916"/>
      <c r="AX90" s="916"/>
      <c r="AY90" s="916"/>
      <c r="AZ90" s="916"/>
      <c r="BA90" s="916"/>
      <c r="BB90" s="916"/>
      <c r="BC90" s="916"/>
      <c r="BD90" s="916"/>
      <c r="BE90" s="916"/>
      <c r="BF90" s="916"/>
      <c r="BG90" s="916"/>
      <c r="BH90" s="916"/>
      <c r="BI90" s="916"/>
      <c r="BJ90" s="916"/>
      <c r="BK90" s="916"/>
      <c r="BL90" s="916"/>
      <c r="BM90" s="916"/>
      <c r="BN90" s="916"/>
      <c r="BO90" s="916"/>
      <c r="BP90" s="916"/>
      <c r="BQ90" s="916"/>
      <c r="BR90" s="916"/>
      <c r="BS90" s="916"/>
      <c r="BT90" s="916"/>
    </row>
    <row r="91" spans="1:72" x14ac:dyDescent="0.2">
      <c r="A91" s="916"/>
      <c r="B91" s="916"/>
      <c r="C91" s="916"/>
      <c r="D91" s="916"/>
      <c r="E91" s="916"/>
      <c r="F91" s="916"/>
      <c r="G91" s="916"/>
      <c r="H91" s="916"/>
      <c r="I91" s="916"/>
      <c r="J91" s="916"/>
      <c r="K91" s="916"/>
      <c r="L91" s="916"/>
      <c r="M91" s="916"/>
      <c r="N91" s="916"/>
      <c r="O91" s="916"/>
      <c r="P91" s="916"/>
      <c r="Q91" s="916"/>
      <c r="R91" s="916"/>
      <c r="S91" s="916"/>
      <c r="T91" s="916"/>
      <c r="U91" s="916"/>
      <c r="V91" s="916"/>
      <c r="W91" s="916"/>
      <c r="X91" s="916"/>
      <c r="Y91" s="916"/>
      <c r="Z91" s="916"/>
      <c r="AA91" s="916"/>
      <c r="AB91" s="916"/>
      <c r="AC91" s="916"/>
      <c r="AD91" s="916"/>
      <c r="AE91" s="916"/>
      <c r="AF91" s="916"/>
      <c r="AG91" s="916"/>
      <c r="AH91" s="916"/>
      <c r="AI91" s="916"/>
      <c r="AJ91" s="916"/>
      <c r="AK91" s="916"/>
      <c r="AL91" s="916"/>
      <c r="AM91" s="916"/>
      <c r="AN91" s="916"/>
      <c r="AO91" s="916"/>
      <c r="AP91" s="916"/>
      <c r="AQ91" s="916"/>
      <c r="AR91" s="916"/>
      <c r="AS91" s="916"/>
      <c r="AT91" s="916"/>
      <c r="AU91" s="916"/>
      <c r="AV91" s="916"/>
      <c r="AW91" s="916"/>
      <c r="AX91" s="916"/>
      <c r="AY91" s="916"/>
      <c r="AZ91" s="916"/>
      <c r="BA91" s="916"/>
      <c r="BB91" s="916"/>
      <c r="BC91" s="916"/>
      <c r="BD91" s="916"/>
      <c r="BE91" s="916"/>
      <c r="BF91" s="916"/>
      <c r="BG91" s="916"/>
      <c r="BH91" s="916"/>
      <c r="BI91" s="916"/>
      <c r="BJ91" s="916"/>
      <c r="BK91" s="916"/>
      <c r="BL91" s="916"/>
      <c r="BM91" s="916"/>
      <c r="BN91" s="916"/>
      <c r="BO91" s="916"/>
      <c r="BP91" s="916"/>
      <c r="BQ91" s="916"/>
      <c r="BR91" s="916"/>
      <c r="BS91" s="916"/>
      <c r="BT91" s="916"/>
    </row>
    <row r="92" spans="1:72" x14ac:dyDescent="0.2">
      <c r="A92" s="916" t="s">
        <v>612</v>
      </c>
      <c r="B92" s="916"/>
      <c r="C92" s="916"/>
      <c r="D92" s="916"/>
      <c r="E92" s="916"/>
      <c r="F92" s="916"/>
      <c r="G92" s="916"/>
      <c r="H92" s="916"/>
      <c r="I92" s="916"/>
      <c r="J92" s="916"/>
      <c r="K92" s="916"/>
      <c r="L92" s="916"/>
      <c r="M92" s="916"/>
      <c r="N92" s="916"/>
      <c r="O92" s="916"/>
      <c r="P92" s="916"/>
      <c r="Q92" s="916"/>
      <c r="R92" s="916"/>
      <c r="S92" s="916"/>
      <c r="T92" s="916"/>
      <c r="U92" s="916"/>
      <c r="V92" s="916"/>
      <c r="W92" s="916"/>
      <c r="X92" s="916"/>
      <c r="Y92" s="916"/>
      <c r="Z92" s="916"/>
      <c r="AA92" s="916"/>
      <c r="AB92" s="916"/>
      <c r="AC92" s="916"/>
      <c r="AD92" s="916"/>
      <c r="AE92" s="916"/>
      <c r="AF92" s="916"/>
      <c r="AG92" s="916"/>
      <c r="AH92" s="916"/>
      <c r="AI92" s="916"/>
      <c r="AJ92" s="916"/>
      <c r="AK92" s="916"/>
      <c r="AL92" s="916"/>
      <c r="AM92" s="916"/>
      <c r="AN92" s="916"/>
      <c r="AO92" s="916"/>
      <c r="AP92" s="916"/>
      <c r="AQ92" s="916"/>
      <c r="AR92" s="916"/>
      <c r="AS92" s="916"/>
      <c r="AT92" s="916"/>
      <c r="AU92" s="916"/>
      <c r="AV92" s="916"/>
      <c r="AW92" s="916"/>
      <c r="AX92" s="916"/>
      <c r="AY92" s="916"/>
      <c r="AZ92" s="916"/>
      <c r="BA92" s="916"/>
      <c r="BB92" s="916"/>
      <c r="BC92" s="916"/>
      <c r="BD92" s="916"/>
      <c r="BE92" s="916"/>
      <c r="BF92" s="916"/>
      <c r="BG92" s="916"/>
      <c r="BH92" s="916"/>
      <c r="BI92" s="916"/>
      <c r="BJ92" s="916"/>
      <c r="BK92" s="916"/>
      <c r="BL92" s="916"/>
      <c r="BM92" s="916"/>
      <c r="BN92" s="916"/>
      <c r="BO92" s="916"/>
      <c r="BP92" s="916"/>
      <c r="BQ92" s="916"/>
      <c r="BR92" s="916"/>
      <c r="BS92" s="916"/>
      <c r="BT92" s="916"/>
    </row>
    <row r="93" spans="1:72" x14ac:dyDescent="0.2">
      <c r="A93" s="916" t="s">
        <v>609</v>
      </c>
      <c r="B93" s="916">
        <v>22.01</v>
      </c>
      <c r="C93" s="916">
        <v>24.2</v>
      </c>
      <c r="D93" s="916">
        <v>18.64</v>
      </c>
      <c r="E93" s="916">
        <v>18.36</v>
      </c>
      <c r="F93" s="916">
        <v>18.46</v>
      </c>
      <c r="G93" s="916">
        <v>19.61</v>
      </c>
      <c r="H93" s="916">
        <v>20.9</v>
      </c>
      <c r="I93" s="916">
        <v>21.9</v>
      </c>
      <c r="J93" s="916">
        <v>22.49</v>
      </c>
      <c r="K93" s="916">
        <v>23.25</v>
      </c>
      <c r="L93" s="916">
        <v>23.76</v>
      </c>
      <c r="M93" s="916">
        <v>24.31</v>
      </c>
      <c r="N93" s="916">
        <v>24.62</v>
      </c>
      <c r="O93" s="916">
        <v>24.86</v>
      </c>
      <c r="P93" s="916">
        <v>25.09</v>
      </c>
      <c r="Q93" s="916">
        <v>25.3</v>
      </c>
      <c r="R93" s="916">
        <v>25.59</v>
      </c>
      <c r="S93" s="916">
        <v>25.86</v>
      </c>
      <c r="T93" s="916">
        <v>26.12</v>
      </c>
      <c r="U93" s="916">
        <v>26.27</v>
      </c>
      <c r="V93" s="916">
        <v>26.55</v>
      </c>
      <c r="W93" s="916">
        <v>26.8</v>
      </c>
      <c r="X93" s="916">
        <v>27.15</v>
      </c>
      <c r="Y93" s="916">
        <v>27.38</v>
      </c>
      <c r="Z93" s="916">
        <v>27.74</v>
      </c>
      <c r="AA93" s="916">
        <v>28.08</v>
      </c>
      <c r="AB93" s="916">
        <v>28.48</v>
      </c>
      <c r="AC93" s="916">
        <v>28.86</v>
      </c>
      <c r="AD93" s="916">
        <v>29.25</v>
      </c>
      <c r="AE93" s="955">
        <v>7.0000000000000001E-3</v>
      </c>
      <c r="AF93" s="916"/>
      <c r="AG93" s="916"/>
      <c r="AH93" s="916"/>
      <c r="AI93" s="916"/>
      <c r="AJ93" s="916"/>
      <c r="AK93" s="916"/>
      <c r="AL93" s="916"/>
      <c r="AM93" s="916"/>
      <c r="AN93" s="916"/>
      <c r="AO93" s="916"/>
      <c r="AP93" s="916"/>
      <c r="AQ93" s="916"/>
      <c r="AR93" s="916"/>
      <c r="AS93" s="916"/>
      <c r="AT93" s="916"/>
      <c r="AU93" s="916"/>
      <c r="AV93" s="916"/>
      <c r="AW93" s="916"/>
      <c r="AX93" s="916"/>
      <c r="AY93" s="916"/>
      <c r="AZ93" s="916"/>
      <c r="BA93" s="916"/>
      <c r="BB93" s="916"/>
      <c r="BC93" s="916"/>
      <c r="BD93" s="916"/>
      <c r="BE93" s="916"/>
      <c r="BF93" s="916"/>
      <c r="BG93" s="916"/>
      <c r="BH93" s="916"/>
      <c r="BI93" s="916"/>
      <c r="BJ93" s="916"/>
      <c r="BK93" s="916"/>
      <c r="BL93" s="916"/>
      <c r="BM93" s="916"/>
      <c r="BN93" s="916"/>
      <c r="BO93" s="916"/>
      <c r="BP93" s="916"/>
      <c r="BQ93" s="916"/>
      <c r="BR93" s="916"/>
      <c r="BS93" s="916"/>
      <c r="BT93" s="916"/>
    </row>
    <row r="94" spans="1:72" x14ac:dyDescent="0.2">
      <c r="A94" s="916" t="s">
        <v>610</v>
      </c>
      <c r="B94" s="916">
        <v>18.07</v>
      </c>
      <c r="C94" s="916">
        <v>22.31</v>
      </c>
      <c r="D94" s="916">
        <v>16.399999999999999</v>
      </c>
      <c r="E94" s="916">
        <v>14.38</v>
      </c>
      <c r="F94" s="916">
        <v>15.38</v>
      </c>
      <c r="G94" s="916">
        <v>16.55</v>
      </c>
      <c r="H94" s="916">
        <v>17.59</v>
      </c>
      <c r="I94" s="916">
        <v>18.32</v>
      </c>
      <c r="J94" s="916">
        <v>19</v>
      </c>
      <c r="K94" s="916">
        <v>19.8</v>
      </c>
      <c r="L94" s="916">
        <v>20.440000000000001</v>
      </c>
      <c r="M94" s="916">
        <v>21.08</v>
      </c>
      <c r="N94" s="916">
        <v>21.49</v>
      </c>
      <c r="O94" s="916">
        <v>21.83</v>
      </c>
      <c r="P94" s="916">
        <v>22.03</v>
      </c>
      <c r="Q94" s="916">
        <v>22.36</v>
      </c>
      <c r="R94" s="916">
        <v>22.56</v>
      </c>
      <c r="S94" s="916">
        <v>22.67</v>
      </c>
      <c r="T94" s="916">
        <v>22.97</v>
      </c>
      <c r="U94" s="916">
        <v>23.22</v>
      </c>
      <c r="V94" s="916">
        <v>23.48</v>
      </c>
      <c r="W94" s="916">
        <v>23.81</v>
      </c>
      <c r="X94" s="916">
        <v>24.22</v>
      </c>
      <c r="Y94" s="916">
        <v>24.4</v>
      </c>
      <c r="Z94" s="916">
        <v>24.84</v>
      </c>
      <c r="AA94" s="916">
        <v>25.25</v>
      </c>
      <c r="AB94" s="916">
        <v>25.6</v>
      </c>
      <c r="AC94" s="916">
        <v>26.02</v>
      </c>
      <c r="AD94" s="916">
        <v>26.48</v>
      </c>
      <c r="AE94" s="955">
        <v>6.0000000000000001E-3</v>
      </c>
      <c r="AF94" s="916"/>
      <c r="AG94" s="916"/>
      <c r="AH94" s="916"/>
      <c r="AI94" s="916"/>
      <c r="AJ94" s="916"/>
      <c r="AK94" s="916"/>
      <c r="AL94" s="916"/>
      <c r="AM94" s="916"/>
      <c r="AN94" s="916"/>
      <c r="AO94" s="916"/>
      <c r="AP94" s="916"/>
      <c r="AQ94" s="916"/>
      <c r="AR94" s="916"/>
      <c r="AS94" s="916"/>
      <c r="AT94" s="916"/>
      <c r="AU94" s="916"/>
      <c r="AV94" s="916"/>
      <c r="AW94" s="916"/>
      <c r="AX94" s="916"/>
      <c r="AY94" s="916"/>
      <c r="AZ94" s="916"/>
      <c r="BA94" s="916"/>
      <c r="BB94" s="916"/>
      <c r="BC94" s="916"/>
      <c r="BD94" s="916"/>
      <c r="BE94" s="916"/>
      <c r="BF94" s="916"/>
      <c r="BG94" s="916"/>
      <c r="BH94" s="916"/>
      <c r="BI94" s="916"/>
      <c r="BJ94" s="916"/>
      <c r="BK94" s="916"/>
      <c r="BL94" s="916"/>
      <c r="BM94" s="916"/>
      <c r="BN94" s="916"/>
      <c r="BO94" s="916"/>
      <c r="BP94" s="916"/>
      <c r="BQ94" s="916"/>
      <c r="BR94" s="916"/>
      <c r="BS94" s="916"/>
      <c r="BT94" s="916"/>
    </row>
    <row r="95" spans="1:72" x14ac:dyDescent="0.2">
      <c r="A95" s="916" t="s">
        <v>611</v>
      </c>
      <c r="B95" s="916">
        <v>8.84</v>
      </c>
      <c r="C95" s="916">
        <v>16.309999999999999</v>
      </c>
      <c r="D95" s="916">
        <v>9.75</v>
      </c>
      <c r="E95" s="916">
        <v>13.12</v>
      </c>
      <c r="F95" s="916">
        <v>13.24</v>
      </c>
      <c r="G95" s="916">
        <v>14.32</v>
      </c>
      <c r="H95" s="916">
        <v>15.31</v>
      </c>
      <c r="I95" s="916">
        <v>16.079999999999998</v>
      </c>
      <c r="J95" s="916">
        <v>16.47</v>
      </c>
      <c r="K95" s="916">
        <v>16.96</v>
      </c>
      <c r="L95" s="916">
        <v>17.37</v>
      </c>
      <c r="M95" s="916">
        <v>17.82</v>
      </c>
      <c r="N95" s="916">
        <v>18.09</v>
      </c>
      <c r="O95" s="916">
        <v>18.2</v>
      </c>
      <c r="P95" s="916">
        <v>18.43</v>
      </c>
      <c r="Q95" s="916">
        <v>18.61</v>
      </c>
      <c r="R95" s="916">
        <v>18.82</v>
      </c>
      <c r="S95" s="916">
        <v>19.03</v>
      </c>
      <c r="T95" s="916">
        <v>19.23</v>
      </c>
      <c r="U95" s="916">
        <v>19.3</v>
      </c>
      <c r="V95" s="916">
        <v>19.489999999999998</v>
      </c>
      <c r="W95" s="916">
        <v>19.73</v>
      </c>
      <c r="X95" s="916">
        <v>19.98</v>
      </c>
      <c r="Y95" s="916">
        <v>20.27</v>
      </c>
      <c r="Z95" s="916">
        <v>20.61</v>
      </c>
      <c r="AA95" s="916">
        <v>20.87</v>
      </c>
      <c r="AB95" s="916">
        <v>21.12</v>
      </c>
      <c r="AC95" s="916">
        <v>21.44</v>
      </c>
      <c r="AD95" s="916">
        <v>21.72</v>
      </c>
      <c r="AE95" s="955">
        <v>1.0999999999999999E-2</v>
      </c>
      <c r="AF95" s="916"/>
      <c r="AG95" s="916"/>
      <c r="AH95" s="916"/>
      <c r="AI95" s="916"/>
      <c r="AJ95" s="916"/>
      <c r="AK95" s="916"/>
      <c r="AL95" s="916"/>
      <c r="AM95" s="916"/>
      <c r="AN95" s="916"/>
      <c r="AO95" s="916"/>
      <c r="AP95" s="916"/>
      <c r="AQ95" s="916"/>
      <c r="AR95" s="916"/>
      <c r="AS95" s="916"/>
      <c r="AT95" s="916"/>
      <c r="AU95" s="916"/>
      <c r="AV95" s="916"/>
      <c r="AW95" s="916"/>
      <c r="AX95" s="916"/>
      <c r="AY95" s="916"/>
      <c r="AZ95" s="916"/>
      <c r="BA95" s="916"/>
      <c r="BB95" s="916"/>
      <c r="BC95" s="916"/>
      <c r="BD95" s="916"/>
      <c r="BE95" s="916"/>
      <c r="BF95" s="916"/>
      <c r="BG95" s="916"/>
      <c r="BH95" s="916"/>
      <c r="BI95" s="916"/>
      <c r="BJ95" s="916"/>
      <c r="BK95" s="916"/>
      <c r="BL95" s="916"/>
      <c r="BM95" s="916"/>
      <c r="BN95" s="916"/>
      <c r="BO95" s="916"/>
      <c r="BP95" s="916"/>
      <c r="BQ95" s="916"/>
      <c r="BR95" s="916"/>
      <c r="BS95" s="916"/>
      <c r="BT95" s="916"/>
    </row>
    <row r="96" spans="1:72" x14ac:dyDescent="0.2">
      <c r="A96" s="916" t="s">
        <v>613</v>
      </c>
      <c r="B96" s="916">
        <v>7.58</v>
      </c>
      <c r="C96" s="916">
        <v>9.11</v>
      </c>
      <c r="D96" s="916">
        <v>4.2</v>
      </c>
      <c r="E96" s="916">
        <v>4.87</v>
      </c>
      <c r="F96" s="916">
        <v>5.97</v>
      </c>
      <c r="G96" s="916">
        <v>6.39</v>
      </c>
      <c r="H96" s="916">
        <v>6.33</v>
      </c>
      <c r="I96" s="916">
        <v>6.28</v>
      </c>
      <c r="J96" s="916">
        <v>6.45</v>
      </c>
      <c r="K96" s="916">
        <v>6.52</v>
      </c>
      <c r="L96" s="916">
        <v>6.51</v>
      </c>
      <c r="M96" s="916">
        <v>6.55</v>
      </c>
      <c r="N96" s="916">
        <v>6.6</v>
      </c>
      <c r="O96" s="916">
        <v>6.7</v>
      </c>
      <c r="P96" s="916">
        <v>6.78</v>
      </c>
      <c r="Q96" s="916">
        <v>6.96</v>
      </c>
      <c r="R96" s="916">
        <v>7.01</v>
      </c>
      <c r="S96" s="916">
        <v>6.96</v>
      </c>
      <c r="T96" s="916">
        <v>7.02</v>
      </c>
      <c r="U96" s="916">
        <v>7.15</v>
      </c>
      <c r="V96" s="916">
        <v>7.29</v>
      </c>
      <c r="W96" s="916">
        <v>7.51</v>
      </c>
      <c r="X96" s="916">
        <v>7.73</v>
      </c>
      <c r="Y96" s="916">
        <v>7.98</v>
      </c>
      <c r="Z96" s="916">
        <v>8.2899999999999991</v>
      </c>
      <c r="AA96" s="916">
        <v>8.4</v>
      </c>
      <c r="AB96" s="916">
        <v>8.42</v>
      </c>
      <c r="AC96" s="916">
        <v>8.61</v>
      </c>
      <c r="AD96" s="916">
        <v>8.73</v>
      </c>
      <c r="AE96" s="955">
        <v>-2E-3</v>
      </c>
      <c r="AF96" s="916"/>
      <c r="AG96" s="916"/>
      <c r="AH96" s="916"/>
      <c r="AI96" s="916"/>
      <c r="AJ96" s="916"/>
      <c r="AK96" s="916"/>
      <c r="AL96" s="916"/>
      <c r="AM96" s="916"/>
      <c r="AN96" s="916"/>
      <c r="AO96" s="916"/>
      <c r="AP96" s="916"/>
      <c r="AQ96" s="916"/>
      <c r="AR96" s="916"/>
      <c r="AS96" s="916"/>
      <c r="AT96" s="916"/>
      <c r="AU96" s="916"/>
      <c r="AV96" s="916"/>
      <c r="AW96" s="916"/>
      <c r="AX96" s="916"/>
      <c r="AY96" s="916"/>
      <c r="AZ96" s="916"/>
      <c r="BA96" s="916"/>
      <c r="BB96" s="916"/>
      <c r="BC96" s="916"/>
      <c r="BD96" s="916"/>
      <c r="BE96" s="916"/>
      <c r="BF96" s="916"/>
      <c r="BG96" s="916"/>
      <c r="BH96" s="916"/>
      <c r="BI96" s="916"/>
      <c r="BJ96" s="916"/>
      <c r="BK96" s="916"/>
      <c r="BL96" s="916"/>
      <c r="BM96" s="916"/>
      <c r="BN96" s="916"/>
      <c r="BO96" s="916"/>
      <c r="BP96" s="916"/>
      <c r="BQ96" s="916"/>
      <c r="BR96" s="916"/>
      <c r="BS96" s="916"/>
      <c r="BT96" s="916"/>
    </row>
    <row r="97" spans="1:72" x14ac:dyDescent="0.2">
      <c r="A97" s="916" t="s">
        <v>614</v>
      </c>
      <c r="B97" s="916">
        <v>3.69</v>
      </c>
      <c r="C97" s="916">
        <v>4.49</v>
      </c>
      <c r="D97" s="916">
        <v>4.72</v>
      </c>
      <c r="E97" s="916">
        <v>4.8</v>
      </c>
      <c r="F97" s="916">
        <v>4.8600000000000003</v>
      </c>
      <c r="G97" s="916">
        <v>5.0199999999999996</v>
      </c>
      <c r="H97" s="916">
        <v>5.05</v>
      </c>
      <c r="I97" s="916">
        <v>5.08</v>
      </c>
      <c r="J97" s="916">
        <v>5.08</v>
      </c>
      <c r="K97" s="916">
        <v>5.09</v>
      </c>
      <c r="L97" s="916">
        <v>5.16</v>
      </c>
      <c r="M97" s="916">
        <v>5.22</v>
      </c>
      <c r="N97" s="916">
        <v>5.29</v>
      </c>
      <c r="O97" s="916">
        <v>5.32</v>
      </c>
      <c r="P97" s="916">
        <v>5.35</v>
      </c>
      <c r="Q97" s="916">
        <v>5.36</v>
      </c>
      <c r="R97" s="916">
        <v>5.35</v>
      </c>
      <c r="S97" s="916">
        <v>5.32</v>
      </c>
      <c r="T97" s="916">
        <v>5.24</v>
      </c>
      <c r="U97" s="916">
        <v>5.16</v>
      </c>
      <c r="V97" s="916">
        <v>5.14</v>
      </c>
      <c r="W97" s="916">
        <v>5.14</v>
      </c>
      <c r="X97" s="916">
        <v>5.1100000000000003</v>
      </c>
      <c r="Y97" s="916">
        <v>5.1100000000000003</v>
      </c>
      <c r="Z97" s="916">
        <v>5.09</v>
      </c>
      <c r="AA97" s="916">
        <v>5.08</v>
      </c>
      <c r="AB97" s="916">
        <v>5.08</v>
      </c>
      <c r="AC97" s="916">
        <v>5.0599999999999996</v>
      </c>
      <c r="AD97" s="916">
        <v>5.0599999999999996</v>
      </c>
      <c r="AE97" s="955">
        <v>4.0000000000000001E-3</v>
      </c>
      <c r="AF97" s="916"/>
      <c r="AG97" s="916"/>
      <c r="AH97" s="916"/>
      <c r="AI97" s="916"/>
      <c r="AJ97" s="916"/>
      <c r="AK97" s="916"/>
      <c r="AL97" s="916"/>
      <c r="AM97" s="916"/>
      <c r="AN97" s="916"/>
      <c r="AO97" s="916"/>
      <c r="AP97" s="916"/>
      <c r="AQ97" s="916"/>
      <c r="AR97" s="916"/>
      <c r="AS97" s="916"/>
      <c r="AT97" s="916"/>
      <c r="AU97" s="916"/>
      <c r="AV97" s="916"/>
      <c r="AW97" s="916"/>
      <c r="AX97" s="916"/>
      <c r="AY97" s="916"/>
      <c r="AZ97" s="916"/>
      <c r="BA97" s="916"/>
      <c r="BB97" s="916"/>
      <c r="BC97" s="916"/>
      <c r="BD97" s="916"/>
      <c r="BE97" s="916"/>
      <c r="BF97" s="916"/>
      <c r="BG97" s="916"/>
      <c r="BH97" s="916"/>
      <c r="BI97" s="916"/>
      <c r="BJ97" s="916"/>
      <c r="BK97" s="916"/>
      <c r="BL97" s="916"/>
      <c r="BM97" s="916"/>
      <c r="BN97" s="916"/>
      <c r="BO97" s="916"/>
      <c r="BP97" s="916"/>
      <c r="BQ97" s="916"/>
      <c r="BR97" s="916"/>
      <c r="BS97" s="916"/>
      <c r="BT97" s="916"/>
    </row>
    <row r="98" spans="1:72" x14ac:dyDescent="0.2">
      <c r="A98" s="916" t="s">
        <v>615</v>
      </c>
      <c r="B98" s="916">
        <v>2.48</v>
      </c>
      <c r="C98" s="916">
        <v>2.84</v>
      </c>
      <c r="D98" s="916">
        <v>2.79</v>
      </c>
      <c r="E98" s="916">
        <v>2.69</v>
      </c>
      <c r="F98" s="916">
        <v>2.69</v>
      </c>
      <c r="G98" s="916">
        <v>2.69</v>
      </c>
      <c r="H98" s="916">
        <v>2.66</v>
      </c>
      <c r="I98" s="916">
        <v>2.68</v>
      </c>
      <c r="J98" s="916">
        <v>2.69</v>
      </c>
      <c r="K98" s="916">
        <v>2.68</v>
      </c>
      <c r="L98" s="916">
        <v>2.69</v>
      </c>
      <c r="M98" s="916">
        <v>2.68</v>
      </c>
      <c r="N98" s="916">
        <v>2.67</v>
      </c>
      <c r="O98" s="916">
        <v>2.66</v>
      </c>
      <c r="P98" s="916">
        <v>2.65</v>
      </c>
      <c r="Q98" s="916">
        <v>2.65</v>
      </c>
      <c r="R98" s="916">
        <v>2.63</v>
      </c>
      <c r="S98" s="916">
        <v>2.63</v>
      </c>
      <c r="T98" s="916">
        <v>2.63</v>
      </c>
      <c r="U98" s="916">
        <v>2.64</v>
      </c>
      <c r="V98" s="916">
        <v>2.63</v>
      </c>
      <c r="W98" s="916">
        <v>2.64</v>
      </c>
      <c r="X98" s="916">
        <v>2.65</v>
      </c>
      <c r="Y98" s="916">
        <v>2.66</v>
      </c>
      <c r="Z98" s="916">
        <v>2.67</v>
      </c>
      <c r="AA98" s="916">
        <v>2.67</v>
      </c>
      <c r="AB98" s="916">
        <v>2.69</v>
      </c>
      <c r="AC98" s="916">
        <v>2.7</v>
      </c>
      <c r="AD98" s="916">
        <v>2.71</v>
      </c>
      <c r="AE98" s="955">
        <v>-2E-3</v>
      </c>
      <c r="AF98" s="916"/>
      <c r="AG98" s="916"/>
      <c r="AH98" s="916"/>
      <c r="AI98" s="916"/>
      <c r="AJ98" s="916"/>
      <c r="AK98" s="916"/>
      <c r="AL98" s="916"/>
      <c r="AM98" s="916"/>
      <c r="AN98" s="916"/>
      <c r="AO98" s="916"/>
      <c r="AP98" s="916"/>
      <c r="AQ98" s="916"/>
      <c r="AR98" s="916"/>
      <c r="AS98" s="916"/>
      <c r="AT98" s="916"/>
      <c r="AU98" s="916"/>
      <c r="AV98" s="916"/>
      <c r="AW98" s="916"/>
      <c r="AX98" s="916"/>
      <c r="AY98" s="916"/>
      <c r="AZ98" s="916"/>
      <c r="BA98" s="916"/>
      <c r="BB98" s="916"/>
      <c r="BC98" s="916"/>
      <c r="BD98" s="916"/>
      <c r="BE98" s="916"/>
      <c r="BF98" s="916"/>
      <c r="BG98" s="916"/>
      <c r="BH98" s="916"/>
      <c r="BI98" s="916"/>
      <c r="BJ98" s="916"/>
      <c r="BK98" s="916"/>
      <c r="BL98" s="916"/>
      <c r="BM98" s="916"/>
      <c r="BN98" s="916"/>
      <c r="BO98" s="916"/>
      <c r="BP98" s="916"/>
      <c r="BQ98" s="916"/>
      <c r="BR98" s="916"/>
      <c r="BS98" s="916"/>
      <c r="BT98" s="916"/>
    </row>
    <row r="99" spans="1:72" x14ac:dyDescent="0.2">
      <c r="A99" s="916" t="s">
        <v>616</v>
      </c>
      <c r="B99" s="916" t="s">
        <v>788</v>
      </c>
      <c r="C99" s="916" t="s">
        <v>788</v>
      </c>
      <c r="D99" s="916" t="s">
        <v>788</v>
      </c>
      <c r="E99" s="916" t="s">
        <v>788</v>
      </c>
      <c r="F99" s="916">
        <v>1.26</v>
      </c>
      <c r="G99" s="916">
        <v>1.04</v>
      </c>
      <c r="H99" s="916">
        <v>1.04</v>
      </c>
      <c r="I99" s="916">
        <v>1.41</v>
      </c>
      <c r="J99" s="916">
        <v>1.42</v>
      </c>
      <c r="K99" s="916">
        <v>1.46</v>
      </c>
      <c r="L99" s="916">
        <v>1.48</v>
      </c>
      <c r="M99" s="916">
        <v>1.48</v>
      </c>
      <c r="N99" s="916">
        <v>1.47</v>
      </c>
      <c r="O99" s="916">
        <v>1.46</v>
      </c>
      <c r="P99" s="916">
        <v>1.49</v>
      </c>
      <c r="Q99" s="916">
        <v>1.5</v>
      </c>
      <c r="R99" s="916">
        <v>1.52</v>
      </c>
      <c r="S99" s="916">
        <v>1.49</v>
      </c>
      <c r="T99" s="916">
        <v>1.49</v>
      </c>
      <c r="U99" s="916">
        <v>1.47</v>
      </c>
      <c r="V99" s="916">
        <v>1.46</v>
      </c>
      <c r="W99" s="916">
        <v>1.45</v>
      </c>
      <c r="X99" s="916">
        <v>1.44</v>
      </c>
      <c r="Y99" s="916">
        <v>1.44</v>
      </c>
      <c r="Z99" s="916">
        <v>1.44</v>
      </c>
      <c r="AA99" s="916">
        <v>1.44</v>
      </c>
      <c r="AB99" s="916">
        <v>1.46</v>
      </c>
      <c r="AC99" s="916">
        <v>1.48</v>
      </c>
      <c r="AD99" s="916">
        <v>1.51</v>
      </c>
      <c r="AE99" s="916" t="s">
        <v>788</v>
      </c>
      <c r="AF99" s="916"/>
      <c r="AG99" s="916"/>
      <c r="AH99" s="916"/>
      <c r="AI99" s="916"/>
      <c r="AJ99" s="916"/>
      <c r="AK99" s="916"/>
      <c r="AL99" s="916"/>
      <c r="AM99" s="916"/>
      <c r="AN99" s="916"/>
      <c r="AO99" s="916"/>
      <c r="AP99" s="916"/>
      <c r="AQ99" s="916"/>
      <c r="AR99" s="916"/>
      <c r="AS99" s="916"/>
      <c r="AT99" s="916"/>
      <c r="AU99" s="916"/>
      <c r="AV99" s="916"/>
      <c r="AW99" s="916"/>
      <c r="AX99" s="916"/>
      <c r="AY99" s="916"/>
      <c r="AZ99" s="916"/>
      <c r="BA99" s="916"/>
      <c r="BB99" s="916"/>
      <c r="BC99" s="916"/>
      <c r="BD99" s="916"/>
      <c r="BE99" s="916"/>
      <c r="BF99" s="916"/>
      <c r="BG99" s="916"/>
      <c r="BH99" s="916"/>
      <c r="BI99" s="916"/>
      <c r="BJ99" s="916"/>
      <c r="BK99" s="916"/>
      <c r="BL99" s="916"/>
      <c r="BM99" s="916"/>
      <c r="BN99" s="916"/>
      <c r="BO99" s="916"/>
      <c r="BP99" s="916"/>
      <c r="BQ99" s="916"/>
      <c r="BR99" s="916"/>
      <c r="BS99" s="916"/>
      <c r="BT99" s="916"/>
    </row>
    <row r="100" spans="1:72" x14ac:dyDescent="0.2">
      <c r="A100" s="916" t="s">
        <v>479</v>
      </c>
      <c r="B100" s="916">
        <v>19.02</v>
      </c>
      <c r="C100" s="916">
        <v>20.21</v>
      </c>
      <c r="D100" s="916">
        <v>20.04</v>
      </c>
      <c r="E100" s="916">
        <v>19.149999999999999</v>
      </c>
      <c r="F100" s="916">
        <v>17.11</v>
      </c>
      <c r="G100" s="916">
        <v>17.73</v>
      </c>
      <c r="H100" s="916">
        <v>17.62</v>
      </c>
      <c r="I100" s="916">
        <v>17.350000000000001</v>
      </c>
      <c r="J100" s="916">
        <v>17.37</v>
      </c>
      <c r="K100" s="916">
        <v>17.62</v>
      </c>
      <c r="L100" s="916">
        <v>17.75</v>
      </c>
      <c r="M100" s="916">
        <v>17.77</v>
      </c>
      <c r="N100" s="916">
        <v>17.75</v>
      </c>
      <c r="O100" s="916">
        <v>17.920000000000002</v>
      </c>
      <c r="P100" s="916">
        <v>18.07</v>
      </c>
      <c r="Q100" s="916">
        <v>18.190000000000001</v>
      </c>
      <c r="R100" s="916">
        <v>18.38</v>
      </c>
      <c r="S100" s="916">
        <v>18.53</v>
      </c>
      <c r="T100" s="916">
        <v>18.5</v>
      </c>
      <c r="U100" s="916">
        <v>18.61</v>
      </c>
      <c r="V100" s="916">
        <v>18.78</v>
      </c>
      <c r="W100" s="916">
        <v>18.97</v>
      </c>
      <c r="X100" s="916">
        <v>19.3</v>
      </c>
      <c r="Y100" s="916">
        <v>19.579999999999998</v>
      </c>
      <c r="Z100" s="916">
        <v>19.88</v>
      </c>
      <c r="AA100" s="916">
        <v>20.16</v>
      </c>
      <c r="AB100" s="916">
        <v>20.3</v>
      </c>
      <c r="AC100" s="916">
        <v>20.52</v>
      </c>
      <c r="AD100" s="916">
        <v>20.71</v>
      </c>
      <c r="AE100" s="955">
        <v>1E-3</v>
      </c>
      <c r="AF100" s="916"/>
      <c r="AG100" s="916"/>
      <c r="AH100" s="916"/>
      <c r="AI100" s="916"/>
      <c r="AJ100" s="916"/>
      <c r="AK100" s="916"/>
      <c r="AL100" s="916"/>
      <c r="AM100" s="916"/>
      <c r="AN100" s="916"/>
      <c r="AO100" s="916"/>
      <c r="AP100" s="916"/>
      <c r="AQ100" s="916"/>
      <c r="AR100" s="916"/>
      <c r="AS100" s="916"/>
      <c r="AT100" s="916"/>
      <c r="AU100" s="916"/>
      <c r="AV100" s="916"/>
      <c r="AW100" s="916"/>
      <c r="AX100" s="916"/>
      <c r="AY100" s="916"/>
      <c r="AZ100" s="916"/>
      <c r="BA100" s="916"/>
      <c r="BB100" s="916"/>
      <c r="BC100" s="916"/>
      <c r="BD100" s="916"/>
      <c r="BE100" s="916"/>
      <c r="BF100" s="916"/>
      <c r="BG100" s="916"/>
      <c r="BH100" s="916"/>
      <c r="BI100" s="916"/>
      <c r="BJ100" s="916"/>
      <c r="BK100" s="916"/>
      <c r="BL100" s="916"/>
      <c r="BM100" s="916"/>
      <c r="BN100" s="916"/>
      <c r="BO100" s="916"/>
      <c r="BP100" s="916"/>
      <c r="BQ100" s="916"/>
      <c r="BR100" s="916"/>
      <c r="BS100" s="916"/>
      <c r="BT100" s="916"/>
    </row>
    <row r="101" spans="1:72" x14ac:dyDescent="0.2">
      <c r="A101" s="916"/>
      <c r="B101" s="916"/>
      <c r="C101" s="916"/>
      <c r="D101" s="916"/>
      <c r="E101" s="916"/>
      <c r="F101" s="916"/>
      <c r="G101" s="916"/>
      <c r="H101" s="916"/>
      <c r="I101" s="916"/>
      <c r="J101" s="916"/>
      <c r="K101" s="916"/>
      <c r="L101" s="916"/>
      <c r="M101" s="916"/>
      <c r="N101" s="916"/>
      <c r="O101" s="916"/>
      <c r="P101" s="916"/>
      <c r="Q101" s="916"/>
      <c r="R101" s="916"/>
      <c r="S101" s="916"/>
      <c r="T101" s="916"/>
      <c r="U101" s="916"/>
      <c r="V101" s="916"/>
      <c r="W101" s="916"/>
      <c r="X101" s="916"/>
      <c r="Y101" s="916"/>
      <c r="Z101" s="916"/>
      <c r="AA101" s="916"/>
      <c r="AB101" s="916"/>
      <c r="AC101" s="916"/>
      <c r="AD101" s="916"/>
      <c r="AE101" s="916"/>
      <c r="AF101" s="916"/>
      <c r="AG101" s="916"/>
      <c r="AH101" s="916"/>
      <c r="AI101" s="916"/>
      <c r="AJ101" s="916"/>
      <c r="AK101" s="916"/>
      <c r="AL101" s="916"/>
      <c r="AM101" s="916"/>
      <c r="AN101" s="916"/>
      <c r="AO101" s="916"/>
      <c r="AP101" s="916"/>
      <c r="AQ101" s="916"/>
      <c r="AR101" s="916"/>
      <c r="AS101" s="916"/>
      <c r="AT101" s="916"/>
      <c r="AU101" s="916"/>
      <c r="AV101" s="916"/>
      <c r="AW101" s="916"/>
      <c r="AX101" s="916"/>
      <c r="AY101" s="916"/>
      <c r="AZ101" s="916"/>
      <c r="BA101" s="916"/>
      <c r="BB101" s="916"/>
      <c r="BC101" s="916"/>
      <c r="BD101" s="916"/>
      <c r="BE101" s="916"/>
      <c r="BF101" s="916"/>
      <c r="BG101" s="916"/>
      <c r="BH101" s="916"/>
      <c r="BI101" s="916"/>
      <c r="BJ101" s="916"/>
      <c r="BK101" s="916"/>
      <c r="BL101" s="916"/>
      <c r="BM101" s="916"/>
      <c r="BN101" s="916"/>
      <c r="BO101" s="916"/>
      <c r="BP101" s="916"/>
      <c r="BQ101" s="916"/>
      <c r="BR101" s="916"/>
      <c r="BS101" s="916"/>
      <c r="BT101" s="916"/>
    </row>
    <row r="102" spans="1:72" x14ac:dyDescent="0.2">
      <c r="A102" s="916" t="s">
        <v>487</v>
      </c>
      <c r="B102" s="916"/>
      <c r="C102" s="916"/>
      <c r="D102" s="916"/>
      <c r="E102" s="916"/>
      <c r="F102" s="916"/>
      <c r="G102" s="916"/>
      <c r="H102" s="916"/>
      <c r="I102" s="916"/>
      <c r="J102" s="916"/>
      <c r="K102" s="916"/>
      <c r="L102" s="916"/>
      <c r="M102" s="916"/>
      <c r="N102" s="916"/>
      <c r="O102" s="916"/>
      <c r="P102" s="916"/>
      <c r="Q102" s="916"/>
      <c r="R102" s="916"/>
      <c r="S102" s="916"/>
      <c r="T102" s="916"/>
      <c r="U102" s="916"/>
      <c r="V102" s="916"/>
      <c r="W102" s="916"/>
      <c r="X102" s="916"/>
      <c r="Y102" s="916"/>
      <c r="Z102" s="916"/>
      <c r="AA102" s="916"/>
      <c r="AB102" s="916"/>
      <c r="AC102" s="916"/>
      <c r="AD102" s="916"/>
      <c r="AE102" s="916"/>
      <c r="AF102" s="916"/>
      <c r="AG102" s="916"/>
      <c r="AH102" s="916"/>
      <c r="AI102" s="916"/>
      <c r="AJ102" s="916"/>
      <c r="AK102" s="916"/>
      <c r="AL102" s="916"/>
      <c r="AM102" s="916"/>
      <c r="AN102" s="916"/>
      <c r="AO102" s="916"/>
      <c r="AP102" s="916"/>
      <c r="AQ102" s="916"/>
      <c r="AR102" s="916"/>
      <c r="AS102" s="916"/>
      <c r="AT102" s="916"/>
      <c r="AU102" s="916"/>
      <c r="AV102" s="916"/>
      <c r="AW102" s="916"/>
      <c r="AX102" s="916"/>
      <c r="AY102" s="916"/>
      <c r="AZ102" s="916"/>
      <c r="BA102" s="916"/>
      <c r="BB102" s="916"/>
      <c r="BC102" s="916"/>
      <c r="BD102" s="916"/>
      <c r="BE102" s="916"/>
      <c r="BF102" s="916"/>
      <c r="BG102" s="916"/>
      <c r="BH102" s="916"/>
      <c r="BI102" s="916"/>
      <c r="BJ102" s="916"/>
      <c r="BK102" s="916"/>
      <c r="BL102" s="916"/>
      <c r="BM102" s="916"/>
      <c r="BN102" s="916"/>
      <c r="BO102" s="916"/>
      <c r="BP102" s="916"/>
      <c r="BQ102" s="916"/>
      <c r="BR102" s="916"/>
      <c r="BS102" s="916"/>
      <c r="BT102" s="916"/>
    </row>
    <row r="103" spans="1:72" x14ac:dyDescent="0.2">
      <c r="A103" s="916" t="s">
        <v>617</v>
      </c>
      <c r="B103" s="916">
        <v>23.83</v>
      </c>
      <c r="C103" s="916">
        <v>29.93</v>
      </c>
      <c r="D103" s="916">
        <v>25.2</v>
      </c>
      <c r="E103" s="916">
        <v>23.89</v>
      </c>
      <c r="F103" s="916">
        <v>23.98</v>
      </c>
      <c r="G103" s="916">
        <v>25.13</v>
      </c>
      <c r="H103" s="916">
        <v>26.33</v>
      </c>
      <c r="I103" s="916">
        <v>27.29</v>
      </c>
      <c r="J103" s="916">
        <v>27.88</v>
      </c>
      <c r="K103" s="916">
        <v>28.53</v>
      </c>
      <c r="L103" s="916">
        <v>29.07</v>
      </c>
      <c r="M103" s="916">
        <v>29.65</v>
      </c>
      <c r="N103" s="916">
        <v>29.91</v>
      </c>
      <c r="O103" s="916">
        <v>30.13</v>
      </c>
      <c r="P103" s="916">
        <v>30.36</v>
      </c>
      <c r="Q103" s="916">
        <v>30.56</v>
      </c>
      <c r="R103" s="916">
        <v>30.83</v>
      </c>
      <c r="S103" s="916">
        <v>31.1</v>
      </c>
      <c r="T103" s="916">
        <v>31.36</v>
      </c>
      <c r="U103" s="916">
        <v>31.5</v>
      </c>
      <c r="V103" s="916">
        <v>31.77</v>
      </c>
      <c r="W103" s="916">
        <v>32.01</v>
      </c>
      <c r="X103" s="916">
        <v>32.36</v>
      </c>
      <c r="Y103" s="916">
        <v>32.58</v>
      </c>
      <c r="Z103" s="916">
        <v>32.93</v>
      </c>
      <c r="AA103" s="916">
        <v>33.26</v>
      </c>
      <c r="AB103" s="916">
        <v>33.64</v>
      </c>
      <c r="AC103" s="916">
        <v>34</v>
      </c>
      <c r="AD103" s="916">
        <v>34.380000000000003</v>
      </c>
      <c r="AE103" s="955">
        <v>5.0000000000000001E-3</v>
      </c>
      <c r="AF103" s="916"/>
      <c r="AG103" s="916"/>
      <c r="AH103" s="916"/>
      <c r="AI103" s="916"/>
      <c r="AJ103" s="916"/>
      <c r="AK103" s="916"/>
      <c r="AL103" s="916"/>
      <c r="AM103" s="916"/>
      <c r="AN103" s="916"/>
      <c r="AO103" s="916"/>
      <c r="AP103" s="916"/>
      <c r="AQ103" s="916"/>
      <c r="AR103" s="916"/>
      <c r="AS103" s="916"/>
      <c r="AT103" s="916"/>
      <c r="AU103" s="916"/>
      <c r="AV103" s="916"/>
      <c r="AW103" s="916"/>
      <c r="AX103" s="916"/>
      <c r="AY103" s="916"/>
      <c r="AZ103" s="916"/>
      <c r="BA103" s="916"/>
      <c r="BB103" s="916"/>
      <c r="BC103" s="916"/>
      <c r="BD103" s="916"/>
      <c r="BE103" s="916"/>
      <c r="BF103" s="916"/>
      <c r="BG103" s="916"/>
      <c r="BH103" s="916"/>
      <c r="BI103" s="916"/>
      <c r="BJ103" s="916"/>
      <c r="BK103" s="916"/>
      <c r="BL103" s="916"/>
      <c r="BM103" s="916"/>
      <c r="BN103" s="916"/>
      <c r="BO103" s="916"/>
      <c r="BP103" s="916"/>
      <c r="BQ103" s="916"/>
      <c r="BR103" s="916"/>
      <c r="BS103" s="916"/>
      <c r="BT103" s="916"/>
    </row>
    <row r="104" spans="1:72" x14ac:dyDescent="0.2">
      <c r="A104" s="916" t="s">
        <v>618</v>
      </c>
      <c r="B104" s="916">
        <v>27.43</v>
      </c>
      <c r="C104" s="916">
        <v>26.93</v>
      </c>
      <c r="D104" s="916">
        <v>23.29</v>
      </c>
      <c r="E104" s="916">
        <v>20.64</v>
      </c>
      <c r="F104" s="916">
        <v>20.97</v>
      </c>
      <c r="G104" s="916">
        <v>22.13</v>
      </c>
      <c r="H104" s="916">
        <v>24.21</v>
      </c>
      <c r="I104" s="916">
        <v>25.23</v>
      </c>
      <c r="J104" s="916">
        <v>25.55</v>
      </c>
      <c r="K104" s="916">
        <v>25.08</v>
      </c>
      <c r="L104" s="916">
        <v>25.9</v>
      </c>
      <c r="M104" s="916">
        <v>26.54</v>
      </c>
      <c r="N104" s="916">
        <v>26.68</v>
      </c>
      <c r="O104" s="916">
        <v>26.95</v>
      </c>
      <c r="P104" s="916">
        <v>27.32</v>
      </c>
      <c r="Q104" s="916">
        <v>27.82</v>
      </c>
      <c r="R104" s="916">
        <v>28.31</v>
      </c>
      <c r="S104" s="916">
        <v>28.55</v>
      </c>
      <c r="T104" s="916">
        <v>28.86</v>
      </c>
      <c r="U104" s="916">
        <v>29.22</v>
      </c>
      <c r="V104" s="916">
        <v>29.49</v>
      </c>
      <c r="W104" s="916">
        <v>30.03</v>
      </c>
      <c r="X104" s="916">
        <v>30.44</v>
      </c>
      <c r="Y104" s="916">
        <v>30.64</v>
      </c>
      <c r="Z104" s="916">
        <v>30.86</v>
      </c>
      <c r="AA104" s="916">
        <v>31.29</v>
      </c>
      <c r="AB104" s="916">
        <v>31.49</v>
      </c>
      <c r="AC104" s="916">
        <v>31.77</v>
      </c>
      <c r="AD104" s="916">
        <v>32.229999999999997</v>
      </c>
      <c r="AE104" s="955">
        <v>7.0000000000000001E-3</v>
      </c>
      <c r="AF104" s="916"/>
      <c r="AG104" s="916"/>
      <c r="AH104" s="916"/>
      <c r="AI104" s="916"/>
      <c r="AJ104" s="916"/>
      <c r="AK104" s="916"/>
      <c r="AL104" s="916"/>
      <c r="AM104" s="916"/>
      <c r="AN104" s="916"/>
      <c r="AO104" s="916"/>
      <c r="AP104" s="916"/>
      <c r="AQ104" s="916"/>
      <c r="AR104" s="916"/>
      <c r="AS104" s="916"/>
      <c r="AT104" s="916"/>
      <c r="AU104" s="916"/>
      <c r="AV104" s="916"/>
      <c r="AW104" s="916"/>
      <c r="AX104" s="916"/>
      <c r="AY104" s="916"/>
      <c r="AZ104" s="916"/>
      <c r="BA104" s="916"/>
      <c r="BB104" s="916"/>
      <c r="BC104" s="916"/>
      <c r="BD104" s="916"/>
      <c r="BE104" s="916"/>
      <c r="BF104" s="916"/>
      <c r="BG104" s="916"/>
      <c r="BH104" s="916"/>
      <c r="BI104" s="916"/>
      <c r="BJ104" s="916"/>
      <c r="BK104" s="916"/>
      <c r="BL104" s="916"/>
      <c r="BM104" s="916"/>
      <c r="BN104" s="916"/>
      <c r="BO104" s="916"/>
      <c r="BP104" s="916"/>
      <c r="BQ104" s="916"/>
      <c r="BR104" s="916"/>
      <c r="BS104" s="916"/>
      <c r="BT104" s="916"/>
    </row>
    <row r="105" spans="1:72" x14ac:dyDescent="0.2">
      <c r="A105" s="916" t="s">
        <v>619</v>
      </c>
      <c r="B105" s="916">
        <v>23.66</v>
      </c>
      <c r="C105" s="916">
        <v>26.76</v>
      </c>
      <c r="D105" s="916">
        <v>19.14</v>
      </c>
      <c r="E105" s="916">
        <v>20.55</v>
      </c>
      <c r="F105" s="916">
        <v>20.88</v>
      </c>
      <c r="G105" s="916">
        <v>22.03</v>
      </c>
      <c r="H105" s="916">
        <v>24.02</v>
      </c>
      <c r="I105" s="916">
        <v>24.94</v>
      </c>
      <c r="J105" s="916">
        <v>25.37</v>
      </c>
      <c r="K105" s="916">
        <v>25.94</v>
      </c>
      <c r="L105" s="916">
        <v>26.47</v>
      </c>
      <c r="M105" s="916">
        <v>26.89</v>
      </c>
      <c r="N105" s="916">
        <v>27.2</v>
      </c>
      <c r="O105" s="916">
        <v>27.59</v>
      </c>
      <c r="P105" s="916">
        <v>27.82</v>
      </c>
      <c r="Q105" s="916">
        <v>28.18</v>
      </c>
      <c r="R105" s="916">
        <v>28.42</v>
      </c>
      <c r="S105" s="916">
        <v>28.54</v>
      </c>
      <c r="T105" s="916">
        <v>28.87</v>
      </c>
      <c r="U105" s="916">
        <v>29.19</v>
      </c>
      <c r="V105" s="916">
        <v>29.47</v>
      </c>
      <c r="W105" s="916">
        <v>29.9</v>
      </c>
      <c r="X105" s="916">
        <v>30.27</v>
      </c>
      <c r="Y105" s="916">
        <v>30.42</v>
      </c>
      <c r="Z105" s="916">
        <v>30.77</v>
      </c>
      <c r="AA105" s="916">
        <v>31.16</v>
      </c>
      <c r="AB105" s="916">
        <v>31.44</v>
      </c>
      <c r="AC105" s="916">
        <v>31.81</v>
      </c>
      <c r="AD105" s="916">
        <v>32.33</v>
      </c>
      <c r="AE105" s="955">
        <v>7.0000000000000001E-3</v>
      </c>
      <c r="AF105" s="916"/>
      <c r="AG105" s="916"/>
      <c r="AH105" s="916"/>
      <c r="AI105" s="916"/>
      <c r="AJ105" s="916"/>
      <c r="AK105" s="916"/>
      <c r="AL105" s="916"/>
      <c r="AM105" s="916"/>
      <c r="AN105" s="916"/>
      <c r="AO105" s="916"/>
      <c r="AP105" s="916"/>
      <c r="AQ105" s="916"/>
      <c r="AR105" s="916"/>
      <c r="AS105" s="916"/>
      <c r="AT105" s="916"/>
      <c r="AU105" s="916"/>
      <c r="AV105" s="916"/>
      <c r="AW105" s="916"/>
      <c r="AX105" s="916"/>
      <c r="AY105" s="916"/>
      <c r="AZ105" s="916"/>
      <c r="BA105" s="916"/>
      <c r="BB105" s="916"/>
      <c r="BC105" s="916"/>
      <c r="BD105" s="916"/>
      <c r="BE105" s="916"/>
      <c r="BF105" s="916"/>
      <c r="BG105" s="916"/>
      <c r="BH105" s="916"/>
      <c r="BI105" s="916"/>
      <c r="BJ105" s="916"/>
      <c r="BK105" s="916"/>
      <c r="BL105" s="916"/>
      <c r="BM105" s="916"/>
      <c r="BN105" s="916"/>
      <c r="BO105" s="916"/>
      <c r="BP105" s="916"/>
      <c r="BQ105" s="916"/>
      <c r="BR105" s="916"/>
      <c r="BS105" s="916"/>
      <c r="BT105" s="916"/>
    </row>
    <row r="106" spans="1:72" x14ac:dyDescent="0.2">
      <c r="A106" s="916" t="s">
        <v>620</v>
      </c>
      <c r="B106" s="916">
        <v>15.77</v>
      </c>
      <c r="C106" s="916">
        <v>22.71</v>
      </c>
      <c r="D106" s="916">
        <v>12.73</v>
      </c>
      <c r="E106" s="916">
        <v>14.79</v>
      </c>
      <c r="F106" s="916">
        <v>15.16</v>
      </c>
      <c r="G106" s="916">
        <v>16.54</v>
      </c>
      <c r="H106" s="916">
        <v>17.690000000000001</v>
      </c>
      <c r="I106" s="916">
        <v>18.46</v>
      </c>
      <c r="J106" s="916">
        <v>19.04</v>
      </c>
      <c r="K106" s="916">
        <v>19.760000000000002</v>
      </c>
      <c r="L106" s="916">
        <v>20.41</v>
      </c>
      <c r="M106" s="916">
        <v>20.97</v>
      </c>
      <c r="N106" s="916">
        <v>21.35</v>
      </c>
      <c r="O106" s="916">
        <v>21.69</v>
      </c>
      <c r="P106" s="916">
        <v>21.85</v>
      </c>
      <c r="Q106" s="916">
        <v>22.09</v>
      </c>
      <c r="R106" s="916">
        <v>22.41</v>
      </c>
      <c r="S106" s="916">
        <v>22.61</v>
      </c>
      <c r="T106" s="916">
        <v>22.92</v>
      </c>
      <c r="U106" s="916">
        <v>23.19</v>
      </c>
      <c r="V106" s="916">
        <v>23.48</v>
      </c>
      <c r="W106" s="916">
        <v>23.9</v>
      </c>
      <c r="X106" s="916">
        <v>24.26</v>
      </c>
      <c r="Y106" s="916">
        <v>24.51</v>
      </c>
      <c r="Z106" s="916">
        <v>24.9</v>
      </c>
      <c r="AA106" s="916">
        <v>25.3</v>
      </c>
      <c r="AB106" s="916">
        <v>25.64</v>
      </c>
      <c r="AC106" s="916">
        <v>26.05</v>
      </c>
      <c r="AD106" s="916">
        <v>26.48</v>
      </c>
      <c r="AE106" s="955">
        <v>6.0000000000000001E-3</v>
      </c>
      <c r="AF106" s="916"/>
      <c r="AG106" s="916"/>
      <c r="AH106" s="916"/>
      <c r="AI106" s="916"/>
      <c r="AJ106" s="916"/>
      <c r="AK106" s="916"/>
      <c r="AL106" s="916"/>
      <c r="AM106" s="916"/>
      <c r="AN106" s="916"/>
      <c r="AO106" s="916"/>
      <c r="AP106" s="916"/>
      <c r="AQ106" s="916"/>
      <c r="AR106" s="916"/>
      <c r="AS106" s="916"/>
      <c r="AT106" s="916"/>
      <c r="AU106" s="916"/>
      <c r="AV106" s="916"/>
      <c r="AW106" s="916"/>
      <c r="AX106" s="916"/>
      <c r="AY106" s="916"/>
      <c r="AZ106" s="916"/>
      <c r="BA106" s="916"/>
      <c r="BB106" s="916"/>
      <c r="BC106" s="916"/>
      <c r="BD106" s="916"/>
      <c r="BE106" s="916"/>
      <c r="BF106" s="916"/>
      <c r="BG106" s="916"/>
      <c r="BH106" s="916"/>
      <c r="BI106" s="916"/>
      <c r="BJ106" s="916"/>
      <c r="BK106" s="916"/>
      <c r="BL106" s="916"/>
      <c r="BM106" s="916"/>
      <c r="BN106" s="916"/>
      <c r="BO106" s="916"/>
      <c r="BP106" s="916"/>
      <c r="BQ106" s="916"/>
      <c r="BR106" s="916"/>
      <c r="BS106" s="916"/>
      <c r="BT106" s="916"/>
    </row>
    <row r="107" spans="1:72" x14ac:dyDescent="0.2">
      <c r="A107" s="916" t="s">
        <v>724</v>
      </c>
      <c r="B107" s="916">
        <v>21.55</v>
      </c>
      <c r="C107" s="916">
        <v>27.65</v>
      </c>
      <c r="D107" s="916">
        <v>17.77</v>
      </c>
      <c r="E107" s="916">
        <v>19.12</v>
      </c>
      <c r="F107" s="916">
        <v>19.309999999999999</v>
      </c>
      <c r="G107" s="916">
        <v>20.51</v>
      </c>
      <c r="H107" s="916">
        <v>21.54</v>
      </c>
      <c r="I107" s="916">
        <v>22.25</v>
      </c>
      <c r="J107" s="916">
        <v>22.93</v>
      </c>
      <c r="K107" s="916">
        <v>23.68</v>
      </c>
      <c r="L107" s="916">
        <v>24.26</v>
      </c>
      <c r="M107" s="916">
        <v>24.91</v>
      </c>
      <c r="N107" s="916">
        <v>25.29</v>
      </c>
      <c r="O107" s="916">
        <v>25.6</v>
      </c>
      <c r="P107" s="916">
        <v>25.79</v>
      </c>
      <c r="Q107" s="916">
        <v>26.12</v>
      </c>
      <c r="R107" s="916">
        <v>26.26</v>
      </c>
      <c r="S107" s="916">
        <v>26.34</v>
      </c>
      <c r="T107" s="916">
        <v>26.63</v>
      </c>
      <c r="U107" s="916">
        <v>26.83</v>
      </c>
      <c r="V107" s="916">
        <v>27.09</v>
      </c>
      <c r="W107" s="916">
        <v>27.4</v>
      </c>
      <c r="X107" s="916">
        <v>27.8</v>
      </c>
      <c r="Y107" s="916">
        <v>27.96</v>
      </c>
      <c r="Z107" s="916">
        <v>28.38</v>
      </c>
      <c r="AA107" s="916">
        <v>28.78</v>
      </c>
      <c r="AB107" s="916">
        <v>29.09</v>
      </c>
      <c r="AC107" s="916">
        <v>29.49</v>
      </c>
      <c r="AD107" s="916">
        <v>29.96</v>
      </c>
      <c r="AE107" s="955">
        <v>3.0000000000000001E-3</v>
      </c>
      <c r="AF107" s="916"/>
      <c r="AG107" s="916"/>
      <c r="AH107" s="916"/>
      <c r="AI107" s="916"/>
      <c r="AJ107" s="916"/>
      <c r="AK107" s="916"/>
      <c r="AL107" s="916"/>
      <c r="AM107" s="916"/>
      <c r="AN107" s="916"/>
      <c r="AO107" s="916"/>
      <c r="AP107" s="916"/>
      <c r="AQ107" s="916"/>
      <c r="AR107" s="916"/>
      <c r="AS107" s="916"/>
      <c r="AT107" s="916"/>
      <c r="AU107" s="916"/>
      <c r="AV107" s="916"/>
      <c r="AW107" s="916"/>
      <c r="AX107" s="916"/>
      <c r="AY107" s="916"/>
      <c r="AZ107" s="916"/>
      <c r="BA107" s="916"/>
      <c r="BB107" s="916"/>
      <c r="BC107" s="916"/>
      <c r="BD107" s="916"/>
      <c r="BE107" s="916"/>
      <c r="BF107" s="916"/>
      <c r="BG107" s="916"/>
      <c r="BH107" s="916"/>
      <c r="BI107" s="916"/>
      <c r="BJ107" s="916"/>
      <c r="BK107" s="916"/>
      <c r="BL107" s="916"/>
      <c r="BM107" s="916"/>
      <c r="BN107" s="916"/>
      <c r="BO107" s="916"/>
      <c r="BP107" s="916"/>
      <c r="BQ107" s="916"/>
      <c r="BR107" s="916"/>
      <c r="BS107" s="916"/>
      <c r="BT107" s="916"/>
    </row>
    <row r="108" spans="1:72" x14ac:dyDescent="0.2">
      <c r="A108" s="916" t="s">
        <v>611</v>
      </c>
      <c r="B108" s="916">
        <v>9.19</v>
      </c>
      <c r="C108" s="916">
        <v>14.49</v>
      </c>
      <c r="D108" s="916">
        <v>8.86</v>
      </c>
      <c r="E108" s="916">
        <v>10.210000000000001</v>
      </c>
      <c r="F108" s="916">
        <v>10.32</v>
      </c>
      <c r="G108" s="916">
        <v>11.5</v>
      </c>
      <c r="H108" s="916">
        <v>12.44</v>
      </c>
      <c r="I108" s="916">
        <v>13.18</v>
      </c>
      <c r="J108" s="916">
        <v>13.58</v>
      </c>
      <c r="K108" s="916">
        <v>13.9</v>
      </c>
      <c r="L108" s="916">
        <v>14.43</v>
      </c>
      <c r="M108" s="916">
        <v>14.81</v>
      </c>
      <c r="N108" s="916">
        <v>14.97</v>
      </c>
      <c r="O108" s="916">
        <v>14.99</v>
      </c>
      <c r="P108" s="916">
        <v>15.23</v>
      </c>
      <c r="Q108" s="916">
        <v>15.34</v>
      </c>
      <c r="R108" s="916">
        <v>15.55</v>
      </c>
      <c r="S108" s="916">
        <v>15.75</v>
      </c>
      <c r="T108" s="916">
        <v>15.93</v>
      </c>
      <c r="U108" s="916">
        <v>15.98</v>
      </c>
      <c r="V108" s="916">
        <v>16.27</v>
      </c>
      <c r="W108" s="916">
        <v>16.5</v>
      </c>
      <c r="X108" s="916">
        <v>16.8</v>
      </c>
      <c r="Y108" s="916">
        <v>17.100000000000001</v>
      </c>
      <c r="Z108" s="916">
        <v>17.420000000000002</v>
      </c>
      <c r="AA108" s="916">
        <v>17.690000000000001</v>
      </c>
      <c r="AB108" s="916">
        <v>17.93</v>
      </c>
      <c r="AC108" s="916">
        <v>18.239999999999998</v>
      </c>
      <c r="AD108" s="916">
        <v>18.600000000000001</v>
      </c>
      <c r="AE108" s="955">
        <v>8.9999999999999993E-3</v>
      </c>
      <c r="AF108" s="916"/>
      <c r="AG108" s="916"/>
      <c r="AH108" s="916"/>
      <c r="AI108" s="916"/>
      <c r="AJ108" s="916"/>
      <c r="AK108" s="916"/>
      <c r="AL108" s="916"/>
      <c r="AM108" s="916"/>
      <c r="AN108" s="916"/>
      <c r="AO108" s="916"/>
      <c r="AP108" s="916"/>
      <c r="AQ108" s="916"/>
      <c r="AR108" s="916"/>
      <c r="AS108" s="916"/>
      <c r="AT108" s="916"/>
      <c r="AU108" s="916"/>
      <c r="AV108" s="916"/>
      <c r="AW108" s="916"/>
      <c r="AX108" s="916"/>
      <c r="AY108" s="916"/>
      <c r="AZ108" s="916"/>
      <c r="BA108" s="916"/>
      <c r="BB108" s="916"/>
      <c r="BC108" s="916"/>
      <c r="BD108" s="916"/>
      <c r="BE108" s="916"/>
      <c r="BF108" s="916"/>
      <c r="BG108" s="916"/>
      <c r="BH108" s="916"/>
      <c r="BI108" s="916"/>
      <c r="BJ108" s="916"/>
      <c r="BK108" s="916"/>
      <c r="BL108" s="916"/>
      <c r="BM108" s="916"/>
      <c r="BN108" s="916"/>
      <c r="BO108" s="916"/>
      <c r="BP108" s="916"/>
      <c r="BQ108" s="916"/>
      <c r="BR108" s="916"/>
      <c r="BS108" s="916"/>
      <c r="BT108" s="916"/>
    </row>
    <row r="109" spans="1:72" x14ac:dyDescent="0.2">
      <c r="A109" s="916" t="s">
        <v>622</v>
      </c>
      <c r="B109" s="916">
        <v>13.84</v>
      </c>
      <c r="C109" s="916">
        <v>15.96</v>
      </c>
      <c r="D109" s="916">
        <v>11.36</v>
      </c>
      <c r="E109" s="916">
        <v>12</v>
      </c>
      <c r="F109" s="916">
        <v>13.09</v>
      </c>
      <c r="G109" s="916">
        <v>13.49</v>
      </c>
      <c r="H109" s="916">
        <v>13.36</v>
      </c>
      <c r="I109" s="916">
        <v>13.25</v>
      </c>
      <c r="J109" s="916">
        <v>13.37</v>
      </c>
      <c r="K109" s="916">
        <v>13.41</v>
      </c>
      <c r="L109" s="916">
        <v>13.38</v>
      </c>
      <c r="M109" s="916">
        <v>13.37</v>
      </c>
      <c r="N109" s="916">
        <v>13.38</v>
      </c>
      <c r="O109" s="916">
        <v>13.44</v>
      </c>
      <c r="P109" s="916">
        <v>13.46</v>
      </c>
      <c r="Q109" s="916">
        <v>13.58</v>
      </c>
      <c r="R109" s="916">
        <v>13.54</v>
      </c>
      <c r="S109" s="916">
        <v>13.41</v>
      </c>
      <c r="T109" s="916">
        <v>13.43</v>
      </c>
      <c r="U109" s="916">
        <v>13.54</v>
      </c>
      <c r="V109" s="916">
        <v>13.65</v>
      </c>
      <c r="W109" s="916">
        <v>13.83</v>
      </c>
      <c r="X109" s="916">
        <v>14</v>
      </c>
      <c r="Y109" s="916">
        <v>14.19</v>
      </c>
      <c r="Z109" s="916">
        <v>14.46</v>
      </c>
      <c r="AA109" s="916">
        <v>14.54</v>
      </c>
      <c r="AB109" s="916">
        <v>14.55</v>
      </c>
      <c r="AC109" s="916">
        <v>14.7</v>
      </c>
      <c r="AD109" s="916">
        <v>14.78</v>
      </c>
      <c r="AE109" s="955">
        <v>-3.0000000000000001E-3</v>
      </c>
      <c r="AF109" s="916"/>
      <c r="AG109" s="916"/>
      <c r="AH109" s="916"/>
      <c r="AI109" s="916"/>
      <c r="AJ109" s="916"/>
      <c r="AK109" s="916"/>
      <c r="AL109" s="916"/>
      <c r="AM109" s="916"/>
      <c r="AN109" s="916"/>
      <c r="AO109" s="916"/>
      <c r="AP109" s="916"/>
      <c r="AQ109" s="916"/>
      <c r="AR109" s="916"/>
      <c r="AS109" s="916"/>
      <c r="AT109" s="916"/>
      <c r="AU109" s="916"/>
      <c r="AV109" s="916"/>
      <c r="AW109" s="916"/>
      <c r="AX109" s="916"/>
      <c r="AY109" s="916"/>
      <c r="AZ109" s="916"/>
      <c r="BA109" s="916"/>
      <c r="BB109" s="916"/>
      <c r="BC109" s="916"/>
      <c r="BD109" s="916"/>
      <c r="BE109" s="916"/>
      <c r="BF109" s="916"/>
      <c r="BG109" s="916"/>
      <c r="BH109" s="916"/>
      <c r="BI109" s="916"/>
      <c r="BJ109" s="916"/>
      <c r="BK109" s="916"/>
      <c r="BL109" s="916"/>
      <c r="BM109" s="916"/>
      <c r="BN109" s="916"/>
      <c r="BO109" s="916"/>
      <c r="BP109" s="916"/>
      <c r="BQ109" s="916"/>
      <c r="BR109" s="916"/>
      <c r="BS109" s="916"/>
      <c r="BT109" s="916"/>
    </row>
    <row r="110" spans="1:72" x14ac:dyDescent="0.2">
      <c r="A110" s="916" t="s">
        <v>479</v>
      </c>
      <c r="B110" s="916">
        <v>32.03</v>
      </c>
      <c r="C110" s="916">
        <v>33.729999999999997</v>
      </c>
      <c r="D110" s="916">
        <v>32.299999999999997</v>
      </c>
      <c r="E110" s="916">
        <v>30.29</v>
      </c>
      <c r="F110" s="916">
        <v>27.63</v>
      </c>
      <c r="G110" s="916">
        <v>29.66</v>
      </c>
      <c r="H110" s="916">
        <v>29.72</v>
      </c>
      <c r="I110" s="916">
        <v>29.07</v>
      </c>
      <c r="J110" s="916">
        <v>28.79</v>
      </c>
      <c r="K110" s="916">
        <v>29.01</v>
      </c>
      <c r="L110" s="916">
        <v>29.04</v>
      </c>
      <c r="M110" s="916">
        <v>28.87</v>
      </c>
      <c r="N110" s="916">
        <v>28.59</v>
      </c>
      <c r="O110" s="916">
        <v>28.55</v>
      </c>
      <c r="P110" s="916">
        <v>28.54</v>
      </c>
      <c r="Q110" s="916">
        <v>28.43</v>
      </c>
      <c r="R110" s="916">
        <v>28.48</v>
      </c>
      <c r="S110" s="916">
        <v>28.64</v>
      </c>
      <c r="T110" s="916">
        <v>28.63</v>
      </c>
      <c r="U110" s="916">
        <v>28.88</v>
      </c>
      <c r="V110" s="916">
        <v>29.32</v>
      </c>
      <c r="W110" s="916">
        <v>29.79</v>
      </c>
      <c r="X110" s="916">
        <v>30.51</v>
      </c>
      <c r="Y110" s="916">
        <v>31.01</v>
      </c>
      <c r="Z110" s="916">
        <v>31.61</v>
      </c>
      <c r="AA110" s="916">
        <v>32.15</v>
      </c>
      <c r="AB110" s="916">
        <v>32.47</v>
      </c>
      <c r="AC110" s="916">
        <v>32.89</v>
      </c>
      <c r="AD110" s="916">
        <v>33.26</v>
      </c>
      <c r="AE110" s="955">
        <v>-1E-3</v>
      </c>
      <c r="AF110" s="916"/>
      <c r="AG110" s="916"/>
      <c r="AH110" s="916"/>
      <c r="AI110" s="916"/>
      <c r="AJ110" s="916"/>
      <c r="AK110" s="916"/>
      <c r="AL110" s="916"/>
      <c r="AM110" s="916"/>
      <c r="AN110" s="916"/>
      <c r="AO110" s="916"/>
      <c r="AP110" s="916"/>
      <c r="AQ110" s="916"/>
      <c r="AR110" s="916"/>
      <c r="AS110" s="916"/>
      <c r="AT110" s="916"/>
      <c r="AU110" s="916"/>
      <c r="AV110" s="916"/>
      <c r="AW110" s="916"/>
      <c r="AX110" s="916"/>
      <c r="AY110" s="916"/>
      <c r="AZ110" s="916"/>
      <c r="BA110" s="916"/>
      <c r="BB110" s="916"/>
      <c r="BC110" s="916"/>
      <c r="BD110" s="916"/>
      <c r="BE110" s="916"/>
      <c r="BF110" s="916"/>
      <c r="BG110" s="916"/>
      <c r="BH110" s="916"/>
      <c r="BI110" s="916"/>
      <c r="BJ110" s="916"/>
      <c r="BK110" s="916"/>
      <c r="BL110" s="916"/>
      <c r="BM110" s="916"/>
      <c r="BN110" s="916"/>
      <c r="BO110" s="916"/>
      <c r="BP110" s="916"/>
      <c r="BQ110" s="916"/>
      <c r="BR110" s="916"/>
      <c r="BS110" s="916"/>
      <c r="BT110" s="916"/>
    </row>
    <row r="111" spans="1:72" x14ac:dyDescent="0.2">
      <c r="A111" s="916"/>
      <c r="B111" s="916"/>
      <c r="C111" s="916"/>
      <c r="D111" s="916"/>
      <c r="E111" s="916"/>
      <c r="F111" s="916"/>
      <c r="G111" s="916"/>
      <c r="H111" s="916"/>
      <c r="I111" s="916"/>
      <c r="J111" s="916"/>
      <c r="K111" s="916"/>
      <c r="L111" s="916"/>
      <c r="M111" s="916"/>
      <c r="N111" s="916"/>
      <c r="O111" s="916"/>
      <c r="P111" s="916"/>
      <c r="Q111" s="916"/>
      <c r="R111" s="916"/>
      <c r="S111" s="916"/>
      <c r="T111" s="916"/>
      <c r="U111" s="916"/>
      <c r="V111" s="916"/>
      <c r="W111" s="916"/>
      <c r="X111" s="916"/>
      <c r="Y111" s="916"/>
      <c r="Z111" s="916"/>
      <c r="AA111" s="916"/>
      <c r="AB111" s="916"/>
      <c r="AC111" s="916"/>
      <c r="AD111" s="916"/>
      <c r="AE111" s="916"/>
      <c r="AF111" s="916"/>
      <c r="AG111" s="916"/>
      <c r="AH111" s="916"/>
      <c r="AI111" s="916"/>
      <c r="AJ111" s="916"/>
      <c r="AK111" s="916"/>
      <c r="AL111" s="916"/>
      <c r="AM111" s="916"/>
      <c r="AN111" s="916"/>
      <c r="AO111" s="916"/>
      <c r="AP111" s="916"/>
      <c r="AQ111" s="916"/>
      <c r="AR111" s="916"/>
      <c r="AS111" s="916"/>
      <c r="AT111" s="916"/>
      <c r="AU111" s="916"/>
      <c r="AV111" s="916"/>
      <c r="AW111" s="916"/>
      <c r="AX111" s="916"/>
      <c r="AY111" s="916"/>
      <c r="AZ111" s="916"/>
      <c r="BA111" s="916"/>
      <c r="BB111" s="916"/>
      <c r="BC111" s="916"/>
      <c r="BD111" s="916"/>
      <c r="BE111" s="916"/>
      <c r="BF111" s="916"/>
      <c r="BG111" s="916"/>
      <c r="BH111" s="916"/>
      <c r="BI111" s="916"/>
      <c r="BJ111" s="916"/>
      <c r="BK111" s="916"/>
      <c r="BL111" s="916"/>
      <c r="BM111" s="916"/>
      <c r="BN111" s="916"/>
      <c r="BO111" s="916"/>
      <c r="BP111" s="916"/>
      <c r="BQ111" s="916"/>
      <c r="BR111" s="916"/>
      <c r="BS111" s="916"/>
      <c r="BT111" s="916"/>
    </row>
    <row r="112" spans="1:72" x14ac:dyDescent="0.2">
      <c r="A112" s="916" t="s">
        <v>623</v>
      </c>
      <c r="B112" s="916"/>
      <c r="C112" s="916"/>
      <c r="D112" s="916"/>
      <c r="E112" s="916"/>
      <c r="F112" s="916"/>
      <c r="G112" s="916"/>
      <c r="H112" s="916"/>
      <c r="I112" s="916"/>
      <c r="J112" s="916"/>
      <c r="K112" s="916"/>
      <c r="L112" s="916"/>
      <c r="M112" s="916"/>
      <c r="N112" s="916"/>
      <c r="O112" s="916"/>
      <c r="P112" s="916"/>
      <c r="Q112" s="916"/>
      <c r="R112" s="916"/>
      <c r="S112" s="916"/>
      <c r="T112" s="916"/>
      <c r="U112" s="916"/>
      <c r="V112" s="916"/>
      <c r="W112" s="916"/>
      <c r="X112" s="916"/>
      <c r="Y112" s="916"/>
      <c r="Z112" s="916"/>
      <c r="AA112" s="916"/>
      <c r="AB112" s="916"/>
      <c r="AC112" s="916"/>
      <c r="AD112" s="916"/>
      <c r="AE112" s="916"/>
      <c r="AF112" s="916"/>
      <c r="AG112" s="916"/>
      <c r="AH112" s="916"/>
      <c r="AI112" s="916"/>
      <c r="AJ112" s="916"/>
      <c r="AK112" s="916"/>
      <c r="AL112" s="916"/>
      <c r="AM112" s="916"/>
      <c r="AN112" s="916"/>
      <c r="AO112" s="916"/>
      <c r="AP112" s="916"/>
      <c r="AQ112" s="916"/>
      <c r="AR112" s="916"/>
      <c r="AS112" s="916"/>
      <c r="AT112" s="916"/>
      <c r="AU112" s="916"/>
      <c r="AV112" s="916"/>
      <c r="AW112" s="916"/>
      <c r="AX112" s="916"/>
      <c r="AY112" s="916"/>
      <c r="AZ112" s="916"/>
      <c r="BA112" s="916"/>
      <c r="BB112" s="916"/>
      <c r="BC112" s="916"/>
      <c r="BD112" s="916"/>
      <c r="BE112" s="916"/>
      <c r="BF112" s="916"/>
      <c r="BG112" s="916"/>
      <c r="BH112" s="916"/>
      <c r="BI112" s="916"/>
      <c r="BJ112" s="916"/>
      <c r="BK112" s="916"/>
      <c r="BL112" s="916"/>
      <c r="BM112" s="916"/>
      <c r="BN112" s="916"/>
      <c r="BO112" s="916"/>
      <c r="BP112" s="916"/>
      <c r="BQ112" s="916"/>
      <c r="BR112" s="916"/>
      <c r="BS112" s="916"/>
      <c r="BT112" s="916"/>
    </row>
    <row r="113" spans="1:72" x14ac:dyDescent="0.2">
      <c r="A113" s="916" t="s">
        <v>610</v>
      </c>
      <c r="B113" s="916">
        <v>15.75</v>
      </c>
      <c r="C113" s="916">
        <v>19.37</v>
      </c>
      <c r="D113" s="916">
        <v>14.24</v>
      </c>
      <c r="E113" s="916">
        <v>13.91</v>
      </c>
      <c r="F113" s="916">
        <v>14.06</v>
      </c>
      <c r="G113" s="916">
        <v>15.2</v>
      </c>
      <c r="H113" s="916">
        <v>16.21</v>
      </c>
      <c r="I113" s="916">
        <v>16.89</v>
      </c>
      <c r="J113" s="916">
        <v>17.36</v>
      </c>
      <c r="K113" s="916">
        <v>18.22</v>
      </c>
      <c r="L113" s="916">
        <v>18.88</v>
      </c>
      <c r="M113" s="916">
        <v>19.510000000000002</v>
      </c>
      <c r="N113" s="916">
        <v>19.920000000000002</v>
      </c>
      <c r="O113" s="916">
        <v>20.25</v>
      </c>
      <c r="P113" s="916">
        <v>20.399999999999999</v>
      </c>
      <c r="Q113" s="916">
        <v>20.58</v>
      </c>
      <c r="R113" s="916">
        <v>20.89</v>
      </c>
      <c r="S113" s="916">
        <v>21.07</v>
      </c>
      <c r="T113" s="916">
        <v>21.35</v>
      </c>
      <c r="U113" s="916">
        <v>21.6</v>
      </c>
      <c r="V113" s="916">
        <v>21.83</v>
      </c>
      <c r="W113" s="916">
        <v>22.14</v>
      </c>
      <c r="X113" s="916">
        <v>22.54</v>
      </c>
      <c r="Y113" s="916">
        <v>22.71</v>
      </c>
      <c r="Z113" s="916">
        <v>23.14</v>
      </c>
      <c r="AA113" s="916">
        <v>23.54</v>
      </c>
      <c r="AB113" s="916">
        <v>23.87</v>
      </c>
      <c r="AC113" s="916">
        <v>24.28</v>
      </c>
      <c r="AD113" s="916">
        <v>24.7</v>
      </c>
      <c r="AE113" s="955">
        <v>8.9999999999999993E-3</v>
      </c>
      <c r="AF113" s="916"/>
      <c r="AG113" s="916"/>
      <c r="AH113" s="916"/>
      <c r="AI113" s="916"/>
      <c r="AJ113" s="916"/>
      <c r="AK113" s="916"/>
      <c r="AL113" s="916"/>
      <c r="AM113" s="916"/>
      <c r="AN113" s="916"/>
      <c r="AO113" s="916"/>
      <c r="AP113" s="916"/>
      <c r="AQ113" s="916"/>
      <c r="AR113" s="916"/>
      <c r="AS113" s="916"/>
      <c r="AT113" s="916"/>
      <c r="AU113" s="916"/>
      <c r="AV113" s="916"/>
      <c r="AW113" s="916"/>
      <c r="AX113" s="916"/>
      <c r="AY113" s="916"/>
      <c r="AZ113" s="916"/>
      <c r="BA113" s="916"/>
      <c r="BB113" s="916"/>
      <c r="BC113" s="916"/>
      <c r="BD113" s="916"/>
      <c r="BE113" s="916"/>
      <c r="BF113" s="916"/>
      <c r="BG113" s="916"/>
      <c r="BH113" s="916"/>
      <c r="BI113" s="916"/>
      <c r="BJ113" s="916"/>
      <c r="BK113" s="916"/>
      <c r="BL113" s="916"/>
      <c r="BM113" s="916"/>
      <c r="BN113" s="916"/>
      <c r="BO113" s="916"/>
      <c r="BP113" s="916"/>
      <c r="BQ113" s="916"/>
      <c r="BR113" s="916"/>
      <c r="BS113" s="916"/>
      <c r="BT113" s="916"/>
    </row>
    <row r="114" spans="1:72" x14ac:dyDescent="0.2">
      <c r="A114" s="916" t="s">
        <v>611</v>
      </c>
      <c r="B114" s="916">
        <v>9.0399999999999991</v>
      </c>
      <c r="C114" s="916">
        <v>14.56</v>
      </c>
      <c r="D114" s="916">
        <v>8.7799999999999994</v>
      </c>
      <c r="E114" s="916">
        <v>12</v>
      </c>
      <c r="F114" s="916">
        <v>12.17</v>
      </c>
      <c r="G114" s="916">
        <v>13.34</v>
      </c>
      <c r="H114" s="916">
        <v>14.37</v>
      </c>
      <c r="I114" s="916">
        <v>15.11</v>
      </c>
      <c r="J114" s="916">
        <v>15.53</v>
      </c>
      <c r="K114" s="916">
        <v>15.93</v>
      </c>
      <c r="L114" s="916">
        <v>16.45</v>
      </c>
      <c r="M114" s="916">
        <v>16.89</v>
      </c>
      <c r="N114" s="916">
        <v>17.14</v>
      </c>
      <c r="O114" s="916">
        <v>17.22</v>
      </c>
      <c r="P114" s="916">
        <v>17.47</v>
      </c>
      <c r="Q114" s="916">
        <v>17.63</v>
      </c>
      <c r="R114" s="916">
        <v>17.850000000000001</v>
      </c>
      <c r="S114" s="916">
        <v>18.079999999999998</v>
      </c>
      <c r="T114" s="916">
        <v>18.3</v>
      </c>
      <c r="U114" s="916">
        <v>18.38</v>
      </c>
      <c r="V114" s="916">
        <v>18.68</v>
      </c>
      <c r="W114" s="916">
        <v>18.940000000000001</v>
      </c>
      <c r="X114" s="916">
        <v>19.23</v>
      </c>
      <c r="Y114" s="916">
        <v>19.55</v>
      </c>
      <c r="Z114" s="916">
        <v>19.899999999999999</v>
      </c>
      <c r="AA114" s="916">
        <v>20.190000000000001</v>
      </c>
      <c r="AB114" s="916">
        <v>20.43</v>
      </c>
      <c r="AC114" s="916">
        <v>20.77</v>
      </c>
      <c r="AD114" s="916">
        <v>21.12</v>
      </c>
      <c r="AE114" s="955">
        <v>1.4E-2</v>
      </c>
      <c r="AF114" s="916"/>
      <c r="AG114" s="916"/>
      <c r="AH114" s="916"/>
      <c r="AI114" s="916"/>
      <c r="AJ114" s="916"/>
      <c r="AK114" s="916"/>
      <c r="AL114" s="916"/>
      <c r="AM114" s="916"/>
      <c r="AN114" s="916"/>
      <c r="AO114" s="916"/>
      <c r="AP114" s="916"/>
      <c r="AQ114" s="916"/>
      <c r="AR114" s="916"/>
      <c r="AS114" s="916"/>
      <c r="AT114" s="916"/>
      <c r="AU114" s="916"/>
      <c r="AV114" s="916"/>
      <c r="AW114" s="916"/>
      <c r="AX114" s="916"/>
      <c r="AY114" s="916"/>
      <c r="AZ114" s="916"/>
      <c r="BA114" s="916"/>
      <c r="BB114" s="916"/>
      <c r="BC114" s="916"/>
      <c r="BD114" s="916"/>
      <c r="BE114" s="916"/>
      <c r="BF114" s="916"/>
      <c r="BG114" s="916"/>
      <c r="BH114" s="916"/>
      <c r="BI114" s="916"/>
      <c r="BJ114" s="916"/>
      <c r="BK114" s="916"/>
      <c r="BL114" s="916"/>
      <c r="BM114" s="916"/>
      <c r="BN114" s="916"/>
      <c r="BO114" s="916"/>
      <c r="BP114" s="916"/>
      <c r="BQ114" s="916"/>
      <c r="BR114" s="916"/>
      <c r="BS114" s="916"/>
      <c r="BT114" s="916"/>
    </row>
    <row r="115" spans="1:72" x14ac:dyDescent="0.2">
      <c r="A115" s="916" t="s">
        <v>510</v>
      </c>
      <c r="B115" s="916">
        <v>7.26</v>
      </c>
      <c r="C115" s="916">
        <v>9.09</v>
      </c>
      <c r="D115" s="916">
        <v>4.1399999999999997</v>
      </c>
      <c r="E115" s="916">
        <v>4.8499999999999996</v>
      </c>
      <c r="F115" s="916">
        <v>5.82</v>
      </c>
      <c r="G115" s="916">
        <v>6.17</v>
      </c>
      <c r="H115" s="916">
        <v>5.94</v>
      </c>
      <c r="I115" s="916">
        <v>5.9</v>
      </c>
      <c r="J115" s="916">
        <v>6.08</v>
      </c>
      <c r="K115" s="916">
        <v>6.16</v>
      </c>
      <c r="L115" s="916">
        <v>6.17</v>
      </c>
      <c r="M115" s="916">
        <v>6.22</v>
      </c>
      <c r="N115" s="916">
        <v>6.29</v>
      </c>
      <c r="O115" s="916">
        <v>6.42</v>
      </c>
      <c r="P115" s="916">
        <v>6.52</v>
      </c>
      <c r="Q115" s="916">
        <v>6.69</v>
      </c>
      <c r="R115" s="916">
        <v>6.74</v>
      </c>
      <c r="S115" s="916">
        <v>6.7</v>
      </c>
      <c r="T115" s="916">
        <v>6.75</v>
      </c>
      <c r="U115" s="916">
        <v>6.91</v>
      </c>
      <c r="V115" s="916">
        <v>7.05</v>
      </c>
      <c r="W115" s="916">
        <v>7.27</v>
      </c>
      <c r="X115" s="916">
        <v>7.51</v>
      </c>
      <c r="Y115" s="916">
        <v>7.73</v>
      </c>
      <c r="Z115" s="916">
        <v>8.02</v>
      </c>
      <c r="AA115" s="916">
        <v>8.14</v>
      </c>
      <c r="AB115" s="916">
        <v>8.17</v>
      </c>
      <c r="AC115" s="916">
        <v>8.35</v>
      </c>
      <c r="AD115" s="916">
        <v>8.4600000000000009</v>
      </c>
      <c r="AE115" s="955">
        <v>-3.0000000000000001E-3</v>
      </c>
      <c r="AF115" s="916"/>
      <c r="AG115" s="916"/>
      <c r="AH115" s="916"/>
      <c r="AI115" s="916"/>
      <c r="AJ115" s="916"/>
      <c r="AK115" s="916"/>
      <c r="AL115" s="916"/>
      <c r="AM115" s="916"/>
      <c r="AN115" s="916"/>
      <c r="AO115" s="916"/>
      <c r="AP115" s="916"/>
      <c r="AQ115" s="916"/>
      <c r="AR115" s="916"/>
      <c r="AS115" s="916"/>
      <c r="AT115" s="916"/>
      <c r="AU115" s="916"/>
      <c r="AV115" s="916"/>
      <c r="AW115" s="916"/>
      <c r="AX115" s="916"/>
      <c r="AY115" s="916"/>
      <c r="AZ115" s="916"/>
      <c r="BA115" s="916"/>
      <c r="BB115" s="916"/>
      <c r="BC115" s="916"/>
      <c r="BD115" s="916"/>
      <c r="BE115" s="916"/>
      <c r="BF115" s="916"/>
      <c r="BG115" s="916"/>
      <c r="BH115" s="916"/>
      <c r="BI115" s="916"/>
      <c r="BJ115" s="916"/>
      <c r="BK115" s="916"/>
      <c r="BL115" s="916"/>
      <c r="BM115" s="916"/>
      <c r="BN115" s="916"/>
      <c r="BO115" s="916"/>
      <c r="BP115" s="916"/>
      <c r="BQ115" s="916"/>
      <c r="BR115" s="916"/>
      <c r="BS115" s="916"/>
      <c r="BT115" s="916"/>
    </row>
    <row r="116" spans="1:72" x14ac:dyDescent="0.2">
      <c r="A116" s="916" t="s">
        <v>624</v>
      </c>
      <c r="B116" s="916">
        <v>1.8</v>
      </c>
      <c r="C116" s="916">
        <v>2.0499999999999998</v>
      </c>
      <c r="D116" s="916">
        <v>2.15</v>
      </c>
      <c r="E116" s="916">
        <v>1.99</v>
      </c>
      <c r="F116" s="916">
        <v>1.98</v>
      </c>
      <c r="G116" s="916">
        <v>1.99</v>
      </c>
      <c r="H116" s="916">
        <v>1.99</v>
      </c>
      <c r="I116" s="916">
        <v>1.99</v>
      </c>
      <c r="J116" s="916">
        <v>2.0099999999999998</v>
      </c>
      <c r="K116" s="916">
        <v>1.99</v>
      </c>
      <c r="L116" s="916">
        <v>2</v>
      </c>
      <c r="M116" s="916">
        <v>1.99</v>
      </c>
      <c r="N116" s="916">
        <v>1.99</v>
      </c>
      <c r="O116" s="916">
        <v>1.98</v>
      </c>
      <c r="P116" s="916">
        <v>1.98</v>
      </c>
      <c r="Q116" s="916">
        <v>1.99</v>
      </c>
      <c r="R116" s="916">
        <v>1.99</v>
      </c>
      <c r="S116" s="916">
        <v>1.99</v>
      </c>
      <c r="T116" s="916">
        <v>1.99</v>
      </c>
      <c r="U116" s="916">
        <v>2</v>
      </c>
      <c r="V116" s="916">
        <v>2</v>
      </c>
      <c r="W116" s="916">
        <v>2.0099999999999998</v>
      </c>
      <c r="X116" s="916">
        <v>2.02</v>
      </c>
      <c r="Y116" s="916">
        <v>2.0299999999999998</v>
      </c>
      <c r="Z116" s="916">
        <v>2.04</v>
      </c>
      <c r="AA116" s="916">
        <v>2.0499999999999998</v>
      </c>
      <c r="AB116" s="916">
        <v>2.06</v>
      </c>
      <c r="AC116" s="916">
        <v>2.0699999999999998</v>
      </c>
      <c r="AD116" s="916">
        <v>2.09</v>
      </c>
      <c r="AE116" s="955">
        <v>1E-3</v>
      </c>
      <c r="AF116" s="916"/>
      <c r="AG116" s="916"/>
      <c r="AH116" s="916"/>
      <c r="AI116" s="916"/>
      <c r="AJ116" s="916"/>
      <c r="AK116" s="916"/>
      <c r="AL116" s="916"/>
      <c r="AM116" s="916"/>
      <c r="AN116" s="916"/>
      <c r="AO116" s="916"/>
      <c r="AP116" s="916"/>
      <c r="AQ116" s="916"/>
      <c r="AR116" s="916"/>
      <c r="AS116" s="916"/>
      <c r="AT116" s="916"/>
      <c r="AU116" s="916"/>
      <c r="AV116" s="916"/>
      <c r="AW116" s="916"/>
      <c r="AX116" s="916"/>
      <c r="AY116" s="916"/>
      <c r="AZ116" s="916"/>
      <c r="BA116" s="916"/>
      <c r="BB116" s="916"/>
      <c r="BC116" s="916"/>
      <c r="BD116" s="916"/>
      <c r="BE116" s="916"/>
      <c r="BF116" s="916"/>
      <c r="BG116" s="916"/>
      <c r="BH116" s="916"/>
      <c r="BI116" s="916"/>
      <c r="BJ116" s="916"/>
      <c r="BK116" s="916"/>
      <c r="BL116" s="916"/>
      <c r="BM116" s="916"/>
      <c r="BN116" s="916"/>
      <c r="BO116" s="916"/>
      <c r="BP116" s="916"/>
      <c r="BQ116" s="916"/>
      <c r="BR116" s="916"/>
      <c r="BS116" s="916"/>
      <c r="BT116" s="916"/>
    </row>
    <row r="117" spans="1:72" x14ac:dyDescent="0.2">
      <c r="A117" s="916"/>
      <c r="B117" s="916"/>
      <c r="C117" s="916"/>
      <c r="D117" s="916"/>
      <c r="E117" s="916"/>
      <c r="F117" s="916"/>
      <c r="G117" s="916"/>
      <c r="H117" s="916"/>
      <c r="I117" s="916"/>
      <c r="J117" s="916"/>
      <c r="K117" s="916"/>
      <c r="L117" s="916"/>
      <c r="M117" s="916"/>
      <c r="N117" s="916"/>
      <c r="O117" s="916"/>
      <c r="P117" s="916"/>
      <c r="Q117" s="916"/>
      <c r="R117" s="916"/>
      <c r="S117" s="916"/>
      <c r="T117" s="916"/>
      <c r="U117" s="916"/>
      <c r="V117" s="916"/>
      <c r="W117" s="916"/>
      <c r="X117" s="916"/>
      <c r="Y117" s="916"/>
      <c r="Z117" s="916"/>
      <c r="AA117" s="916"/>
      <c r="AB117" s="916"/>
      <c r="AC117" s="916"/>
      <c r="AD117" s="916"/>
      <c r="AE117" s="916"/>
      <c r="AF117" s="916"/>
      <c r="AG117" s="916"/>
      <c r="AH117" s="916"/>
      <c r="AI117" s="916"/>
      <c r="AJ117" s="916"/>
      <c r="AK117" s="916"/>
      <c r="AL117" s="916"/>
      <c r="AM117" s="916"/>
      <c r="AN117" s="916"/>
      <c r="AO117" s="916"/>
      <c r="AP117" s="916"/>
      <c r="AQ117" s="916"/>
      <c r="AR117" s="916"/>
      <c r="AS117" s="916"/>
      <c r="AT117" s="916"/>
      <c r="AU117" s="916"/>
      <c r="AV117" s="916"/>
      <c r="AW117" s="916"/>
      <c r="AX117" s="916"/>
      <c r="AY117" s="916"/>
      <c r="AZ117" s="916"/>
      <c r="BA117" s="916"/>
      <c r="BB117" s="916"/>
      <c r="BC117" s="916"/>
      <c r="BD117" s="916"/>
      <c r="BE117" s="916"/>
      <c r="BF117" s="916"/>
      <c r="BG117" s="916"/>
      <c r="BH117" s="916"/>
      <c r="BI117" s="916"/>
      <c r="BJ117" s="916"/>
      <c r="BK117" s="916"/>
      <c r="BL117" s="916"/>
      <c r="BM117" s="916"/>
      <c r="BN117" s="916"/>
      <c r="BO117" s="916"/>
      <c r="BP117" s="916"/>
      <c r="BQ117" s="916"/>
      <c r="BR117" s="916"/>
      <c r="BS117" s="916"/>
      <c r="BT117" s="916"/>
    </row>
    <row r="118" spans="1:72" x14ac:dyDescent="0.2">
      <c r="A118" s="916" t="s">
        <v>625</v>
      </c>
      <c r="B118" s="916"/>
      <c r="C118" s="916"/>
      <c r="D118" s="916"/>
      <c r="E118" s="916"/>
      <c r="F118" s="916"/>
      <c r="G118" s="916"/>
      <c r="H118" s="916"/>
      <c r="I118" s="916"/>
      <c r="J118" s="916"/>
      <c r="K118" s="916"/>
      <c r="L118" s="916"/>
      <c r="M118" s="916"/>
      <c r="N118" s="916"/>
      <c r="O118" s="916"/>
      <c r="P118" s="916"/>
      <c r="Q118" s="916"/>
      <c r="R118" s="916"/>
      <c r="S118" s="916"/>
      <c r="T118" s="916"/>
      <c r="U118" s="916"/>
      <c r="V118" s="916"/>
      <c r="W118" s="916"/>
      <c r="X118" s="916"/>
      <c r="Y118" s="916"/>
      <c r="Z118" s="916"/>
      <c r="AA118" s="916"/>
      <c r="AB118" s="916"/>
      <c r="AC118" s="916"/>
      <c r="AD118" s="916"/>
      <c r="AE118" s="916"/>
      <c r="AF118" s="916"/>
      <c r="AG118" s="916"/>
      <c r="AH118" s="916"/>
      <c r="AI118" s="916"/>
      <c r="AJ118" s="916"/>
      <c r="AK118" s="916"/>
      <c r="AL118" s="916"/>
      <c r="AM118" s="916"/>
      <c r="AN118" s="916"/>
      <c r="AO118" s="916"/>
      <c r="AP118" s="916"/>
      <c r="AQ118" s="916"/>
      <c r="AR118" s="916"/>
      <c r="AS118" s="916"/>
      <c r="AT118" s="916"/>
      <c r="AU118" s="916"/>
      <c r="AV118" s="916"/>
      <c r="AW118" s="916"/>
      <c r="AX118" s="916"/>
      <c r="AY118" s="916"/>
      <c r="AZ118" s="916"/>
      <c r="BA118" s="916"/>
      <c r="BB118" s="916"/>
      <c r="BC118" s="916"/>
      <c r="BD118" s="916"/>
      <c r="BE118" s="916"/>
      <c r="BF118" s="916"/>
      <c r="BG118" s="916"/>
      <c r="BH118" s="916"/>
      <c r="BI118" s="916"/>
      <c r="BJ118" s="916"/>
      <c r="BK118" s="916"/>
      <c r="BL118" s="916"/>
      <c r="BM118" s="916"/>
      <c r="BN118" s="916"/>
      <c r="BO118" s="916"/>
      <c r="BP118" s="916"/>
      <c r="BQ118" s="916"/>
      <c r="BR118" s="916"/>
      <c r="BS118" s="916"/>
      <c r="BT118" s="916"/>
    </row>
    <row r="119" spans="1:72" x14ac:dyDescent="0.2">
      <c r="A119" s="916" t="s">
        <v>609</v>
      </c>
      <c r="B119" s="916">
        <v>18.940000000000001</v>
      </c>
      <c r="C119" s="916">
        <v>20.190000000000001</v>
      </c>
      <c r="D119" s="916">
        <v>18.36</v>
      </c>
      <c r="E119" s="916">
        <v>16.850000000000001</v>
      </c>
      <c r="F119" s="916">
        <v>16.87</v>
      </c>
      <c r="G119" s="916">
        <v>17.87</v>
      </c>
      <c r="H119" s="916">
        <v>18.97</v>
      </c>
      <c r="I119" s="916">
        <v>19.82</v>
      </c>
      <c r="J119" s="916">
        <v>20.3</v>
      </c>
      <c r="K119" s="916">
        <v>20.84</v>
      </c>
      <c r="L119" s="916">
        <v>21.26</v>
      </c>
      <c r="M119" s="916">
        <v>21.71</v>
      </c>
      <c r="N119" s="916">
        <v>21.93</v>
      </c>
      <c r="O119" s="916">
        <v>22.15</v>
      </c>
      <c r="P119" s="916">
        <v>22.36</v>
      </c>
      <c r="Q119" s="916">
        <v>22.56</v>
      </c>
      <c r="R119" s="916">
        <v>22.83</v>
      </c>
      <c r="S119" s="916">
        <v>23.09</v>
      </c>
      <c r="T119" s="916">
        <v>23.34</v>
      </c>
      <c r="U119" s="916">
        <v>23.49</v>
      </c>
      <c r="V119" s="916">
        <v>23.75</v>
      </c>
      <c r="W119" s="916">
        <v>24</v>
      </c>
      <c r="X119" s="916">
        <v>24.34</v>
      </c>
      <c r="Y119" s="916">
        <v>24.55</v>
      </c>
      <c r="Z119" s="916">
        <v>24.91</v>
      </c>
      <c r="AA119" s="916">
        <v>25.25</v>
      </c>
      <c r="AB119" s="916">
        <v>25.63</v>
      </c>
      <c r="AC119" s="916">
        <v>25.99</v>
      </c>
      <c r="AD119" s="916">
        <v>26.37</v>
      </c>
      <c r="AE119" s="955">
        <v>0.01</v>
      </c>
      <c r="AF119" s="916"/>
      <c r="AG119" s="916"/>
      <c r="AH119" s="916"/>
      <c r="AI119" s="916"/>
      <c r="AJ119" s="916"/>
      <c r="AK119" s="916"/>
      <c r="AL119" s="916"/>
      <c r="AM119" s="916"/>
      <c r="AN119" s="916"/>
      <c r="AO119" s="916"/>
      <c r="AP119" s="916"/>
      <c r="AQ119" s="916"/>
      <c r="AR119" s="916"/>
      <c r="AS119" s="916"/>
      <c r="AT119" s="916"/>
      <c r="AU119" s="916"/>
      <c r="AV119" s="916"/>
      <c r="AW119" s="916"/>
      <c r="AX119" s="916"/>
      <c r="AY119" s="916"/>
      <c r="AZ119" s="916"/>
      <c r="BA119" s="916"/>
      <c r="BB119" s="916"/>
      <c r="BC119" s="916"/>
      <c r="BD119" s="916"/>
      <c r="BE119" s="916"/>
      <c r="BF119" s="916"/>
      <c r="BG119" s="916"/>
      <c r="BH119" s="916"/>
      <c r="BI119" s="916"/>
      <c r="BJ119" s="916"/>
      <c r="BK119" s="916"/>
      <c r="BL119" s="916"/>
      <c r="BM119" s="916"/>
      <c r="BN119" s="916"/>
      <c r="BO119" s="916"/>
      <c r="BP119" s="916"/>
      <c r="BQ119" s="916"/>
      <c r="BR119" s="916"/>
      <c r="BS119" s="916"/>
      <c r="BT119" s="916"/>
    </row>
    <row r="120" spans="1:72" x14ac:dyDescent="0.2">
      <c r="A120" s="916" t="s">
        <v>618</v>
      </c>
      <c r="B120" s="916">
        <v>27.43</v>
      </c>
      <c r="C120" s="916">
        <v>26.93</v>
      </c>
      <c r="D120" s="916">
        <v>23.29</v>
      </c>
      <c r="E120" s="916">
        <v>20.64</v>
      </c>
      <c r="F120" s="916">
        <v>20.97</v>
      </c>
      <c r="G120" s="916">
        <v>22.13</v>
      </c>
      <c r="H120" s="916">
        <v>24.21</v>
      </c>
      <c r="I120" s="916">
        <v>25.23</v>
      </c>
      <c r="J120" s="916">
        <v>25.55</v>
      </c>
      <c r="K120" s="916">
        <v>25.08</v>
      </c>
      <c r="L120" s="916">
        <v>25.9</v>
      </c>
      <c r="M120" s="916">
        <v>26.54</v>
      </c>
      <c r="N120" s="916">
        <v>26.68</v>
      </c>
      <c r="O120" s="916">
        <v>26.95</v>
      </c>
      <c r="P120" s="916">
        <v>27.32</v>
      </c>
      <c r="Q120" s="916">
        <v>27.82</v>
      </c>
      <c r="R120" s="916">
        <v>28.31</v>
      </c>
      <c r="S120" s="916">
        <v>28.55</v>
      </c>
      <c r="T120" s="916">
        <v>28.86</v>
      </c>
      <c r="U120" s="916">
        <v>29.22</v>
      </c>
      <c r="V120" s="916">
        <v>29.49</v>
      </c>
      <c r="W120" s="916">
        <v>30.03</v>
      </c>
      <c r="X120" s="916">
        <v>30.44</v>
      </c>
      <c r="Y120" s="916">
        <v>30.64</v>
      </c>
      <c r="Z120" s="916">
        <v>30.86</v>
      </c>
      <c r="AA120" s="916">
        <v>31.29</v>
      </c>
      <c r="AB120" s="916">
        <v>31.49</v>
      </c>
      <c r="AC120" s="916">
        <v>31.77</v>
      </c>
      <c r="AD120" s="916">
        <v>32.229999999999997</v>
      </c>
      <c r="AE120" s="955">
        <v>7.0000000000000001E-3</v>
      </c>
      <c r="AF120" s="916"/>
      <c r="AG120" s="916"/>
      <c r="AH120" s="916"/>
      <c r="AI120" s="916"/>
      <c r="AJ120" s="916"/>
      <c r="AK120" s="916"/>
      <c r="AL120" s="916"/>
      <c r="AM120" s="916"/>
      <c r="AN120" s="916"/>
      <c r="AO120" s="916"/>
      <c r="AP120" s="916"/>
      <c r="AQ120" s="916"/>
      <c r="AR120" s="916"/>
      <c r="AS120" s="916"/>
      <c r="AT120" s="916"/>
      <c r="AU120" s="916"/>
      <c r="AV120" s="916"/>
      <c r="AW120" s="916"/>
      <c r="AX120" s="916"/>
      <c r="AY120" s="916"/>
      <c r="AZ120" s="916"/>
      <c r="BA120" s="916"/>
      <c r="BB120" s="916"/>
      <c r="BC120" s="916"/>
      <c r="BD120" s="916"/>
      <c r="BE120" s="916"/>
      <c r="BF120" s="916"/>
      <c r="BG120" s="916"/>
      <c r="BH120" s="916"/>
      <c r="BI120" s="916"/>
      <c r="BJ120" s="916"/>
      <c r="BK120" s="916"/>
      <c r="BL120" s="916"/>
      <c r="BM120" s="916"/>
      <c r="BN120" s="916"/>
      <c r="BO120" s="916"/>
      <c r="BP120" s="916"/>
      <c r="BQ120" s="916"/>
      <c r="BR120" s="916"/>
      <c r="BS120" s="916"/>
      <c r="BT120" s="916"/>
    </row>
    <row r="121" spans="1:72" x14ac:dyDescent="0.2">
      <c r="A121" s="916" t="s">
        <v>619</v>
      </c>
      <c r="B121" s="916">
        <v>23.55</v>
      </c>
      <c r="C121" s="916">
        <v>26.54</v>
      </c>
      <c r="D121" s="916">
        <v>19.149999999999999</v>
      </c>
      <c r="E121" s="916">
        <v>20.55</v>
      </c>
      <c r="F121" s="916">
        <v>20.88</v>
      </c>
      <c r="G121" s="916">
        <v>22.03</v>
      </c>
      <c r="H121" s="916">
        <v>24.01</v>
      </c>
      <c r="I121" s="916">
        <v>24.94</v>
      </c>
      <c r="J121" s="916">
        <v>25.36</v>
      </c>
      <c r="K121" s="916">
        <v>25.93</v>
      </c>
      <c r="L121" s="916">
        <v>26.46</v>
      </c>
      <c r="M121" s="916">
        <v>26.89</v>
      </c>
      <c r="N121" s="916">
        <v>27.2</v>
      </c>
      <c r="O121" s="916">
        <v>27.59</v>
      </c>
      <c r="P121" s="916">
        <v>27.82</v>
      </c>
      <c r="Q121" s="916">
        <v>28.17</v>
      </c>
      <c r="R121" s="916">
        <v>28.41</v>
      </c>
      <c r="S121" s="916">
        <v>28.54</v>
      </c>
      <c r="T121" s="916">
        <v>28.87</v>
      </c>
      <c r="U121" s="916">
        <v>29.18</v>
      </c>
      <c r="V121" s="916">
        <v>29.47</v>
      </c>
      <c r="W121" s="916">
        <v>29.9</v>
      </c>
      <c r="X121" s="916">
        <v>30.27</v>
      </c>
      <c r="Y121" s="916">
        <v>30.41</v>
      </c>
      <c r="Z121" s="916">
        <v>30.76</v>
      </c>
      <c r="AA121" s="916">
        <v>31.16</v>
      </c>
      <c r="AB121" s="916">
        <v>31.43</v>
      </c>
      <c r="AC121" s="916">
        <v>31.81</v>
      </c>
      <c r="AD121" s="916">
        <v>32.32</v>
      </c>
      <c r="AE121" s="955">
        <v>7.0000000000000001E-3</v>
      </c>
      <c r="AF121" s="916"/>
      <c r="AG121" s="916"/>
      <c r="AH121" s="916"/>
      <c r="AI121" s="916"/>
      <c r="AJ121" s="916"/>
      <c r="AK121" s="916"/>
      <c r="AL121" s="916"/>
      <c r="AM121" s="916"/>
      <c r="AN121" s="916"/>
      <c r="AO121" s="916"/>
      <c r="AP121" s="916"/>
      <c r="AQ121" s="916"/>
      <c r="AR121" s="916"/>
      <c r="AS121" s="916"/>
      <c r="AT121" s="916"/>
      <c r="AU121" s="916"/>
      <c r="AV121" s="916"/>
      <c r="AW121" s="916"/>
      <c r="AX121" s="916"/>
      <c r="AY121" s="916"/>
      <c r="AZ121" s="916"/>
      <c r="BA121" s="916"/>
      <c r="BB121" s="916"/>
      <c r="BC121" s="916"/>
      <c r="BD121" s="916"/>
      <c r="BE121" s="916"/>
      <c r="BF121" s="916"/>
      <c r="BG121" s="916"/>
      <c r="BH121" s="916"/>
      <c r="BI121" s="916"/>
      <c r="BJ121" s="916"/>
      <c r="BK121" s="916"/>
      <c r="BL121" s="916"/>
      <c r="BM121" s="916"/>
      <c r="BN121" s="916"/>
      <c r="BO121" s="916"/>
      <c r="BP121" s="916"/>
      <c r="BQ121" s="916"/>
      <c r="BR121" s="916"/>
      <c r="BS121" s="916"/>
      <c r="BT121" s="916"/>
    </row>
    <row r="122" spans="1:72" x14ac:dyDescent="0.2">
      <c r="A122" s="916" t="s">
        <v>626</v>
      </c>
      <c r="B122" s="916">
        <v>15.77</v>
      </c>
      <c r="C122" s="916">
        <v>22.71</v>
      </c>
      <c r="D122" s="916">
        <v>12.73</v>
      </c>
      <c r="E122" s="916">
        <v>14.79</v>
      </c>
      <c r="F122" s="916">
        <v>15.16</v>
      </c>
      <c r="G122" s="916">
        <v>16.54</v>
      </c>
      <c r="H122" s="916">
        <v>17.690000000000001</v>
      </c>
      <c r="I122" s="916">
        <v>18.46</v>
      </c>
      <c r="J122" s="916">
        <v>19.04</v>
      </c>
      <c r="K122" s="916">
        <v>19.760000000000002</v>
      </c>
      <c r="L122" s="916">
        <v>20.41</v>
      </c>
      <c r="M122" s="916">
        <v>20.97</v>
      </c>
      <c r="N122" s="916">
        <v>21.35</v>
      </c>
      <c r="O122" s="916">
        <v>21.69</v>
      </c>
      <c r="P122" s="916">
        <v>21.85</v>
      </c>
      <c r="Q122" s="916">
        <v>22.09</v>
      </c>
      <c r="R122" s="916">
        <v>22.41</v>
      </c>
      <c r="S122" s="916">
        <v>22.61</v>
      </c>
      <c r="T122" s="916">
        <v>22.92</v>
      </c>
      <c r="U122" s="916">
        <v>23.19</v>
      </c>
      <c r="V122" s="916">
        <v>23.48</v>
      </c>
      <c r="W122" s="916">
        <v>23.9</v>
      </c>
      <c r="X122" s="916">
        <v>24.26</v>
      </c>
      <c r="Y122" s="916">
        <v>24.51</v>
      </c>
      <c r="Z122" s="916">
        <v>24.9</v>
      </c>
      <c r="AA122" s="916">
        <v>25.3</v>
      </c>
      <c r="AB122" s="916">
        <v>25.64</v>
      </c>
      <c r="AC122" s="916">
        <v>26.05</v>
      </c>
      <c r="AD122" s="916">
        <v>26.48</v>
      </c>
      <c r="AE122" s="955">
        <v>6.0000000000000001E-3</v>
      </c>
      <c r="AF122" s="916"/>
      <c r="AG122" s="916"/>
      <c r="AH122" s="916"/>
      <c r="AI122" s="916"/>
      <c r="AJ122" s="916"/>
      <c r="AK122" s="916"/>
      <c r="AL122" s="916"/>
      <c r="AM122" s="916"/>
      <c r="AN122" s="916"/>
      <c r="AO122" s="916"/>
      <c r="AP122" s="916"/>
      <c r="AQ122" s="916"/>
      <c r="AR122" s="916"/>
      <c r="AS122" s="916"/>
      <c r="AT122" s="916"/>
      <c r="AU122" s="916"/>
      <c r="AV122" s="916"/>
      <c r="AW122" s="916"/>
      <c r="AX122" s="916"/>
      <c r="AY122" s="916"/>
      <c r="AZ122" s="916"/>
      <c r="BA122" s="916"/>
      <c r="BB122" s="916"/>
      <c r="BC122" s="916"/>
      <c r="BD122" s="916"/>
      <c r="BE122" s="916"/>
      <c r="BF122" s="916"/>
      <c r="BG122" s="916"/>
      <c r="BH122" s="916"/>
      <c r="BI122" s="916"/>
      <c r="BJ122" s="916"/>
      <c r="BK122" s="916"/>
      <c r="BL122" s="916"/>
      <c r="BM122" s="916"/>
      <c r="BN122" s="916"/>
      <c r="BO122" s="916"/>
      <c r="BP122" s="916"/>
      <c r="BQ122" s="916"/>
      <c r="BR122" s="916"/>
      <c r="BS122" s="916"/>
      <c r="BT122" s="916"/>
    </row>
    <row r="123" spans="1:72" x14ac:dyDescent="0.2">
      <c r="A123" s="916" t="s">
        <v>610</v>
      </c>
      <c r="B123" s="916">
        <v>20.71</v>
      </c>
      <c r="C123" s="916">
        <v>26.27</v>
      </c>
      <c r="D123" s="916">
        <v>17.46</v>
      </c>
      <c r="E123" s="916">
        <v>17.73</v>
      </c>
      <c r="F123" s="916">
        <v>18.149999999999999</v>
      </c>
      <c r="G123" s="916">
        <v>19.45</v>
      </c>
      <c r="H123" s="916">
        <v>20.62</v>
      </c>
      <c r="I123" s="916">
        <v>21.35</v>
      </c>
      <c r="J123" s="916">
        <v>22.03</v>
      </c>
      <c r="K123" s="916">
        <v>22.8</v>
      </c>
      <c r="L123" s="916">
        <v>23.45</v>
      </c>
      <c r="M123" s="916">
        <v>24.07</v>
      </c>
      <c r="N123" s="916">
        <v>24.47</v>
      </c>
      <c r="O123" s="916">
        <v>24.79</v>
      </c>
      <c r="P123" s="916">
        <v>24.99</v>
      </c>
      <c r="Q123" s="916">
        <v>25.32</v>
      </c>
      <c r="R123" s="916">
        <v>25.5</v>
      </c>
      <c r="S123" s="916">
        <v>25.59</v>
      </c>
      <c r="T123" s="916">
        <v>25.89</v>
      </c>
      <c r="U123" s="916">
        <v>26.12</v>
      </c>
      <c r="V123" s="916">
        <v>26.38</v>
      </c>
      <c r="W123" s="916">
        <v>26.71</v>
      </c>
      <c r="X123" s="916">
        <v>27.11</v>
      </c>
      <c r="Y123" s="916">
        <v>27.29</v>
      </c>
      <c r="Z123" s="916">
        <v>27.73</v>
      </c>
      <c r="AA123" s="916">
        <v>28.13</v>
      </c>
      <c r="AB123" s="916">
        <v>28.46</v>
      </c>
      <c r="AC123" s="916">
        <v>28.87</v>
      </c>
      <c r="AD123" s="916">
        <v>29.34</v>
      </c>
      <c r="AE123" s="955">
        <v>4.0000000000000001E-3</v>
      </c>
      <c r="AF123" s="916"/>
      <c r="AG123" s="916"/>
      <c r="AH123" s="916"/>
      <c r="AI123" s="916"/>
      <c r="AJ123" s="916"/>
      <c r="AK123" s="916"/>
      <c r="AL123" s="916"/>
      <c r="AM123" s="916"/>
      <c r="AN123" s="916"/>
      <c r="AO123" s="916"/>
      <c r="AP123" s="916"/>
      <c r="AQ123" s="916"/>
      <c r="AR123" s="916"/>
      <c r="AS123" s="916"/>
      <c r="AT123" s="916"/>
      <c r="AU123" s="916"/>
      <c r="AV123" s="916"/>
      <c r="AW123" s="916"/>
      <c r="AX123" s="916"/>
      <c r="AY123" s="916"/>
      <c r="AZ123" s="916"/>
      <c r="BA123" s="916"/>
      <c r="BB123" s="916"/>
      <c r="BC123" s="916"/>
      <c r="BD123" s="916"/>
      <c r="BE123" s="916"/>
      <c r="BF123" s="916"/>
      <c r="BG123" s="916"/>
      <c r="BH123" s="916"/>
      <c r="BI123" s="916"/>
      <c r="BJ123" s="916"/>
      <c r="BK123" s="916"/>
      <c r="BL123" s="916"/>
      <c r="BM123" s="916"/>
      <c r="BN123" s="916"/>
      <c r="BO123" s="916"/>
      <c r="BP123" s="916"/>
      <c r="BQ123" s="916"/>
      <c r="BR123" s="916"/>
      <c r="BS123" s="916"/>
      <c r="BT123" s="916"/>
    </row>
    <row r="124" spans="1:72" x14ac:dyDescent="0.2">
      <c r="A124" s="916" t="s">
        <v>611</v>
      </c>
      <c r="B124" s="916">
        <v>9.07</v>
      </c>
      <c r="C124" s="916">
        <v>14.77</v>
      </c>
      <c r="D124" s="916">
        <v>8.9600000000000009</v>
      </c>
      <c r="E124" s="916">
        <v>10.9</v>
      </c>
      <c r="F124" s="916">
        <v>11.01</v>
      </c>
      <c r="G124" s="916">
        <v>12.17</v>
      </c>
      <c r="H124" s="916">
        <v>13.13</v>
      </c>
      <c r="I124" s="916">
        <v>13.86</v>
      </c>
      <c r="J124" s="916">
        <v>14.26</v>
      </c>
      <c r="K124" s="916">
        <v>14.63</v>
      </c>
      <c r="L124" s="916">
        <v>15.14</v>
      </c>
      <c r="M124" s="916">
        <v>15.55</v>
      </c>
      <c r="N124" s="916">
        <v>15.76</v>
      </c>
      <c r="O124" s="916">
        <v>15.81</v>
      </c>
      <c r="P124" s="916">
        <v>16.05</v>
      </c>
      <c r="Q124" s="916">
        <v>16.190000000000001</v>
      </c>
      <c r="R124" s="916">
        <v>16.399999999999999</v>
      </c>
      <c r="S124" s="916">
        <v>16.600000000000001</v>
      </c>
      <c r="T124" s="916">
        <v>16.8</v>
      </c>
      <c r="U124" s="916">
        <v>16.850000000000001</v>
      </c>
      <c r="V124" s="916">
        <v>17.13</v>
      </c>
      <c r="W124" s="916">
        <v>17.37</v>
      </c>
      <c r="X124" s="916">
        <v>17.66</v>
      </c>
      <c r="Y124" s="916">
        <v>17.96</v>
      </c>
      <c r="Z124" s="916">
        <v>18.3</v>
      </c>
      <c r="AA124" s="916">
        <v>18.559999999999999</v>
      </c>
      <c r="AB124" s="916">
        <v>18.79</v>
      </c>
      <c r="AC124" s="916">
        <v>19.12</v>
      </c>
      <c r="AD124" s="916">
        <v>19.46</v>
      </c>
      <c r="AE124" s="955">
        <v>0.01</v>
      </c>
      <c r="AF124" s="916"/>
      <c r="AG124" s="916"/>
      <c r="AH124" s="916"/>
      <c r="AI124" s="916"/>
      <c r="AJ124" s="916"/>
      <c r="AK124" s="916"/>
      <c r="AL124" s="916"/>
      <c r="AM124" s="916"/>
      <c r="AN124" s="916"/>
      <c r="AO124" s="916"/>
      <c r="AP124" s="916"/>
      <c r="AQ124" s="916"/>
      <c r="AR124" s="916"/>
      <c r="AS124" s="916"/>
      <c r="AT124" s="916"/>
      <c r="AU124" s="916"/>
      <c r="AV124" s="916"/>
      <c r="AW124" s="916"/>
      <c r="AX124" s="916"/>
      <c r="AY124" s="916"/>
      <c r="AZ124" s="916"/>
      <c r="BA124" s="916"/>
      <c r="BB124" s="916"/>
      <c r="BC124" s="916"/>
      <c r="BD124" s="916"/>
      <c r="BE124" s="916"/>
      <c r="BF124" s="916"/>
      <c r="BG124" s="916"/>
      <c r="BH124" s="916"/>
      <c r="BI124" s="916"/>
      <c r="BJ124" s="916"/>
      <c r="BK124" s="916"/>
      <c r="BL124" s="916"/>
      <c r="BM124" s="916"/>
      <c r="BN124" s="916"/>
      <c r="BO124" s="916"/>
      <c r="BP124" s="916"/>
      <c r="BQ124" s="916"/>
      <c r="BR124" s="916"/>
      <c r="BS124" s="916"/>
      <c r="BT124" s="916"/>
    </row>
    <row r="125" spans="1:72" x14ac:dyDescent="0.2">
      <c r="A125" s="916" t="s">
        <v>510</v>
      </c>
      <c r="B125" s="916">
        <v>9.19</v>
      </c>
      <c r="C125" s="916">
        <v>10.53</v>
      </c>
      <c r="D125" s="916">
        <v>6.57</v>
      </c>
      <c r="E125" s="916">
        <v>6.87</v>
      </c>
      <c r="F125" s="916">
        <v>7.87</v>
      </c>
      <c r="G125" s="916">
        <v>8.1999999999999993</v>
      </c>
      <c r="H125" s="916">
        <v>8.0500000000000007</v>
      </c>
      <c r="I125" s="916">
        <v>8.02</v>
      </c>
      <c r="J125" s="916">
        <v>8.14</v>
      </c>
      <c r="K125" s="916">
        <v>8.2200000000000006</v>
      </c>
      <c r="L125" s="916">
        <v>8.2200000000000006</v>
      </c>
      <c r="M125" s="916">
        <v>8.27</v>
      </c>
      <c r="N125" s="916">
        <v>8.33</v>
      </c>
      <c r="O125" s="916">
        <v>8.44</v>
      </c>
      <c r="P125" s="916">
        <v>8.5500000000000007</v>
      </c>
      <c r="Q125" s="916">
        <v>8.73</v>
      </c>
      <c r="R125" s="916">
        <v>8.77</v>
      </c>
      <c r="S125" s="916">
        <v>8.68</v>
      </c>
      <c r="T125" s="916">
        <v>8.75</v>
      </c>
      <c r="U125" s="916">
        <v>8.89</v>
      </c>
      <c r="V125" s="916">
        <v>9.0399999999999991</v>
      </c>
      <c r="W125" s="916">
        <v>9.26</v>
      </c>
      <c r="X125" s="916">
        <v>9.49</v>
      </c>
      <c r="Y125" s="916">
        <v>9.74</v>
      </c>
      <c r="Z125" s="916">
        <v>10.050000000000001</v>
      </c>
      <c r="AA125" s="916">
        <v>10.17</v>
      </c>
      <c r="AB125" s="916">
        <v>10.210000000000001</v>
      </c>
      <c r="AC125" s="916">
        <v>10.4</v>
      </c>
      <c r="AD125" s="916">
        <v>10.54</v>
      </c>
      <c r="AE125" s="955">
        <v>0</v>
      </c>
      <c r="AF125" s="916"/>
      <c r="AG125" s="916"/>
      <c r="AH125" s="916"/>
      <c r="AI125" s="916"/>
      <c r="AJ125" s="916"/>
      <c r="AK125" s="916"/>
      <c r="AL125" s="916"/>
      <c r="AM125" s="916"/>
      <c r="AN125" s="916"/>
      <c r="AO125" s="916"/>
      <c r="AP125" s="916"/>
      <c r="AQ125" s="916"/>
      <c r="AR125" s="916"/>
      <c r="AS125" s="916"/>
      <c r="AT125" s="916"/>
      <c r="AU125" s="916"/>
      <c r="AV125" s="916"/>
      <c r="AW125" s="916"/>
      <c r="AX125" s="916"/>
      <c r="AY125" s="916"/>
      <c r="AZ125" s="916"/>
      <c r="BA125" s="916"/>
      <c r="BB125" s="916"/>
      <c r="BC125" s="916"/>
      <c r="BD125" s="916"/>
      <c r="BE125" s="916"/>
      <c r="BF125" s="916"/>
      <c r="BG125" s="916"/>
      <c r="BH125" s="916"/>
      <c r="BI125" s="916"/>
      <c r="BJ125" s="916"/>
      <c r="BK125" s="916"/>
      <c r="BL125" s="916"/>
      <c r="BM125" s="916"/>
      <c r="BN125" s="916"/>
      <c r="BO125" s="916"/>
      <c r="BP125" s="916"/>
      <c r="BQ125" s="916"/>
      <c r="BR125" s="916"/>
      <c r="BS125" s="916"/>
      <c r="BT125" s="916"/>
    </row>
    <row r="126" spans="1:72" x14ac:dyDescent="0.2">
      <c r="A126" s="916" t="s">
        <v>614</v>
      </c>
      <c r="B126" s="916">
        <v>3.69</v>
      </c>
      <c r="C126" s="916">
        <v>4.49</v>
      </c>
      <c r="D126" s="916">
        <v>4.72</v>
      </c>
      <c r="E126" s="916">
        <v>4.8</v>
      </c>
      <c r="F126" s="916">
        <v>4.8600000000000003</v>
      </c>
      <c r="G126" s="916">
        <v>5.0199999999999996</v>
      </c>
      <c r="H126" s="916">
        <v>5.05</v>
      </c>
      <c r="I126" s="916">
        <v>5.08</v>
      </c>
      <c r="J126" s="916">
        <v>5.08</v>
      </c>
      <c r="K126" s="916">
        <v>5.09</v>
      </c>
      <c r="L126" s="916">
        <v>5.16</v>
      </c>
      <c r="M126" s="916">
        <v>5.22</v>
      </c>
      <c r="N126" s="916">
        <v>5.29</v>
      </c>
      <c r="O126" s="916">
        <v>5.32</v>
      </c>
      <c r="P126" s="916">
        <v>5.35</v>
      </c>
      <c r="Q126" s="916">
        <v>5.36</v>
      </c>
      <c r="R126" s="916">
        <v>5.35</v>
      </c>
      <c r="S126" s="916">
        <v>5.32</v>
      </c>
      <c r="T126" s="916">
        <v>5.24</v>
      </c>
      <c r="U126" s="916">
        <v>5.16</v>
      </c>
      <c r="V126" s="916">
        <v>5.14</v>
      </c>
      <c r="W126" s="916">
        <v>5.14</v>
      </c>
      <c r="X126" s="916">
        <v>5.1100000000000003</v>
      </c>
      <c r="Y126" s="916">
        <v>5.1100000000000003</v>
      </c>
      <c r="Z126" s="916">
        <v>5.09</v>
      </c>
      <c r="AA126" s="916">
        <v>5.08</v>
      </c>
      <c r="AB126" s="916">
        <v>5.08</v>
      </c>
      <c r="AC126" s="916">
        <v>5.0599999999999996</v>
      </c>
      <c r="AD126" s="916">
        <v>5.0599999999999996</v>
      </c>
      <c r="AE126" s="955">
        <v>4.0000000000000001E-3</v>
      </c>
      <c r="AF126" s="916"/>
      <c r="AG126" s="916"/>
      <c r="AH126" s="916"/>
      <c r="AI126" s="916"/>
      <c r="AJ126" s="916"/>
      <c r="AK126" s="916"/>
      <c r="AL126" s="916"/>
      <c r="AM126" s="916"/>
      <c r="AN126" s="916"/>
      <c r="AO126" s="916"/>
      <c r="AP126" s="916"/>
      <c r="AQ126" s="916"/>
      <c r="AR126" s="916"/>
      <c r="AS126" s="916"/>
      <c r="AT126" s="916"/>
      <c r="AU126" s="916"/>
      <c r="AV126" s="916"/>
      <c r="AW126" s="916"/>
      <c r="AX126" s="916"/>
      <c r="AY126" s="916"/>
      <c r="AZ126" s="916"/>
      <c r="BA126" s="916"/>
      <c r="BB126" s="916"/>
      <c r="BC126" s="916"/>
      <c r="BD126" s="916"/>
      <c r="BE126" s="916"/>
      <c r="BF126" s="916"/>
      <c r="BG126" s="916"/>
      <c r="BH126" s="916"/>
      <c r="BI126" s="916"/>
      <c r="BJ126" s="916"/>
      <c r="BK126" s="916"/>
      <c r="BL126" s="916"/>
      <c r="BM126" s="916"/>
      <c r="BN126" s="916"/>
      <c r="BO126" s="916"/>
      <c r="BP126" s="916"/>
      <c r="BQ126" s="916"/>
      <c r="BR126" s="916"/>
      <c r="BS126" s="916"/>
      <c r="BT126" s="916"/>
    </row>
    <row r="127" spans="1:72" x14ac:dyDescent="0.2">
      <c r="A127" s="916" t="s">
        <v>627</v>
      </c>
      <c r="B127" s="916">
        <v>1.84</v>
      </c>
      <c r="C127" s="916">
        <v>2.1</v>
      </c>
      <c r="D127" s="916">
        <v>2.19</v>
      </c>
      <c r="E127" s="916">
        <v>2.0299999999999998</v>
      </c>
      <c r="F127" s="916">
        <v>2.02</v>
      </c>
      <c r="G127" s="916">
        <v>2.0299999999999998</v>
      </c>
      <c r="H127" s="916">
        <v>2.0299999999999998</v>
      </c>
      <c r="I127" s="916">
        <v>2.0299999999999998</v>
      </c>
      <c r="J127" s="916">
        <v>2.0499999999999998</v>
      </c>
      <c r="K127" s="916">
        <v>2.0299999999999998</v>
      </c>
      <c r="L127" s="916">
        <v>2.04</v>
      </c>
      <c r="M127" s="916">
        <v>2.0299999999999998</v>
      </c>
      <c r="N127" s="916">
        <v>2.02</v>
      </c>
      <c r="O127" s="916">
        <v>2.02</v>
      </c>
      <c r="P127" s="916">
        <v>2.02</v>
      </c>
      <c r="Q127" s="916">
        <v>2.0299999999999998</v>
      </c>
      <c r="R127" s="916">
        <v>2.02</v>
      </c>
      <c r="S127" s="916">
        <v>2.02</v>
      </c>
      <c r="T127" s="916">
        <v>2.02</v>
      </c>
      <c r="U127" s="916">
        <v>2.0299999999999998</v>
      </c>
      <c r="V127" s="916">
        <v>2.0299999999999998</v>
      </c>
      <c r="W127" s="916">
        <v>2.04</v>
      </c>
      <c r="X127" s="916">
        <v>2.0499999999999998</v>
      </c>
      <c r="Y127" s="916">
        <v>2.06</v>
      </c>
      <c r="Z127" s="916">
        <v>2.0699999999999998</v>
      </c>
      <c r="AA127" s="916">
        <v>2.08</v>
      </c>
      <c r="AB127" s="916">
        <v>2.09</v>
      </c>
      <c r="AC127" s="916">
        <v>2.1</v>
      </c>
      <c r="AD127" s="916">
        <v>2.12</v>
      </c>
      <c r="AE127" s="955">
        <v>0</v>
      </c>
      <c r="AF127" s="916"/>
      <c r="AG127" s="916"/>
      <c r="AH127" s="916"/>
      <c r="AI127" s="916"/>
      <c r="AJ127" s="916"/>
      <c r="AK127" s="916"/>
      <c r="AL127" s="916"/>
      <c r="AM127" s="916"/>
      <c r="AN127" s="916"/>
      <c r="AO127" s="916"/>
      <c r="AP127" s="916"/>
      <c r="AQ127" s="916"/>
      <c r="AR127" s="916"/>
      <c r="AS127" s="916"/>
      <c r="AT127" s="916"/>
      <c r="AU127" s="916"/>
      <c r="AV127" s="916"/>
      <c r="AW127" s="916"/>
      <c r="AX127" s="916"/>
      <c r="AY127" s="916"/>
      <c r="AZ127" s="916"/>
      <c r="BA127" s="916"/>
      <c r="BB127" s="916"/>
      <c r="BC127" s="916"/>
      <c r="BD127" s="916"/>
      <c r="BE127" s="916"/>
      <c r="BF127" s="916"/>
      <c r="BG127" s="916"/>
      <c r="BH127" s="916"/>
      <c r="BI127" s="916"/>
      <c r="BJ127" s="916"/>
      <c r="BK127" s="916"/>
      <c r="BL127" s="916"/>
      <c r="BM127" s="916"/>
      <c r="BN127" s="916"/>
      <c r="BO127" s="916"/>
      <c r="BP127" s="916"/>
      <c r="BQ127" s="916"/>
      <c r="BR127" s="916"/>
      <c r="BS127" s="916"/>
      <c r="BT127" s="916"/>
    </row>
    <row r="128" spans="1:72" x14ac:dyDescent="0.2">
      <c r="A128" s="916" t="s">
        <v>616</v>
      </c>
      <c r="B128" s="916" t="s">
        <v>788</v>
      </c>
      <c r="C128" s="916" t="s">
        <v>788</v>
      </c>
      <c r="D128" s="916" t="s">
        <v>788</v>
      </c>
      <c r="E128" s="916" t="s">
        <v>788</v>
      </c>
      <c r="F128" s="916">
        <v>1.26</v>
      </c>
      <c r="G128" s="916">
        <v>1.04</v>
      </c>
      <c r="H128" s="916">
        <v>1.04</v>
      </c>
      <c r="I128" s="916">
        <v>1.41</v>
      </c>
      <c r="J128" s="916">
        <v>1.42</v>
      </c>
      <c r="K128" s="916">
        <v>1.46</v>
      </c>
      <c r="L128" s="916">
        <v>1.48</v>
      </c>
      <c r="M128" s="916">
        <v>1.48</v>
      </c>
      <c r="N128" s="916">
        <v>1.47</v>
      </c>
      <c r="O128" s="916">
        <v>1.46</v>
      </c>
      <c r="P128" s="916">
        <v>1.49</v>
      </c>
      <c r="Q128" s="916">
        <v>1.5</v>
      </c>
      <c r="R128" s="916">
        <v>1.52</v>
      </c>
      <c r="S128" s="916">
        <v>1.49</v>
      </c>
      <c r="T128" s="916">
        <v>1.49</v>
      </c>
      <c r="U128" s="916">
        <v>1.47</v>
      </c>
      <c r="V128" s="916">
        <v>1.46</v>
      </c>
      <c r="W128" s="916">
        <v>1.45</v>
      </c>
      <c r="X128" s="916">
        <v>1.44</v>
      </c>
      <c r="Y128" s="916">
        <v>1.44</v>
      </c>
      <c r="Z128" s="916">
        <v>1.44</v>
      </c>
      <c r="AA128" s="916">
        <v>1.44</v>
      </c>
      <c r="AB128" s="916">
        <v>1.46</v>
      </c>
      <c r="AC128" s="916">
        <v>1.48</v>
      </c>
      <c r="AD128" s="916">
        <v>1.51</v>
      </c>
      <c r="AE128" s="916" t="s">
        <v>788</v>
      </c>
      <c r="AF128" s="916"/>
      <c r="AG128" s="916"/>
      <c r="AH128" s="916"/>
      <c r="AI128" s="916"/>
      <c r="AJ128" s="916"/>
      <c r="AK128" s="916"/>
      <c r="AL128" s="916"/>
      <c r="AM128" s="916"/>
      <c r="AN128" s="916"/>
      <c r="AO128" s="916"/>
      <c r="AP128" s="916"/>
      <c r="AQ128" s="916"/>
      <c r="AR128" s="916"/>
      <c r="AS128" s="916"/>
      <c r="AT128" s="916"/>
      <c r="AU128" s="916"/>
      <c r="AV128" s="916"/>
      <c r="AW128" s="916"/>
      <c r="AX128" s="916"/>
      <c r="AY128" s="916"/>
      <c r="AZ128" s="916"/>
      <c r="BA128" s="916"/>
      <c r="BB128" s="916"/>
      <c r="BC128" s="916"/>
      <c r="BD128" s="916"/>
      <c r="BE128" s="916"/>
      <c r="BF128" s="916"/>
      <c r="BG128" s="916"/>
      <c r="BH128" s="916"/>
      <c r="BI128" s="916"/>
      <c r="BJ128" s="916"/>
      <c r="BK128" s="916"/>
      <c r="BL128" s="916"/>
      <c r="BM128" s="916"/>
      <c r="BN128" s="916"/>
      <c r="BO128" s="916"/>
      <c r="BP128" s="916"/>
      <c r="BQ128" s="916"/>
      <c r="BR128" s="916"/>
      <c r="BS128" s="916"/>
      <c r="BT128" s="916"/>
    </row>
    <row r="129" spans="1:72" x14ac:dyDescent="0.2">
      <c r="A129" s="916" t="s">
        <v>479</v>
      </c>
      <c r="B129" s="916">
        <v>27.25</v>
      </c>
      <c r="C129" s="916">
        <v>28.81</v>
      </c>
      <c r="D129" s="916">
        <v>28.07</v>
      </c>
      <c r="E129" s="916">
        <v>26.77</v>
      </c>
      <c r="F129" s="916">
        <v>25.2</v>
      </c>
      <c r="G129" s="916">
        <v>26.1</v>
      </c>
      <c r="H129" s="916">
        <v>26.17</v>
      </c>
      <c r="I129" s="916">
        <v>25.97</v>
      </c>
      <c r="J129" s="916">
        <v>25.95</v>
      </c>
      <c r="K129" s="916">
        <v>26.2</v>
      </c>
      <c r="L129" s="916">
        <v>26.36</v>
      </c>
      <c r="M129" s="916">
        <v>26.37</v>
      </c>
      <c r="N129" s="916">
        <v>26.31</v>
      </c>
      <c r="O129" s="916">
        <v>26.51</v>
      </c>
      <c r="P129" s="916">
        <v>26.7</v>
      </c>
      <c r="Q129" s="916">
        <v>26.84</v>
      </c>
      <c r="R129" s="916">
        <v>27.04</v>
      </c>
      <c r="S129" s="916">
        <v>27.19</v>
      </c>
      <c r="T129" s="916">
        <v>27.17</v>
      </c>
      <c r="U129" s="916">
        <v>27.33</v>
      </c>
      <c r="V129" s="916">
        <v>27.53</v>
      </c>
      <c r="W129" s="916">
        <v>27.74</v>
      </c>
      <c r="X129" s="916">
        <v>28.16</v>
      </c>
      <c r="Y129" s="916">
        <v>28.49</v>
      </c>
      <c r="Z129" s="916">
        <v>28.86</v>
      </c>
      <c r="AA129" s="916">
        <v>29.21</v>
      </c>
      <c r="AB129" s="916">
        <v>29.38</v>
      </c>
      <c r="AC129" s="916">
        <v>29.64</v>
      </c>
      <c r="AD129" s="916">
        <v>29.87</v>
      </c>
      <c r="AE129" s="955">
        <v>1E-3</v>
      </c>
      <c r="AF129" s="916"/>
      <c r="AG129" s="916"/>
      <c r="AH129" s="916"/>
      <c r="AI129" s="916"/>
      <c r="AJ129" s="916"/>
      <c r="AK129" s="916"/>
      <c r="AL129" s="916"/>
      <c r="AM129" s="916"/>
      <c r="AN129" s="916"/>
      <c r="AO129" s="916"/>
      <c r="AP129" s="916"/>
      <c r="AQ129" s="916"/>
      <c r="AR129" s="916"/>
      <c r="AS129" s="916"/>
      <c r="AT129" s="916"/>
      <c r="AU129" s="916"/>
      <c r="AV129" s="916"/>
      <c r="AW129" s="916"/>
      <c r="AX129" s="916"/>
      <c r="AY129" s="916"/>
      <c r="AZ129" s="916"/>
      <c r="BA129" s="916"/>
      <c r="BB129" s="916"/>
      <c r="BC129" s="916"/>
      <c r="BD129" s="916"/>
      <c r="BE129" s="916"/>
      <c r="BF129" s="916"/>
      <c r="BG129" s="916"/>
      <c r="BH129" s="916"/>
      <c r="BI129" s="916"/>
      <c r="BJ129" s="916"/>
      <c r="BK129" s="916"/>
      <c r="BL129" s="916"/>
      <c r="BM129" s="916"/>
      <c r="BN129" s="916"/>
      <c r="BO129" s="916"/>
      <c r="BP129" s="916"/>
      <c r="BQ129" s="916"/>
      <c r="BR129" s="916"/>
      <c r="BS129" s="916"/>
      <c r="BT129" s="916"/>
    </row>
    <row r="130" spans="1:72" x14ac:dyDescent="0.2">
      <c r="A130" s="916"/>
      <c r="B130" s="916"/>
      <c r="C130" s="916"/>
      <c r="D130" s="916"/>
      <c r="E130" s="916"/>
      <c r="F130" s="916"/>
      <c r="G130" s="916"/>
      <c r="H130" s="916"/>
      <c r="I130" s="916"/>
      <c r="J130" s="916"/>
      <c r="K130" s="916"/>
      <c r="L130" s="916"/>
      <c r="M130" s="916"/>
      <c r="N130" s="916"/>
      <c r="O130" s="916"/>
      <c r="P130" s="916"/>
      <c r="Q130" s="916"/>
      <c r="R130" s="916"/>
      <c r="S130" s="916"/>
      <c r="T130" s="916"/>
      <c r="U130" s="916"/>
      <c r="V130" s="916"/>
      <c r="W130" s="916"/>
      <c r="X130" s="916"/>
      <c r="Y130" s="916"/>
      <c r="Z130" s="916"/>
      <c r="AA130" s="916"/>
      <c r="AB130" s="916"/>
      <c r="AC130" s="916"/>
      <c r="AD130" s="916"/>
      <c r="AE130" s="916"/>
      <c r="AF130" s="916"/>
      <c r="AG130" s="916"/>
      <c r="AH130" s="916"/>
      <c r="AI130" s="916"/>
      <c r="AJ130" s="916"/>
      <c r="AK130" s="916"/>
      <c r="AL130" s="916"/>
      <c r="AM130" s="916"/>
      <c r="AN130" s="916"/>
      <c r="AO130" s="916"/>
      <c r="AP130" s="916"/>
      <c r="AQ130" s="916"/>
      <c r="AR130" s="916"/>
      <c r="AS130" s="916"/>
      <c r="AT130" s="916"/>
      <c r="AU130" s="916"/>
      <c r="AV130" s="916"/>
      <c r="AW130" s="916"/>
      <c r="AX130" s="916"/>
      <c r="AY130" s="916"/>
      <c r="AZ130" s="916"/>
      <c r="BA130" s="916"/>
      <c r="BB130" s="916"/>
      <c r="BC130" s="916"/>
      <c r="BD130" s="916"/>
      <c r="BE130" s="916"/>
      <c r="BF130" s="916"/>
      <c r="BG130" s="916"/>
      <c r="BH130" s="916"/>
      <c r="BI130" s="916"/>
      <c r="BJ130" s="916"/>
      <c r="BK130" s="916"/>
      <c r="BL130" s="916"/>
      <c r="BM130" s="916"/>
      <c r="BN130" s="916"/>
      <c r="BO130" s="916"/>
      <c r="BP130" s="916"/>
      <c r="BQ130" s="916"/>
      <c r="BR130" s="916"/>
      <c r="BS130" s="916"/>
      <c r="BT130" s="916"/>
    </row>
    <row r="131" spans="1:72" x14ac:dyDescent="0.2">
      <c r="A131" s="916" t="s">
        <v>513</v>
      </c>
      <c r="B131" s="916"/>
      <c r="C131" s="916"/>
      <c r="D131" s="916"/>
      <c r="E131" s="916"/>
      <c r="F131" s="916"/>
      <c r="G131" s="916"/>
      <c r="H131" s="916"/>
      <c r="I131" s="916"/>
      <c r="J131" s="916"/>
      <c r="K131" s="916"/>
      <c r="L131" s="916"/>
      <c r="M131" s="916"/>
      <c r="N131" s="916"/>
      <c r="O131" s="916"/>
      <c r="P131" s="916"/>
      <c r="Q131" s="916"/>
      <c r="R131" s="916"/>
      <c r="S131" s="916"/>
      <c r="T131" s="916"/>
      <c r="U131" s="916"/>
      <c r="V131" s="916"/>
      <c r="W131" s="916"/>
      <c r="X131" s="916"/>
      <c r="Y131" s="916"/>
      <c r="Z131" s="916"/>
      <c r="AA131" s="916"/>
      <c r="AB131" s="916"/>
      <c r="AC131" s="916"/>
      <c r="AD131" s="916"/>
      <c r="AE131" s="916"/>
      <c r="AF131" s="916"/>
      <c r="AG131" s="916"/>
      <c r="AH131" s="916"/>
      <c r="AI131" s="916"/>
      <c r="AJ131" s="916"/>
      <c r="AK131" s="916"/>
      <c r="AL131" s="916"/>
      <c r="AM131" s="916"/>
      <c r="AN131" s="916"/>
      <c r="AO131" s="916"/>
      <c r="AP131" s="916"/>
      <c r="AQ131" s="916"/>
      <c r="AR131" s="916"/>
      <c r="AS131" s="916"/>
      <c r="AT131" s="916"/>
      <c r="AU131" s="916"/>
      <c r="AV131" s="916"/>
      <c r="AW131" s="916"/>
      <c r="AX131" s="916"/>
      <c r="AY131" s="916"/>
      <c r="AZ131" s="916"/>
      <c r="BA131" s="916"/>
      <c r="BB131" s="916"/>
      <c r="BC131" s="916"/>
      <c r="BD131" s="916"/>
      <c r="BE131" s="916"/>
      <c r="BF131" s="916"/>
      <c r="BG131" s="916"/>
      <c r="BH131" s="916"/>
      <c r="BI131" s="916"/>
      <c r="BJ131" s="916"/>
      <c r="BK131" s="916"/>
      <c r="BL131" s="916"/>
      <c r="BM131" s="916"/>
      <c r="BN131" s="916"/>
      <c r="BO131" s="916"/>
      <c r="BP131" s="916"/>
      <c r="BQ131" s="916"/>
      <c r="BR131" s="916"/>
      <c r="BS131" s="916"/>
      <c r="BT131" s="916"/>
    </row>
    <row r="132" spans="1:72" x14ac:dyDescent="0.2">
      <c r="A132" s="916" t="s">
        <v>789</v>
      </c>
      <c r="B132" s="916"/>
      <c r="C132" s="916"/>
      <c r="D132" s="916"/>
      <c r="E132" s="916"/>
      <c r="F132" s="916"/>
      <c r="G132" s="916"/>
      <c r="H132" s="916"/>
      <c r="I132" s="916"/>
      <c r="J132" s="916"/>
      <c r="K132" s="916"/>
      <c r="L132" s="916"/>
      <c r="M132" s="916"/>
      <c r="N132" s="916"/>
      <c r="O132" s="916"/>
      <c r="P132" s="916"/>
      <c r="Q132" s="916"/>
      <c r="R132" s="916"/>
      <c r="S132" s="916"/>
      <c r="T132" s="916"/>
      <c r="U132" s="916"/>
      <c r="V132" s="916"/>
      <c r="W132" s="916"/>
      <c r="X132" s="916"/>
      <c r="Y132" s="916"/>
      <c r="Z132" s="916"/>
      <c r="AA132" s="916"/>
      <c r="AB132" s="916"/>
      <c r="AC132" s="916"/>
      <c r="AD132" s="916"/>
      <c r="AE132" s="916"/>
      <c r="AF132" s="916"/>
      <c r="AG132" s="916"/>
      <c r="AH132" s="916"/>
      <c r="AI132" s="916"/>
      <c r="AJ132" s="916"/>
      <c r="AK132" s="916"/>
      <c r="AL132" s="916"/>
      <c r="AM132" s="916"/>
      <c r="AN132" s="916"/>
      <c r="AO132" s="916"/>
      <c r="AP132" s="916"/>
      <c r="AQ132" s="916"/>
      <c r="AR132" s="916"/>
      <c r="AS132" s="916"/>
      <c r="AT132" s="916"/>
      <c r="AU132" s="916"/>
      <c r="AV132" s="916"/>
      <c r="AW132" s="916"/>
      <c r="AX132" s="916"/>
      <c r="AY132" s="916"/>
      <c r="AZ132" s="916"/>
      <c r="BA132" s="916"/>
      <c r="BB132" s="916"/>
      <c r="BC132" s="916"/>
      <c r="BD132" s="916"/>
      <c r="BE132" s="916"/>
      <c r="BF132" s="916"/>
      <c r="BG132" s="916"/>
      <c r="BH132" s="916"/>
      <c r="BI132" s="916"/>
      <c r="BJ132" s="916"/>
      <c r="BK132" s="916"/>
      <c r="BL132" s="916"/>
      <c r="BM132" s="916"/>
      <c r="BN132" s="916"/>
      <c r="BO132" s="916"/>
      <c r="BP132" s="916"/>
      <c r="BQ132" s="916"/>
      <c r="BR132" s="916"/>
      <c r="BS132" s="916"/>
      <c r="BT132" s="916"/>
    </row>
    <row r="133" spans="1:72" x14ac:dyDescent="0.2">
      <c r="A133" s="916" t="s">
        <v>473</v>
      </c>
      <c r="B133" s="916">
        <v>241.67</v>
      </c>
      <c r="C133" s="916">
        <v>254.66</v>
      </c>
      <c r="D133" s="916">
        <v>231.65</v>
      </c>
      <c r="E133" s="916">
        <v>223.76</v>
      </c>
      <c r="F133" s="916">
        <v>222.61</v>
      </c>
      <c r="G133" s="916">
        <v>230.62</v>
      </c>
      <c r="H133" s="916">
        <v>228.9</v>
      </c>
      <c r="I133" s="916">
        <v>229.4</v>
      </c>
      <c r="J133" s="916">
        <v>230.89</v>
      </c>
      <c r="K133" s="916">
        <v>234.53</v>
      </c>
      <c r="L133" s="916">
        <v>236.76</v>
      </c>
      <c r="M133" s="916">
        <v>239.14</v>
      </c>
      <c r="N133" s="916">
        <v>241.36</v>
      </c>
      <c r="O133" s="916">
        <v>245.14</v>
      </c>
      <c r="P133" s="916">
        <v>247.96</v>
      </c>
      <c r="Q133" s="916">
        <v>251.14</v>
      </c>
      <c r="R133" s="916">
        <v>253.92</v>
      </c>
      <c r="S133" s="916">
        <v>256.67</v>
      </c>
      <c r="T133" s="916">
        <v>258.7</v>
      </c>
      <c r="U133" s="916">
        <v>262.54000000000002</v>
      </c>
      <c r="V133" s="916">
        <v>266.58999999999997</v>
      </c>
      <c r="W133" s="916">
        <v>271.26</v>
      </c>
      <c r="X133" s="916">
        <v>275.8</v>
      </c>
      <c r="Y133" s="916">
        <v>280.39999999999998</v>
      </c>
      <c r="Z133" s="916">
        <v>285.83</v>
      </c>
      <c r="AA133" s="916">
        <v>290.58999999999997</v>
      </c>
      <c r="AB133" s="916">
        <v>292.89999999999998</v>
      </c>
      <c r="AC133" s="916">
        <v>297.16000000000003</v>
      </c>
      <c r="AD133" s="916">
        <v>301.11</v>
      </c>
      <c r="AE133" s="955">
        <v>6.0000000000000001E-3</v>
      </c>
      <c r="AF133" s="916"/>
      <c r="AG133" s="916"/>
      <c r="AH133" s="916"/>
      <c r="AI133" s="916"/>
      <c r="AJ133" s="916"/>
      <c r="AK133" s="916"/>
      <c r="AL133" s="916"/>
      <c r="AM133" s="916"/>
      <c r="AN133" s="916"/>
      <c r="AO133" s="916"/>
      <c r="AP133" s="916"/>
      <c r="AQ133" s="916"/>
      <c r="AR133" s="916"/>
      <c r="AS133" s="916"/>
      <c r="AT133" s="916"/>
      <c r="AU133" s="916"/>
      <c r="AV133" s="916"/>
      <c r="AW133" s="916"/>
      <c r="AX133" s="916"/>
      <c r="AY133" s="916"/>
      <c r="AZ133" s="916"/>
      <c r="BA133" s="916"/>
      <c r="BB133" s="916"/>
      <c r="BC133" s="916"/>
      <c r="BD133" s="916"/>
      <c r="BE133" s="916"/>
      <c r="BF133" s="916"/>
      <c r="BG133" s="916"/>
      <c r="BH133" s="916"/>
      <c r="BI133" s="916"/>
      <c r="BJ133" s="916"/>
      <c r="BK133" s="916"/>
      <c r="BL133" s="916"/>
      <c r="BM133" s="916"/>
      <c r="BN133" s="916"/>
      <c r="BO133" s="916"/>
      <c r="BP133" s="916"/>
      <c r="BQ133" s="916"/>
      <c r="BR133" s="916"/>
      <c r="BS133" s="916"/>
      <c r="BT133" s="916"/>
    </row>
    <row r="134" spans="1:72" x14ac:dyDescent="0.2">
      <c r="A134" s="916" t="s">
        <v>480</v>
      </c>
      <c r="B134" s="916">
        <v>176.61</v>
      </c>
      <c r="C134" s="916">
        <v>191.19</v>
      </c>
      <c r="D134" s="916">
        <v>168.7</v>
      </c>
      <c r="E134" s="916">
        <v>163.43</v>
      </c>
      <c r="F134" s="916">
        <v>163.69</v>
      </c>
      <c r="G134" s="916">
        <v>172.64</v>
      </c>
      <c r="H134" s="916">
        <v>173.85</v>
      </c>
      <c r="I134" s="916">
        <v>174.18</v>
      </c>
      <c r="J134" s="916">
        <v>176.9</v>
      </c>
      <c r="K134" s="916">
        <v>180.82</v>
      </c>
      <c r="L134" s="916">
        <v>184.11</v>
      </c>
      <c r="M134" s="916">
        <v>186.86</v>
      </c>
      <c r="N134" s="916">
        <v>189.36</v>
      </c>
      <c r="O134" s="916">
        <v>193.15</v>
      </c>
      <c r="P134" s="916">
        <v>196.83</v>
      </c>
      <c r="Q134" s="916">
        <v>200.4</v>
      </c>
      <c r="R134" s="916">
        <v>204.1</v>
      </c>
      <c r="S134" s="916">
        <v>207.27</v>
      </c>
      <c r="T134" s="916">
        <v>210.07</v>
      </c>
      <c r="U134" s="916">
        <v>214.23</v>
      </c>
      <c r="V134" s="916">
        <v>218.63</v>
      </c>
      <c r="W134" s="916">
        <v>223.34</v>
      </c>
      <c r="X134" s="916">
        <v>229.36</v>
      </c>
      <c r="Y134" s="916">
        <v>234.79</v>
      </c>
      <c r="Z134" s="916">
        <v>240.94</v>
      </c>
      <c r="AA134" s="916">
        <v>246.37</v>
      </c>
      <c r="AB134" s="916">
        <v>250.61</v>
      </c>
      <c r="AC134" s="916">
        <v>256.01</v>
      </c>
      <c r="AD134" s="916">
        <v>261.07</v>
      </c>
      <c r="AE134" s="955">
        <v>1.2E-2</v>
      </c>
      <c r="AF134" s="916"/>
      <c r="AG134" s="916"/>
      <c r="AH134" s="916"/>
      <c r="AI134" s="916"/>
      <c r="AJ134" s="916"/>
      <c r="AK134" s="916"/>
      <c r="AL134" s="916"/>
      <c r="AM134" s="916"/>
      <c r="AN134" s="916"/>
      <c r="AO134" s="916"/>
      <c r="AP134" s="916"/>
      <c r="AQ134" s="916"/>
      <c r="AR134" s="916"/>
      <c r="AS134" s="916"/>
      <c r="AT134" s="916"/>
      <c r="AU134" s="916"/>
      <c r="AV134" s="916"/>
      <c r="AW134" s="916"/>
      <c r="AX134" s="916"/>
      <c r="AY134" s="916"/>
      <c r="AZ134" s="916"/>
      <c r="BA134" s="916"/>
      <c r="BB134" s="916"/>
      <c r="BC134" s="916"/>
      <c r="BD134" s="916"/>
      <c r="BE134" s="916"/>
      <c r="BF134" s="916"/>
      <c r="BG134" s="916"/>
      <c r="BH134" s="916"/>
      <c r="BI134" s="916"/>
      <c r="BJ134" s="916"/>
      <c r="BK134" s="916"/>
      <c r="BL134" s="916"/>
      <c r="BM134" s="916"/>
      <c r="BN134" s="916"/>
      <c r="BO134" s="916"/>
      <c r="BP134" s="916"/>
      <c r="BQ134" s="916"/>
      <c r="BR134" s="916"/>
      <c r="BS134" s="916"/>
      <c r="BT134" s="916"/>
    </row>
    <row r="135" spans="1:72" x14ac:dyDescent="0.2">
      <c r="A135" s="916" t="s">
        <v>515</v>
      </c>
      <c r="B135" s="916">
        <v>219.69</v>
      </c>
      <c r="C135" s="916">
        <v>244.81</v>
      </c>
      <c r="D135" s="916">
        <v>175.42</v>
      </c>
      <c r="E135" s="916">
        <v>163.24</v>
      </c>
      <c r="F135" s="916">
        <v>173.51</v>
      </c>
      <c r="G135" s="916">
        <v>191.66</v>
      </c>
      <c r="H135" s="916">
        <v>201.52</v>
      </c>
      <c r="I135" s="916">
        <v>207.49</v>
      </c>
      <c r="J135" s="916">
        <v>213.14</v>
      </c>
      <c r="K135" s="916">
        <v>218.86</v>
      </c>
      <c r="L135" s="916">
        <v>223.15</v>
      </c>
      <c r="M135" s="916">
        <v>228.05</v>
      </c>
      <c r="N135" s="916">
        <v>231.33</v>
      </c>
      <c r="O135" s="916">
        <v>234.86</v>
      </c>
      <c r="P135" s="916">
        <v>236.42</v>
      </c>
      <c r="Q135" s="916">
        <v>237.67</v>
      </c>
      <c r="R135" s="916">
        <v>239.07</v>
      </c>
      <c r="S135" s="916">
        <v>240.3</v>
      </c>
      <c r="T135" s="916">
        <v>241.75</v>
      </c>
      <c r="U135" s="916">
        <v>242.96</v>
      </c>
      <c r="V135" s="916">
        <v>245.17</v>
      </c>
      <c r="W135" s="916">
        <v>247.67</v>
      </c>
      <c r="X135" s="916">
        <v>250.95</v>
      </c>
      <c r="Y135" s="916">
        <v>253.51</v>
      </c>
      <c r="Z135" s="916">
        <v>257.7</v>
      </c>
      <c r="AA135" s="916">
        <v>259.55</v>
      </c>
      <c r="AB135" s="916">
        <v>261.58</v>
      </c>
      <c r="AC135" s="916">
        <v>265.05</v>
      </c>
      <c r="AD135" s="916">
        <v>267.18</v>
      </c>
      <c r="AE135" s="955">
        <v>3.0000000000000001E-3</v>
      </c>
      <c r="AF135" s="916"/>
      <c r="AG135" s="916"/>
      <c r="AH135" s="916"/>
      <c r="AI135" s="916"/>
      <c r="AJ135" s="916"/>
      <c r="AK135" s="916"/>
      <c r="AL135" s="916"/>
      <c r="AM135" s="916"/>
      <c r="AN135" s="916"/>
      <c r="AO135" s="916"/>
      <c r="AP135" s="916"/>
      <c r="AQ135" s="916"/>
      <c r="AR135" s="916"/>
      <c r="AS135" s="916"/>
      <c r="AT135" s="916"/>
      <c r="AU135" s="916"/>
      <c r="AV135" s="916"/>
      <c r="AW135" s="916"/>
      <c r="AX135" s="916"/>
      <c r="AY135" s="916"/>
      <c r="AZ135" s="916"/>
      <c r="BA135" s="916"/>
      <c r="BB135" s="916"/>
      <c r="BC135" s="916"/>
      <c r="BD135" s="916"/>
      <c r="BE135" s="916"/>
      <c r="BF135" s="916"/>
      <c r="BG135" s="916"/>
      <c r="BH135" s="916"/>
      <c r="BI135" s="916"/>
      <c r="BJ135" s="916"/>
      <c r="BK135" s="916"/>
      <c r="BL135" s="916"/>
      <c r="BM135" s="916"/>
      <c r="BN135" s="916"/>
      <c r="BO135" s="916"/>
      <c r="BP135" s="916"/>
      <c r="BQ135" s="916"/>
      <c r="BR135" s="916"/>
      <c r="BS135" s="916"/>
      <c r="BT135" s="916"/>
    </row>
    <row r="136" spans="1:72" x14ac:dyDescent="0.2">
      <c r="A136" s="916" t="s">
        <v>487</v>
      </c>
      <c r="B136" s="916">
        <v>613.37</v>
      </c>
      <c r="C136" s="916">
        <v>705.86</v>
      </c>
      <c r="D136" s="916">
        <v>465.68</v>
      </c>
      <c r="E136" s="916">
        <v>508.22</v>
      </c>
      <c r="F136" s="916">
        <v>528.5</v>
      </c>
      <c r="G136" s="916">
        <v>567.33000000000004</v>
      </c>
      <c r="H136" s="916">
        <v>615.79</v>
      </c>
      <c r="I136" s="916">
        <v>640.91999999999996</v>
      </c>
      <c r="J136" s="916">
        <v>655.77</v>
      </c>
      <c r="K136" s="916">
        <v>671.91</v>
      </c>
      <c r="L136" s="916">
        <v>690.32</v>
      </c>
      <c r="M136" s="916">
        <v>704.34</v>
      </c>
      <c r="N136" s="916">
        <v>717.08</v>
      </c>
      <c r="O136" s="916">
        <v>729.77</v>
      </c>
      <c r="P136" s="916">
        <v>737.71</v>
      </c>
      <c r="Q136" s="916">
        <v>743.52</v>
      </c>
      <c r="R136" s="916">
        <v>757.24</v>
      </c>
      <c r="S136" s="916">
        <v>767.89</v>
      </c>
      <c r="T136" s="916">
        <v>782.71</v>
      </c>
      <c r="U136" s="916">
        <v>795.25</v>
      </c>
      <c r="V136" s="916">
        <v>808.06</v>
      </c>
      <c r="W136" s="916">
        <v>822.03</v>
      </c>
      <c r="X136" s="916">
        <v>834.45</v>
      </c>
      <c r="Y136" s="916">
        <v>846.64</v>
      </c>
      <c r="Z136" s="916">
        <v>856.24</v>
      </c>
      <c r="AA136" s="916">
        <v>869.12</v>
      </c>
      <c r="AB136" s="916">
        <v>883.55</v>
      </c>
      <c r="AC136" s="916">
        <v>894.05</v>
      </c>
      <c r="AD136" s="916">
        <v>908.01</v>
      </c>
      <c r="AE136" s="955">
        <v>8.9999999999999993E-3</v>
      </c>
      <c r="AF136" s="916"/>
      <c r="AG136" s="916"/>
      <c r="AH136" s="916"/>
      <c r="AI136" s="916"/>
      <c r="AJ136" s="916"/>
      <c r="AK136" s="916"/>
      <c r="AL136" s="916"/>
      <c r="AM136" s="916"/>
      <c r="AN136" s="916"/>
      <c r="AO136" s="916"/>
      <c r="AP136" s="916"/>
      <c r="AQ136" s="916"/>
      <c r="AR136" s="916"/>
      <c r="AS136" s="916"/>
      <c r="AT136" s="916"/>
      <c r="AU136" s="916"/>
      <c r="AV136" s="916"/>
      <c r="AW136" s="916"/>
      <c r="AX136" s="916"/>
      <c r="AY136" s="916"/>
      <c r="AZ136" s="916"/>
      <c r="BA136" s="916"/>
      <c r="BB136" s="916"/>
      <c r="BC136" s="916"/>
      <c r="BD136" s="916"/>
      <c r="BE136" s="916"/>
      <c r="BF136" s="916"/>
      <c r="BG136" s="916"/>
      <c r="BH136" s="916"/>
      <c r="BI136" s="916"/>
      <c r="BJ136" s="916"/>
      <c r="BK136" s="916"/>
      <c r="BL136" s="916"/>
      <c r="BM136" s="916"/>
      <c r="BN136" s="916"/>
      <c r="BO136" s="916"/>
      <c r="BP136" s="916"/>
      <c r="BQ136" s="916"/>
      <c r="BR136" s="916"/>
      <c r="BS136" s="916"/>
      <c r="BT136" s="916"/>
    </row>
    <row r="137" spans="1:72" x14ac:dyDescent="0.2">
      <c r="A137" s="916" t="s">
        <v>516</v>
      </c>
      <c r="B137" s="916">
        <v>1251.3499999999999</v>
      </c>
      <c r="C137" s="916">
        <v>1396.52</v>
      </c>
      <c r="D137" s="916">
        <v>1041.45</v>
      </c>
      <c r="E137" s="916">
        <v>1058.6500000000001</v>
      </c>
      <c r="F137" s="916">
        <v>1088.31</v>
      </c>
      <c r="G137" s="916">
        <v>1162.25</v>
      </c>
      <c r="H137" s="916">
        <v>1220.05</v>
      </c>
      <c r="I137" s="916">
        <v>1251.99</v>
      </c>
      <c r="J137" s="916">
        <v>1276.69</v>
      </c>
      <c r="K137" s="916">
        <v>1306.1199999999999</v>
      </c>
      <c r="L137" s="916">
        <v>1334.33</v>
      </c>
      <c r="M137" s="916">
        <v>1358.39</v>
      </c>
      <c r="N137" s="916">
        <v>1379.14</v>
      </c>
      <c r="O137" s="916">
        <v>1402.91</v>
      </c>
      <c r="P137" s="916">
        <v>1418.92</v>
      </c>
      <c r="Q137" s="916">
        <v>1432.73</v>
      </c>
      <c r="R137" s="916">
        <v>1454.32</v>
      </c>
      <c r="S137" s="916">
        <v>1472.13</v>
      </c>
      <c r="T137" s="916">
        <v>1493.23</v>
      </c>
      <c r="U137" s="916">
        <v>1514.98</v>
      </c>
      <c r="V137" s="916">
        <v>1538.45</v>
      </c>
      <c r="W137" s="916">
        <v>1564.3</v>
      </c>
      <c r="X137" s="916">
        <v>1590.55</v>
      </c>
      <c r="Y137" s="916">
        <v>1615.34</v>
      </c>
      <c r="Z137" s="916">
        <v>1640.71</v>
      </c>
      <c r="AA137" s="916">
        <v>1665.62</v>
      </c>
      <c r="AB137" s="916">
        <v>1688.65</v>
      </c>
      <c r="AC137" s="916">
        <v>1712.28</v>
      </c>
      <c r="AD137" s="916">
        <v>1737.37</v>
      </c>
      <c r="AE137" s="955">
        <v>8.0000000000000002E-3</v>
      </c>
      <c r="AF137" s="916"/>
      <c r="AG137" s="916"/>
      <c r="AH137" s="916"/>
      <c r="AI137" s="916"/>
      <c r="AJ137" s="916"/>
      <c r="AK137" s="916"/>
      <c r="AL137" s="916"/>
      <c r="AM137" s="916"/>
      <c r="AN137" s="916"/>
      <c r="AO137" s="916"/>
      <c r="AP137" s="916"/>
      <c r="AQ137" s="916"/>
      <c r="AR137" s="916"/>
      <c r="AS137" s="916"/>
      <c r="AT137" s="916"/>
      <c r="AU137" s="916"/>
      <c r="AV137" s="916"/>
      <c r="AW137" s="916"/>
      <c r="AX137" s="916"/>
      <c r="AY137" s="916"/>
      <c r="AZ137" s="916"/>
      <c r="BA137" s="916"/>
      <c r="BB137" s="916"/>
      <c r="BC137" s="916"/>
      <c r="BD137" s="916"/>
      <c r="BE137" s="916"/>
      <c r="BF137" s="916"/>
      <c r="BG137" s="916"/>
      <c r="BH137" s="916"/>
      <c r="BI137" s="916"/>
      <c r="BJ137" s="916"/>
      <c r="BK137" s="916"/>
      <c r="BL137" s="916"/>
      <c r="BM137" s="916"/>
      <c r="BN137" s="916"/>
      <c r="BO137" s="916"/>
      <c r="BP137" s="916"/>
      <c r="BQ137" s="916"/>
      <c r="BR137" s="916"/>
      <c r="BS137" s="916"/>
      <c r="BT137" s="916"/>
    </row>
    <row r="138" spans="1:72" x14ac:dyDescent="0.2">
      <c r="A138" s="916" t="s">
        <v>629</v>
      </c>
      <c r="B138" s="916">
        <v>0.05</v>
      </c>
      <c r="C138" s="916">
        <v>0.17</v>
      </c>
      <c r="D138" s="916">
        <v>0.04</v>
      </c>
      <c r="E138" s="916">
        <v>0.09</v>
      </c>
      <c r="F138" s="916">
        <v>0.11</v>
      </c>
      <c r="G138" s="916">
        <v>0.13</v>
      </c>
      <c r="H138" s="916">
        <v>0.15</v>
      </c>
      <c r="I138" s="916">
        <v>0.17</v>
      </c>
      <c r="J138" s="916">
        <v>0.21</v>
      </c>
      <c r="K138" s="916">
        <v>2.34</v>
      </c>
      <c r="L138" s="916">
        <v>3.15</v>
      </c>
      <c r="M138" s="916">
        <v>4</v>
      </c>
      <c r="N138" s="916">
        <v>5.31</v>
      </c>
      <c r="O138" s="916">
        <v>7.12</v>
      </c>
      <c r="P138" s="916">
        <v>9.59</v>
      </c>
      <c r="Q138" s="916">
        <v>17.39</v>
      </c>
      <c r="R138" s="916">
        <v>15.56</v>
      </c>
      <c r="S138" s="916">
        <v>14.53</v>
      </c>
      <c r="T138" s="916">
        <v>15.06</v>
      </c>
      <c r="U138" s="916">
        <v>16.98</v>
      </c>
      <c r="V138" s="916">
        <v>18.95</v>
      </c>
      <c r="W138" s="916">
        <v>20.57</v>
      </c>
      <c r="X138" s="916">
        <v>23.66</v>
      </c>
      <c r="Y138" s="916">
        <v>25.05</v>
      </c>
      <c r="Z138" s="916">
        <v>31.91</v>
      </c>
      <c r="AA138" s="916">
        <v>36.74</v>
      </c>
      <c r="AB138" s="916">
        <v>40.74</v>
      </c>
      <c r="AC138" s="916">
        <v>48.35</v>
      </c>
      <c r="AD138" s="916">
        <v>56.42</v>
      </c>
      <c r="AE138" s="955">
        <v>0.24099999999999999</v>
      </c>
      <c r="AF138" s="916"/>
      <c r="AG138" s="916"/>
      <c r="AH138" s="916"/>
      <c r="AI138" s="916"/>
      <c r="AJ138" s="916"/>
      <c r="AK138" s="916"/>
      <c r="AL138" s="916"/>
      <c r="AM138" s="916"/>
      <c r="AN138" s="916"/>
      <c r="AO138" s="916"/>
      <c r="AP138" s="916"/>
      <c r="AQ138" s="916"/>
      <c r="AR138" s="916"/>
      <c r="AS138" s="916"/>
      <c r="AT138" s="916"/>
      <c r="AU138" s="916"/>
      <c r="AV138" s="916"/>
      <c r="AW138" s="916"/>
      <c r="AX138" s="916"/>
      <c r="AY138" s="916"/>
      <c r="AZ138" s="916"/>
      <c r="BA138" s="916"/>
      <c r="BB138" s="916"/>
      <c r="BC138" s="916"/>
      <c r="BD138" s="916"/>
      <c r="BE138" s="916"/>
      <c r="BF138" s="916"/>
      <c r="BG138" s="916"/>
      <c r="BH138" s="916"/>
      <c r="BI138" s="916"/>
      <c r="BJ138" s="916"/>
      <c r="BK138" s="916"/>
      <c r="BL138" s="916"/>
      <c r="BM138" s="916"/>
      <c r="BN138" s="916"/>
      <c r="BO138" s="916"/>
      <c r="BP138" s="916"/>
      <c r="BQ138" s="916"/>
      <c r="BR138" s="916"/>
      <c r="BS138" s="916"/>
      <c r="BT138" s="916"/>
    </row>
    <row r="139" spans="1:72" x14ac:dyDescent="0.2">
      <c r="A139" s="916" t="s">
        <v>518</v>
      </c>
      <c r="B139" s="916">
        <v>1251.3900000000001</v>
      </c>
      <c r="C139" s="916">
        <v>1396.69</v>
      </c>
      <c r="D139" s="916">
        <v>1041.49</v>
      </c>
      <c r="E139" s="916">
        <v>1058.74</v>
      </c>
      <c r="F139" s="916">
        <v>1088.42</v>
      </c>
      <c r="G139" s="916">
        <v>1162.3699999999999</v>
      </c>
      <c r="H139" s="916">
        <v>1220.2</v>
      </c>
      <c r="I139" s="916">
        <v>1252.1600000000001</v>
      </c>
      <c r="J139" s="916">
        <v>1276.9000000000001</v>
      </c>
      <c r="K139" s="916">
        <v>1308.46</v>
      </c>
      <c r="L139" s="916">
        <v>1337.48</v>
      </c>
      <c r="M139" s="916">
        <v>1362.4</v>
      </c>
      <c r="N139" s="916">
        <v>1384.44</v>
      </c>
      <c r="O139" s="916">
        <v>1410.03</v>
      </c>
      <c r="P139" s="916">
        <v>1428.51</v>
      </c>
      <c r="Q139" s="916">
        <v>1450.12</v>
      </c>
      <c r="R139" s="916">
        <v>1469.88</v>
      </c>
      <c r="S139" s="916">
        <v>1486.66</v>
      </c>
      <c r="T139" s="916">
        <v>1508.29</v>
      </c>
      <c r="U139" s="916">
        <v>1531.96</v>
      </c>
      <c r="V139" s="916">
        <v>1557.41</v>
      </c>
      <c r="W139" s="916">
        <v>1584.86</v>
      </c>
      <c r="X139" s="916">
        <v>1614.21</v>
      </c>
      <c r="Y139" s="916">
        <v>1640.39</v>
      </c>
      <c r="Z139" s="916">
        <v>1672.62</v>
      </c>
      <c r="AA139" s="916">
        <v>1702.37</v>
      </c>
      <c r="AB139" s="916">
        <v>1729.39</v>
      </c>
      <c r="AC139" s="916">
        <v>1760.62</v>
      </c>
      <c r="AD139" s="916">
        <v>1793.79</v>
      </c>
      <c r="AE139" s="955">
        <v>8.9999999999999993E-3</v>
      </c>
      <c r="AF139" s="916"/>
      <c r="AG139" s="916"/>
      <c r="AH139" s="916"/>
      <c r="AI139" s="916"/>
      <c r="AJ139" s="916"/>
      <c r="AK139" s="916"/>
      <c r="AL139" s="916"/>
      <c r="AM139" s="916"/>
      <c r="AN139" s="916"/>
      <c r="AO139" s="916"/>
      <c r="AP139" s="916"/>
      <c r="AQ139" s="916"/>
      <c r="AR139" s="916"/>
      <c r="AS139" s="916"/>
      <c r="AT139" s="916"/>
      <c r="AU139" s="916"/>
      <c r="AV139" s="916"/>
      <c r="AW139" s="916"/>
      <c r="AX139" s="916"/>
      <c r="AY139" s="916"/>
      <c r="AZ139" s="916"/>
      <c r="BA139" s="916"/>
      <c r="BB139" s="916"/>
      <c r="BC139" s="916"/>
      <c r="BD139" s="916"/>
      <c r="BE139" s="916"/>
      <c r="BF139" s="916"/>
      <c r="BG139" s="916"/>
      <c r="BH139" s="916"/>
      <c r="BI139" s="916"/>
      <c r="BJ139" s="916"/>
      <c r="BK139" s="916"/>
      <c r="BL139" s="916"/>
      <c r="BM139" s="916"/>
      <c r="BN139" s="916"/>
      <c r="BO139" s="916"/>
      <c r="BP139" s="916"/>
      <c r="BQ139" s="916"/>
      <c r="BR139" s="916"/>
      <c r="BS139" s="916"/>
      <c r="BT139" s="916"/>
    </row>
    <row r="140" spans="1:72" x14ac:dyDescent="0.2">
      <c r="A140" s="916"/>
      <c r="B140" s="916"/>
      <c r="C140" s="916"/>
      <c r="D140" s="916"/>
      <c r="E140" s="916"/>
      <c r="F140" s="916"/>
      <c r="G140" s="916"/>
      <c r="H140" s="916"/>
      <c r="I140" s="916"/>
      <c r="J140" s="916"/>
      <c r="K140" s="916"/>
      <c r="L140" s="916"/>
      <c r="M140" s="916"/>
      <c r="N140" s="916"/>
      <c r="O140" s="916"/>
      <c r="P140" s="916"/>
      <c r="Q140" s="916"/>
      <c r="R140" s="916"/>
      <c r="S140" s="916"/>
      <c r="T140" s="916"/>
      <c r="U140" s="916"/>
      <c r="V140" s="916"/>
      <c r="W140" s="916"/>
      <c r="X140" s="916"/>
      <c r="Y140" s="916"/>
      <c r="Z140" s="916"/>
      <c r="AA140" s="916"/>
      <c r="AB140" s="916"/>
      <c r="AC140" s="916"/>
      <c r="AD140" s="916"/>
      <c r="AE140" s="916"/>
      <c r="AF140" s="916"/>
      <c r="AG140" s="916"/>
      <c r="AH140" s="916"/>
      <c r="AI140" s="916"/>
      <c r="AJ140" s="916"/>
      <c r="AK140" s="916"/>
      <c r="AL140" s="916"/>
      <c r="AM140" s="916"/>
      <c r="AN140" s="916"/>
      <c r="AO140" s="916"/>
      <c r="AP140" s="916"/>
      <c r="AQ140" s="916"/>
      <c r="AR140" s="916"/>
      <c r="AS140" s="916"/>
      <c r="AT140" s="916"/>
      <c r="AU140" s="916"/>
      <c r="AV140" s="916"/>
      <c r="AW140" s="916"/>
      <c r="AX140" s="916"/>
      <c r="AY140" s="916"/>
      <c r="AZ140" s="916"/>
      <c r="BA140" s="916"/>
      <c r="BB140" s="916"/>
      <c r="BC140" s="916"/>
      <c r="BD140" s="916"/>
      <c r="BE140" s="916"/>
      <c r="BF140" s="916"/>
      <c r="BG140" s="916"/>
      <c r="BH140" s="916"/>
      <c r="BI140" s="916"/>
      <c r="BJ140" s="916"/>
      <c r="BK140" s="916"/>
      <c r="BL140" s="916"/>
      <c r="BM140" s="916"/>
      <c r="BN140" s="916"/>
      <c r="BO140" s="916"/>
      <c r="BP140" s="916"/>
      <c r="BQ140" s="916"/>
      <c r="BR140" s="916"/>
      <c r="BS140" s="916"/>
      <c r="BT140" s="916"/>
    </row>
    <row r="141" spans="1:72" x14ac:dyDescent="0.2">
      <c r="A141" s="916"/>
      <c r="B141" s="916"/>
      <c r="C141" s="916"/>
      <c r="D141" s="916"/>
      <c r="E141" s="916"/>
      <c r="F141" s="916"/>
      <c r="G141" s="916"/>
      <c r="H141" s="916"/>
      <c r="I141" s="916"/>
      <c r="J141" s="916"/>
      <c r="K141" s="916"/>
      <c r="L141" s="916"/>
      <c r="M141" s="916"/>
      <c r="N141" s="916"/>
      <c r="O141" s="916"/>
      <c r="P141" s="916"/>
      <c r="Q141" s="916"/>
      <c r="R141" s="916"/>
      <c r="S141" s="916"/>
      <c r="T141" s="916"/>
      <c r="U141" s="916"/>
      <c r="V141" s="916"/>
      <c r="W141" s="916"/>
      <c r="X141" s="916"/>
      <c r="Y141" s="916"/>
      <c r="Z141" s="916"/>
      <c r="AA141" s="916"/>
      <c r="AB141" s="916"/>
      <c r="AC141" s="916"/>
      <c r="AD141" s="916"/>
      <c r="AE141" s="916"/>
      <c r="AF141" s="916"/>
      <c r="AG141" s="916"/>
      <c r="AH141" s="916"/>
      <c r="AI141" s="916"/>
      <c r="AJ141" s="916"/>
      <c r="AK141" s="916"/>
      <c r="AL141" s="916"/>
      <c r="AM141" s="916"/>
      <c r="AN141" s="916"/>
      <c r="AO141" s="916"/>
      <c r="AP141" s="916"/>
      <c r="AQ141" s="916"/>
      <c r="AR141" s="916"/>
      <c r="AS141" s="916"/>
      <c r="AT141" s="916"/>
      <c r="AU141" s="916"/>
      <c r="AV141" s="916"/>
      <c r="AW141" s="916"/>
      <c r="AX141" s="916"/>
      <c r="AY141" s="916"/>
      <c r="AZ141" s="916"/>
      <c r="BA141" s="916"/>
      <c r="BB141" s="916"/>
      <c r="BC141" s="916"/>
      <c r="BD141" s="916"/>
      <c r="BE141" s="916"/>
      <c r="BF141" s="916"/>
      <c r="BG141" s="916"/>
      <c r="BH141" s="916"/>
      <c r="BI141" s="916"/>
      <c r="BJ141" s="916"/>
      <c r="BK141" s="916"/>
      <c r="BL141" s="916"/>
      <c r="BM141" s="916"/>
      <c r="BN141" s="916"/>
      <c r="BO141" s="916"/>
      <c r="BP141" s="916"/>
      <c r="BQ141" s="916"/>
      <c r="BR141" s="916"/>
      <c r="BS141" s="916"/>
      <c r="BT141" s="916"/>
    </row>
    <row r="142" spans="1:72" x14ac:dyDescent="0.2">
      <c r="A142" s="916" t="s">
        <v>726</v>
      </c>
      <c r="B142" s="916"/>
      <c r="C142" s="916"/>
      <c r="D142" s="916"/>
      <c r="E142" s="916"/>
      <c r="F142" s="916"/>
      <c r="G142" s="916"/>
      <c r="H142" s="916"/>
      <c r="I142" s="916"/>
      <c r="J142" s="916"/>
      <c r="K142" s="916"/>
      <c r="L142" s="916"/>
      <c r="M142" s="916"/>
      <c r="N142" s="916"/>
      <c r="O142" s="916"/>
      <c r="P142" s="916"/>
      <c r="Q142" s="916"/>
      <c r="R142" s="916"/>
      <c r="S142" s="916"/>
      <c r="T142" s="916"/>
      <c r="U142" s="916"/>
      <c r="V142" s="916"/>
      <c r="W142" s="916"/>
      <c r="X142" s="916"/>
      <c r="Y142" s="916"/>
      <c r="Z142" s="916"/>
      <c r="AA142" s="916"/>
      <c r="AB142" s="916"/>
      <c r="AC142" s="916"/>
      <c r="AD142" s="916"/>
      <c r="AE142" s="916"/>
      <c r="AF142" s="916"/>
      <c r="AG142" s="916"/>
      <c r="AH142" s="916"/>
      <c r="AI142" s="916"/>
      <c r="AJ142" s="916"/>
      <c r="AK142" s="916"/>
      <c r="AL142" s="916"/>
      <c r="AM142" s="916"/>
      <c r="AN142" s="916"/>
      <c r="AO142" s="916"/>
      <c r="AP142" s="916"/>
      <c r="AQ142" s="916"/>
      <c r="AR142" s="916"/>
      <c r="AS142" s="916"/>
      <c r="AT142" s="916"/>
      <c r="AU142" s="916"/>
      <c r="AV142" s="916"/>
      <c r="AW142" s="916"/>
      <c r="AX142" s="916"/>
      <c r="AY142" s="916"/>
      <c r="AZ142" s="916"/>
      <c r="BA142" s="916"/>
      <c r="BB142" s="916"/>
      <c r="BC142" s="916"/>
      <c r="BD142" s="916"/>
      <c r="BE142" s="916"/>
      <c r="BF142" s="916"/>
      <c r="BG142" s="916"/>
      <c r="BH142" s="916"/>
      <c r="BI142" s="916"/>
      <c r="BJ142" s="916"/>
      <c r="BK142" s="916"/>
      <c r="BL142" s="916"/>
      <c r="BM142" s="916"/>
      <c r="BN142" s="916"/>
      <c r="BO142" s="916"/>
      <c r="BP142" s="916"/>
      <c r="BQ142" s="916"/>
      <c r="BR142" s="916"/>
      <c r="BS142" s="916"/>
      <c r="BT142" s="916"/>
    </row>
    <row r="143" spans="1:72" x14ac:dyDescent="0.2">
      <c r="A143" s="916" t="s">
        <v>473</v>
      </c>
      <c r="B143" s="916"/>
      <c r="C143" s="916"/>
      <c r="D143" s="916"/>
      <c r="E143" s="916"/>
      <c r="F143" s="916"/>
      <c r="G143" s="916"/>
      <c r="H143" s="916"/>
      <c r="I143" s="916"/>
      <c r="J143" s="916"/>
      <c r="K143" s="916"/>
      <c r="L143" s="916"/>
      <c r="M143" s="916"/>
      <c r="N143" s="916"/>
      <c r="O143" s="916"/>
      <c r="P143" s="916"/>
      <c r="Q143" s="916"/>
      <c r="R143" s="916"/>
      <c r="S143" s="916"/>
      <c r="T143" s="916"/>
      <c r="U143" s="916"/>
      <c r="V143" s="916"/>
      <c r="W143" s="916"/>
      <c r="X143" s="916"/>
      <c r="Y143" s="916"/>
      <c r="Z143" s="916"/>
      <c r="AA143" s="916"/>
      <c r="AB143" s="916"/>
      <c r="AC143" s="916"/>
      <c r="AD143" s="916"/>
      <c r="AE143" s="916"/>
      <c r="AF143" s="916"/>
      <c r="AG143" s="916"/>
      <c r="AH143" s="916"/>
      <c r="AI143" s="916"/>
      <c r="AJ143" s="916"/>
      <c r="AK143" s="916"/>
      <c r="AL143" s="916"/>
      <c r="AM143" s="916"/>
      <c r="AN143" s="916"/>
      <c r="AO143" s="916"/>
      <c r="AP143" s="916"/>
      <c r="AQ143" s="916"/>
      <c r="AR143" s="916"/>
      <c r="AS143" s="916"/>
      <c r="AT143" s="916"/>
      <c r="AU143" s="916"/>
      <c r="AV143" s="916"/>
      <c r="AW143" s="916"/>
      <c r="AX143" s="916"/>
      <c r="AY143" s="916"/>
      <c r="AZ143" s="916"/>
      <c r="BA143" s="916"/>
      <c r="BB143" s="916"/>
      <c r="BC143" s="916"/>
      <c r="BD143" s="916"/>
      <c r="BE143" s="916"/>
      <c r="BF143" s="916"/>
      <c r="BG143" s="916"/>
      <c r="BH143" s="916"/>
      <c r="BI143" s="916"/>
      <c r="BJ143" s="916"/>
      <c r="BK143" s="916"/>
      <c r="BL143" s="916"/>
      <c r="BM143" s="916"/>
      <c r="BN143" s="916"/>
      <c r="BO143" s="916"/>
      <c r="BP143" s="916"/>
      <c r="BQ143" s="916"/>
      <c r="BR143" s="916"/>
      <c r="BS143" s="916"/>
      <c r="BT143" s="916"/>
    </row>
    <row r="144" spans="1:72" x14ac:dyDescent="0.2">
      <c r="A144" s="916" t="s">
        <v>609</v>
      </c>
      <c r="B144" s="916">
        <v>25.67</v>
      </c>
      <c r="C144" s="916">
        <v>29.35</v>
      </c>
      <c r="D144" s="916">
        <v>25.28</v>
      </c>
      <c r="E144" s="916">
        <v>24.73</v>
      </c>
      <c r="F144" s="916">
        <v>25.15</v>
      </c>
      <c r="G144" s="916">
        <v>26.73</v>
      </c>
      <c r="H144" s="916">
        <v>28.51</v>
      </c>
      <c r="I144" s="916">
        <v>30.06</v>
      </c>
      <c r="J144" s="916">
        <v>31.23</v>
      </c>
      <c r="K144" s="916">
        <v>32.520000000000003</v>
      </c>
      <c r="L144" s="916">
        <v>33.75</v>
      </c>
      <c r="M144" s="916">
        <v>35.06</v>
      </c>
      <c r="N144" s="916">
        <v>36.020000000000003</v>
      </c>
      <c r="O144" s="916">
        <v>37.020000000000003</v>
      </c>
      <c r="P144" s="916">
        <v>38.1</v>
      </c>
      <c r="Q144" s="916">
        <v>39.200000000000003</v>
      </c>
      <c r="R144" s="916">
        <v>40.409999999999997</v>
      </c>
      <c r="S144" s="916">
        <v>41.61</v>
      </c>
      <c r="T144" s="916">
        <v>42.82</v>
      </c>
      <c r="U144" s="916">
        <v>43.92</v>
      </c>
      <c r="V144" s="916">
        <v>45.24</v>
      </c>
      <c r="W144" s="916">
        <v>46.58</v>
      </c>
      <c r="X144" s="916">
        <v>48.12</v>
      </c>
      <c r="Y144" s="916">
        <v>49.52</v>
      </c>
      <c r="Z144" s="916">
        <v>51.18</v>
      </c>
      <c r="AA144" s="916">
        <v>52.85</v>
      </c>
      <c r="AB144" s="916">
        <v>54.62</v>
      </c>
      <c r="AC144" s="916">
        <v>56.39</v>
      </c>
      <c r="AD144" s="916">
        <v>58.23</v>
      </c>
      <c r="AE144" s="955">
        <v>2.5999999999999999E-2</v>
      </c>
      <c r="AF144" s="916"/>
      <c r="AG144" s="916"/>
      <c r="AH144" s="916"/>
      <c r="AI144" s="916"/>
      <c r="AJ144" s="916"/>
      <c r="AK144" s="916"/>
      <c r="AL144" s="916"/>
      <c r="AM144" s="916"/>
      <c r="AN144" s="916"/>
      <c r="AO144" s="916"/>
      <c r="AP144" s="916"/>
      <c r="AQ144" s="916"/>
      <c r="AR144" s="916"/>
      <c r="AS144" s="916"/>
      <c r="AT144" s="916"/>
      <c r="AU144" s="916"/>
      <c r="AV144" s="916"/>
      <c r="AW144" s="916"/>
      <c r="AX144" s="916"/>
      <c r="AY144" s="916"/>
      <c r="AZ144" s="916"/>
      <c r="BA144" s="916"/>
      <c r="BB144" s="916"/>
      <c r="BC144" s="916"/>
      <c r="BD144" s="916"/>
      <c r="BE144" s="916"/>
      <c r="BF144" s="916"/>
      <c r="BG144" s="916"/>
      <c r="BH144" s="916"/>
      <c r="BI144" s="916"/>
      <c r="BJ144" s="916"/>
      <c r="BK144" s="916"/>
      <c r="BL144" s="916"/>
      <c r="BM144" s="916"/>
      <c r="BN144" s="916"/>
      <c r="BO144" s="916"/>
      <c r="BP144" s="916"/>
      <c r="BQ144" s="916"/>
      <c r="BR144" s="916"/>
      <c r="BS144" s="916"/>
      <c r="BT144" s="916"/>
    </row>
    <row r="145" spans="1:72" x14ac:dyDescent="0.2">
      <c r="A145" s="916" t="s">
        <v>610</v>
      </c>
      <c r="B145" s="916">
        <v>19.86</v>
      </c>
      <c r="C145" s="916">
        <v>24.47</v>
      </c>
      <c r="D145" s="916">
        <v>18.260000000000002</v>
      </c>
      <c r="E145" s="916">
        <v>18.100000000000001</v>
      </c>
      <c r="F145" s="916">
        <v>18.489999999999998</v>
      </c>
      <c r="G145" s="916">
        <v>19.940000000000001</v>
      </c>
      <c r="H145" s="916">
        <v>21.4</v>
      </c>
      <c r="I145" s="916">
        <v>22.55</v>
      </c>
      <c r="J145" s="916">
        <v>23.49</v>
      </c>
      <c r="K145" s="916">
        <v>24.96</v>
      </c>
      <c r="L145" s="916">
        <v>26.17</v>
      </c>
      <c r="M145" s="916">
        <v>27.44</v>
      </c>
      <c r="N145" s="916">
        <v>28.46</v>
      </c>
      <c r="O145" s="916">
        <v>29.45</v>
      </c>
      <c r="P145" s="916">
        <v>30.25</v>
      </c>
      <c r="Q145" s="916">
        <v>31.17</v>
      </c>
      <c r="R145" s="916">
        <v>32.25</v>
      </c>
      <c r="S145" s="916">
        <v>33.17</v>
      </c>
      <c r="T145" s="916">
        <v>34.24</v>
      </c>
      <c r="U145" s="916">
        <v>35.33</v>
      </c>
      <c r="V145" s="916">
        <v>36.380000000000003</v>
      </c>
      <c r="W145" s="916">
        <v>37.630000000000003</v>
      </c>
      <c r="X145" s="916">
        <v>39.049999999999997</v>
      </c>
      <c r="Y145" s="916">
        <v>40.159999999999997</v>
      </c>
      <c r="Z145" s="916">
        <v>41.73</v>
      </c>
      <c r="AA145" s="916">
        <v>43.3</v>
      </c>
      <c r="AB145" s="916">
        <v>44.82</v>
      </c>
      <c r="AC145" s="916">
        <v>46.47</v>
      </c>
      <c r="AD145" s="916">
        <v>48.16</v>
      </c>
      <c r="AE145" s="955">
        <v>2.5000000000000001E-2</v>
      </c>
      <c r="AF145" s="916"/>
      <c r="AG145" s="916"/>
      <c r="AH145" s="916"/>
      <c r="AI145" s="916"/>
      <c r="AJ145" s="916"/>
      <c r="AK145" s="916"/>
      <c r="AL145" s="916"/>
      <c r="AM145" s="916"/>
      <c r="AN145" s="916"/>
      <c r="AO145" s="916"/>
      <c r="AP145" s="916"/>
      <c r="AQ145" s="916"/>
      <c r="AR145" s="916"/>
      <c r="AS145" s="916"/>
      <c r="AT145" s="916"/>
      <c r="AU145" s="916"/>
      <c r="AV145" s="916"/>
      <c r="AW145" s="916"/>
      <c r="AX145" s="916"/>
      <c r="AY145" s="916"/>
      <c r="AZ145" s="916"/>
      <c r="BA145" s="916"/>
      <c r="BB145" s="916"/>
      <c r="BC145" s="916"/>
      <c r="BD145" s="916"/>
      <c r="BE145" s="916"/>
      <c r="BF145" s="916"/>
      <c r="BG145" s="916"/>
      <c r="BH145" s="916"/>
      <c r="BI145" s="916"/>
      <c r="BJ145" s="916"/>
      <c r="BK145" s="916"/>
      <c r="BL145" s="916"/>
      <c r="BM145" s="916"/>
      <c r="BN145" s="916"/>
      <c r="BO145" s="916"/>
      <c r="BP145" s="916"/>
      <c r="BQ145" s="916"/>
      <c r="BR145" s="916"/>
      <c r="BS145" s="916"/>
      <c r="BT145" s="916"/>
    </row>
    <row r="146" spans="1:72" x14ac:dyDescent="0.2">
      <c r="A146" s="916" t="s">
        <v>510</v>
      </c>
      <c r="B146" s="916">
        <v>12.66</v>
      </c>
      <c r="C146" s="916">
        <v>13.48</v>
      </c>
      <c r="D146" s="916">
        <v>11.57</v>
      </c>
      <c r="E146" s="916">
        <v>11.22</v>
      </c>
      <c r="F146" s="916">
        <v>12.29</v>
      </c>
      <c r="G146" s="916">
        <v>12.56</v>
      </c>
      <c r="H146" s="916">
        <v>12.36</v>
      </c>
      <c r="I146" s="916">
        <v>12.51</v>
      </c>
      <c r="J146" s="916">
        <v>12.88</v>
      </c>
      <c r="K146" s="916">
        <v>13.22</v>
      </c>
      <c r="L146" s="916">
        <v>13.5</v>
      </c>
      <c r="M146" s="916">
        <v>13.83</v>
      </c>
      <c r="N146" s="916">
        <v>14.18</v>
      </c>
      <c r="O146" s="916">
        <v>14.61</v>
      </c>
      <c r="P146" s="916">
        <v>15.06</v>
      </c>
      <c r="Q146" s="916">
        <v>15.64</v>
      </c>
      <c r="R146" s="916">
        <v>16.010000000000002</v>
      </c>
      <c r="S146" s="916">
        <v>16.22</v>
      </c>
      <c r="T146" s="916">
        <v>16.68</v>
      </c>
      <c r="U146" s="916">
        <v>17.260000000000002</v>
      </c>
      <c r="V146" s="916">
        <v>17.91</v>
      </c>
      <c r="W146" s="916">
        <v>18.649999999999999</v>
      </c>
      <c r="X146" s="916">
        <v>19.440000000000001</v>
      </c>
      <c r="Y146" s="916">
        <v>20.29</v>
      </c>
      <c r="Z146" s="916">
        <v>21.26</v>
      </c>
      <c r="AA146" s="916">
        <v>21.98</v>
      </c>
      <c r="AB146" s="916">
        <v>22.61</v>
      </c>
      <c r="AC146" s="916">
        <v>23.44</v>
      </c>
      <c r="AD146" s="916">
        <v>24.2</v>
      </c>
      <c r="AE146" s="955">
        <v>2.1999999999999999E-2</v>
      </c>
      <c r="AF146" s="916"/>
      <c r="AG146" s="916"/>
      <c r="AH146" s="916"/>
      <c r="AI146" s="916"/>
      <c r="AJ146" s="916"/>
      <c r="AK146" s="916"/>
      <c r="AL146" s="916"/>
      <c r="AM146" s="916"/>
      <c r="AN146" s="916"/>
      <c r="AO146" s="916"/>
      <c r="AP146" s="916"/>
      <c r="AQ146" s="916"/>
      <c r="AR146" s="916"/>
      <c r="AS146" s="916"/>
      <c r="AT146" s="916"/>
      <c r="AU146" s="916"/>
      <c r="AV146" s="916"/>
      <c r="AW146" s="916"/>
      <c r="AX146" s="916"/>
      <c r="AY146" s="916"/>
      <c r="AZ146" s="916"/>
      <c r="BA146" s="916"/>
      <c r="BB146" s="916"/>
      <c r="BC146" s="916"/>
      <c r="BD146" s="916"/>
      <c r="BE146" s="916"/>
      <c r="BF146" s="916"/>
      <c r="BG146" s="916"/>
      <c r="BH146" s="916"/>
      <c r="BI146" s="916"/>
      <c r="BJ146" s="916"/>
      <c r="BK146" s="916"/>
      <c r="BL146" s="916"/>
      <c r="BM146" s="916"/>
      <c r="BN146" s="916"/>
      <c r="BO146" s="916"/>
      <c r="BP146" s="916"/>
      <c r="BQ146" s="916"/>
      <c r="BR146" s="916"/>
      <c r="BS146" s="916"/>
      <c r="BT146" s="916"/>
    </row>
    <row r="147" spans="1:72" x14ac:dyDescent="0.2">
      <c r="A147" s="916" t="s">
        <v>479</v>
      </c>
      <c r="B147" s="916">
        <v>31.12</v>
      </c>
      <c r="C147" s="916">
        <v>33.29</v>
      </c>
      <c r="D147" s="916">
        <v>32.83</v>
      </c>
      <c r="E147" s="916">
        <v>31.88</v>
      </c>
      <c r="F147" s="916">
        <v>31.21</v>
      </c>
      <c r="G147" s="916">
        <v>32.9</v>
      </c>
      <c r="H147" s="916">
        <v>33.9</v>
      </c>
      <c r="I147" s="916">
        <v>34.5</v>
      </c>
      <c r="J147" s="916">
        <v>35.020000000000003</v>
      </c>
      <c r="K147" s="916">
        <v>35.89</v>
      </c>
      <c r="L147" s="916">
        <v>36.74</v>
      </c>
      <c r="M147" s="916">
        <v>37.39</v>
      </c>
      <c r="N147" s="916">
        <v>37.97</v>
      </c>
      <c r="O147" s="916">
        <v>38.92</v>
      </c>
      <c r="P147" s="916">
        <v>39.950000000000003</v>
      </c>
      <c r="Q147" s="916">
        <v>40.92</v>
      </c>
      <c r="R147" s="916">
        <v>41.95</v>
      </c>
      <c r="S147" s="916">
        <v>42.94</v>
      </c>
      <c r="T147" s="916">
        <v>43.78</v>
      </c>
      <c r="U147" s="916">
        <v>44.88</v>
      </c>
      <c r="V147" s="916">
        <v>46.07</v>
      </c>
      <c r="W147" s="916">
        <v>47.3</v>
      </c>
      <c r="X147" s="916">
        <v>48.93</v>
      </c>
      <c r="Y147" s="916">
        <v>50.5</v>
      </c>
      <c r="Z147" s="916">
        <v>52.16</v>
      </c>
      <c r="AA147" s="916">
        <v>53.81</v>
      </c>
      <c r="AB147" s="916">
        <v>55.2</v>
      </c>
      <c r="AC147" s="916">
        <v>56.77</v>
      </c>
      <c r="AD147" s="916">
        <v>58.33</v>
      </c>
      <c r="AE147" s="955">
        <v>2.1000000000000001E-2</v>
      </c>
      <c r="AF147" s="916"/>
      <c r="AG147" s="916"/>
      <c r="AH147" s="916"/>
      <c r="AI147" s="916"/>
      <c r="AJ147" s="916"/>
      <c r="AK147" s="916"/>
      <c r="AL147" s="916"/>
      <c r="AM147" s="916"/>
      <c r="AN147" s="916"/>
      <c r="AO147" s="916"/>
      <c r="AP147" s="916"/>
      <c r="AQ147" s="916"/>
      <c r="AR147" s="916"/>
      <c r="AS147" s="916"/>
      <c r="AT147" s="916"/>
      <c r="AU147" s="916"/>
      <c r="AV147" s="916"/>
      <c r="AW147" s="916"/>
      <c r="AX147" s="916"/>
      <c r="AY147" s="916"/>
      <c r="AZ147" s="916"/>
      <c r="BA147" s="916"/>
      <c r="BB147" s="916"/>
      <c r="BC147" s="916"/>
      <c r="BD147" s="916"/>
      <c r="BE147" s="916"/>
      <c r="BF147" s="916"/>
      <c r="BG147" s="916"/>
      <c r="BH147" s="916"/>
      <c r="BI147" s="916"/>
      <c r="BJ147" s="916"/>
      <c r="BK147" s="916"/>
      <c r="BL147" s="916"/>
      <c r="BM147" s="916"/>
      <c r="BN147" s="916"/>
      <c r="BO147" s="916"/>
      <c r="BP147" s="916"/>
      <c r="BQ147" s="916"/>
      <c r="BR147" s="916"/>
      <c r="BS147" s="916"/>
      <c r="BT147" s="916"/>
    </row>
    <row r="148" spans="1:72" x14ac:dyDescent="0.2">
      <c r="A148" s="916"/>
      <c r="B148" s="916"/>
      <c r="C148" s="916"/>
      <c r="D148" s="916"/>
      <c r="E148" s="916"/>
      <c r="F148" s="916"/>
      <c r="G148" s="916"/>
      <c r="H148" s="916"/>
      <c r="I148" s="916"/>
      <c r="J148" s="916"/>
      <c r="K148" s="916"/>
      <c r="L148" s="916"/>
      <c r="M148" s="916"/>
      <c r="N148" s="916"/>
      <c r="O148" s="916"/>
      <c r="P148" s="916"/>
      <c r="Q148" s="916"/>
      <c r="R148" s="916"/>
      <c r="S148" s="916"/>
      <c r="T148" s="916"/>
      <c r="U148" s="916"/>
      <c r="V148" s="916"/>
      <c r="W148" s="916"/>
      <c r="X148" s="916"/>
      <c r="Y148" s="916"/>
      <c r="Z148" s="916"/>
      <c r="AA148" s="916"/>
      <c r="AB148" s="916"/>
      <c r="AC148" s="916"/>
      <c r="AD148" s="916"/>
      <c r="AE148" s="916"/>
      <c r="AF148" s="916"/>
      <c r="AG148" s="916"/>
      <c r="AH148" s="916"/>
      <c r="AI148" s="916"/>
      <c r="AJ148" s="916"/>
      <c r="AK148" s="916"/>
      <c r="AL148" s="916"/>
      <c r="AM148" s="916"/>
      <c r="AN148" s="916"/>
      <c r="AO148" s="916"/>
      <c r="AP148" s="916"/>
      <c r="AQ148" s="916"/>
      <c r="AR148" s="916"/>
      <c r="AS148" s="916"/>
      <c r="AT148" s="916"/>
      <c r="AU148" s="916"/>
      <c r="AV148" s="916"/>
      <c r="AW148" s="916"/>
      <c r="AX148" s="916"/>
      <c r="AY148" s="916"/>
      <c r="AZ148" s="916"/>
      <c r="BA148" s="916"/>
      <c r="BB148" s="916"/>
      <c r="BC148" s="916"/>
      <c r="BD148" s="916"/>
      <c r="BE148" s="916"/>
      <c r="BF148" s="916"/>
      <c r="BG148" s="916"/>
      <c r="BH148" s="916"/>
      <c r="BI148" s="916"/>
      <c r="BJ148" s="916"/>
      <c r="BK148" s="916"/>
      <c r="BL148" s="916"/>
      <c r="BM148" s="916"/>
      <c r="BN148" s="916"/>
      <c r="BO148" s="916"/>
      <c r="BP148" s="916"/>
      <c r="BQ148" s="916"/>
      <c r="BR148" s="916"/>
      <c r="BS148" s="916"/>
      <c r="BT148" s="916"/>
    </row>
    <row r="149" spans="1:72" x14ac:dyDescent="0.2">
      <c r="A149" s="916" t="s">
        <v>480</v>
      </c>
      <c r="B149" s="916"/>
      <c r="C149" s="916"/>
      <c r="D149" s="916"/>
      <c r="E149" s="916"/>
      <c r="F149" s="916"/>
      <c r="G149" s="916"/>
      <c r="H149" s="916"/>
      <c r="I149" s="916"/>
      <c r="J149" s="916"/>
      <c r="K149" s="916"/>
      <c r="L149" s="916"/>
      <c r="M149" s="916"/>
      <c r="N149" s="916"/>
      <c r="O149" s="916"/>
      <c r="P149" s="916"/>
      <c r="Q149" s="916"/>
      <c r="R149" s="916"/>
      <c r="S149" s="916"/>
      <c r="T149" s="916"/>
      <c r="U149" s="916"/>
      <c r="V149" s="916"/>
      <c r="W149" s="916"/>
      <c r="X149" s="916"/>
      <c r="Y149" s="916"/>
      <c r="Z149" s="916"/>
      <c r="AA149" s="916"/>
      <c r="AB149" s="916"/>
      <c r="AC149" s="916"/>
      <c r="AD149" s="916"/>
      <c r="AE149" s="916"/>
      <c r="AF149" s="916"/>
      <c r="AG149" s="916"/>
      <c r="AH149" s="916"/>
      <c r="AI149" s="916"/>
      <c r="AJ149" s="916"/>
      <c r="AK149" s="916"/>
      <c r="AL149" s="916"/>
      <c r="AM149" s="916"/>
      <c r="AN149" s="916"/>
      <c r="AO149" s="916"/>
      <c r="AP149" s="916"/>
      <c r="AQ149" s="916"/>
      <c r="AR149" s="916"/>
      <c r="AS149" s="916"/>
      <c r="AT149" s="916"/>
      <c r="AU149" s="916"/>
      <c r="AV149" s="916"/>
      <c r="AW149" s="916"/>
      <c r="AX149" s="916"/>
      <c r="AY149" s="916"/>
      <c r="AZ149" s="916"/>
      <c r="BA149" s="916"/>
      <c r="BB149" s="916"/>
      <c r="BC149" s="916"/>
      <c r="BD149" s="916"/>
      <c r="BE149" s="916"/>
      <c r="BF149" s="916"/>
      <c r="BG149" s="916"/>
      <c r="BH149" s="916"/>
      <c r="BI149" s="916"/>
      <c r="BJ149" s="916"/>
      <c r="BK149" s="916"/>
      <c r="BL149" s="916"/>
      <c r="BM149" s="916"/>
      <c r="BN149" s="916"/>
      <c r="BO149" s="916"/>
      <c r="BP149" s="916"/>
      <c r="BQ149" s="916"/>
      <c r="BR149" s="916"/>
      <c r="BS149" s="916"/>
      <c r="BT149" s="916"/>
    </row>
    <row r="150" spans="1:72" x14ac:dyDescent="0.2">
      <c r="A150" s="916" t="s">
        <v>609</v>
      </c>
      <c r="B150" s="916">
        <v>20.2</v>
      </c>
      <c r="C150" s="916">
        <v>26.15</v>
      </c>
      <c r="D150" s="916">
        <v>20.12</v>
      </c>
      <c r="E150" s="916">
        <v>21.4</v>
      </c>
      <c r="F150" s="916">
        <v>21.77</v>
      </c>
      <c r="G150" s="916">
        <v>23.3</v>
      </c>
      <c r="H150" s="916">
        <v>25.02</v>
      </c>
      <c r="I150" s="916">
        <v>26.51</v>
      </c>
      <c r="J150" s="916">
        <v>27.61</v>
      </c>
      <c r="K150" s="916">
        <v>28.83</v>
      </c>
      <c r="L150" s="916">
        <v>29.98</v>
      </c>
      <c r="M150" s="916">
        <v>31.22</v>
      </c>
      <c r="N150" s="916">
        <v>32.11</v>
      </c>
      <c r="O150" s="916">
        <v>33.020000000000003</v>
      </c>
      <c r="P150" s="916">
        <v>34.01</v>
      </c>
      <c r="Q150" s="916">
        <v>35.020000000000003</v>
      </c>
      <c r="R150" s="916">
        <v>36.130000000000003</v>
      </c>
      <c r="S150" s="916">
        <v>37.24</v>
      </c>
      <c r="T150" s="916">
        <v>38.35</v>
      </c>
      <c r="U150" s="916">
        <v>39.36</v>
      </c>
      <c r="V150" s="916">
        <v>40.57</v>
      </c>
      <c r="W150" s="916">
        <v>41.81</v>
      </c>
      <c r="X150" s="916">
        <v>43.24</v>
      </c>
      <c r="Y150" s="916">
        <v>44.53</v>
      </c>
      <c r="Z150" s="916">
        <v>46.07</v>
      </c>
      <c r="AA150" s="916">
        <v>47.62</v>
      </c>
      <c r="AB150" s="916">
        <v>49.27</v>
      </c>
      <c r="AC150" s="916">
        <v>50.92</v>
      </c>
      <c r="AD150" s="916">
        <v>52.64</v>
      </c>
      <c r="AE150" s="955">
        <v>2.5999999999999999E-2</v>
      </c>
      <c r="AF150" s="916"/>
      <c r="AG150" s="916"/>
      <c r="AH150" s="916"/>
      <c r="AI150" s="916"/>
      <c r="AJ150" s="916"/>
      <c r="AK150" s="916"/>
      <c r="AL150" s="916"/>
      <c r="AM150" s="916"/>
      <c r="AN150" s="916"/>
      <c r="AO150" s="916"/>
      <c r="AP150" s="916"/>
      <c r="AQ150" s="916"/>
      <c r="AR150" s="916"/>
      <c r="AS150" s="916"/>
      <c r="AT150" s="916"/>
      <c r="AU150" s="916"/>
      <c r="AV150" s="916"/>
      <c r="AW150" s="916"/>
      <c r="AX150" s="916"/>
      <c r="AY150" s="916"/>
      <c r="AZ150" s="916"/>
      <c r="BA150" s="916"/>
      <c r="BB150" s="916"/>
      <c r="BC150" s="916"/>
      <c r="BD150" s="916"/>
      <c r="BE150" s="916"/>
      <c r="BF150" s="916"/>
      <c r="BG150" s="916"/>
      <c r="BH150" s="916"/>
      <c r="BI150" s="916"/>
      <c r="BJ150" s="916"/>
      <c r="BK150" s="916"/>
      <c r="BL150" s="916"/>
      <c r="BM150" s="916"/>
      <c r="BN150" s="916"/>
      <c r="BO150" s="916"/>
      <c r="BP150" s="916"/>
      <c r="BQ150" s="916"/>
      <c r="BR150" s="916"/>
      <c r="BS150" s="916"/>
      <c r="BT150" s="916"/>
    </row>
    <row r="151" spans="1:72" x14ac:dyDescent="0.2">
      <c r="A151" s="916" t="s">
        <v>610</v>
      </c>
      <c r="B151" s="916">
        <v>17.100000000000001</v>
      </c>
      <c r="C151" s="916">
        <v>21.5</v>
      </c>
      <c r="D151" s="916">
        <v>16.04</v>
      </c>
      <c r="E151" s="916">
        <v>15.27</v>
      </c>
      <c r="F151" s="916">
        <v>15.91</v>
      </c>
      <c r="G151" s="916">
        <v>17.34</v>
      </c>
      <c r="H151" s="916">
        <v>18.739999999999998</v>
      </c>
      <c r="I151" s="916">
        <v>19.850000000000001</v>
      </c>
      <c r="J151" s="916">
        <v>20.86</v>
      </c>
      <c r="K151" s="916">
        <v>22.18</v>
      </c>
      <c r="L151" s="916">
        <v>23.33</v>
      </c>
      <c r="M151" s="916">
        <v>24.52</v>
      </c>
      <c r="N151" s="916">
        <v>25.47</v>
      </c>
      <c r="O151" s="916">
        <v>26.39</v>
      </c>
      <c r="P151" s="916">
        <v>27.18</v>
      </c>
      <c r="Q151" s="916">
        <v>28.11</v>
      </c>
      <c r="R151" s="916">
        <v>29.04</v>
      </c>
      <c r="S151" s="916">
        <v>29.83</v>
      </c>
      <c r="T151" s="916">
        <v>30.83</v>
      </c>
      <c r="U151" s="916">
        <v>31.82</v>
      </c>
      <c r="V151" s="916">
        <v>32.83</v>
      </c>
      <c r="W151" s="916">
        <v>34.01</v>
      </c>
      <c r="X151" s="916">
        <v>35.340000000000003</v>
      </c>
      <c r="Y151" s="916">
        <v>36.380000000000003</v>
      </c>
      <c r="Z151" s="916">
        <v>37.86</v>
      </c>
      <c r="AA151" s="916">
        <v>39.340000000000003</v>
      </c>
      <c r="AB151" s="916">
        <v>40.74</v>
      </c>
      <c r="AC151" s="916">
        <v>42.29</v>
      </c>
      <c r="AD151" s="916">
        <v>43.92</v>
      </c>
      <c r="AE151" s="955">
        <v>2.7E-2</v>
      </c>
      <c r="AF151" s="916"/>
      <c r="AG151" s="916"/>
      <c r="AH151" s="916"/>
      <c r="AI151" s="916"/>
      <c r="AJ151" s="916"/>
      <c r="AK151" s="916"/>
      <c r="AL151" s="916"/>
      <c r="AM151" s="916"/>
      <c r="AN151" s="916"/>
      <c r="AO151" s="916"/>
      <c r="AP151" s="916"/>
      <c r="AQ151" s="916"/>
      <c r="AR151" s="916"/>
      <c r="AS151" s="916"/>
      <c r="AT151" s="916"/>
      <c r="AU151" s="916"/>
      <c r="AV151" s="916"/>
      <c r="AW151" s="916"/>
      <c r="AX151" s="916"/>
      <c r="AY151" s="916"/>
      <c r="AZ151" s="916"/>
      <c r="BA151" s="916"/>
      <c r="BB151" s="916"/>
      <c r="BC151" s="916"/>
      <c r="BD151" s="916"/>
      <c r="BE151" s="916"/>
      <c r="BF151" s="916"/>
      <c r="BG151" s="916"/>
      <c r="BH151" s="916"/>
      <c r="BI151" s="916"/>
      <c r="BJ151" s="916"/>
      <c r="BK151" s="916"/>
      <c r="BL151" s="916"/>
      <c r="BM151" s="916"/>
      <c r="BN151" s="916"/>
      <c r="BO151" s="916"/>
      <c r="BP151" s="916"/>
      <c r="BQ151" s="916"/>
      <c r="BR151" s="916"/>
      <c r="BS151" s="916"/>
      <c r="BT151" s="916"/>
    </row>
    <row r="152" spans="1:72" x14ac:dyDescent="0.2">
      <c r="A152" s="916" t="s">
        <v>723</v>
      </c>
      <c r="B152" s="916">
        <v>8.2100000000000009</v>
      </c>
      <c r="C152" s="916">
        <v>15.52</v>
      </c>
      <c r="D152" s="916">
        <v>9.41</v>
      </c>
      <c r="E152" s="916">
        <v>9.74</v>
      </c>
      <c r="F152" s="916">
        <v>10.050000000000001</v>
      </c>
      <c r="G152" s="916">
        <v>11.48</v>
      </c>
      <c r="H152" s="916">
        <v>12.9</v>
      </c>
      <c r="I152" s="916">
        <v>13.98</v>
      </c>
      <c r="J152" s="916">
        <v>14.63</v>
      </c>
      <c r="K152" s="916">
        <v>15.52</v>
      </c>
      <c r="L152" s="916">
        <v>16.37</v>
      </c>
      <c r="M152" s="916">
        <v>17.29</v>
      </c>
      <c r="N152" s="916">
        <v>18.29</v>
      </c>
      <c r="O152" s="916">
        <v>18.899999999999999</v>
      </c>
      <c r="P152" s="916">
        <v>19.57</v>
      </c>
      <c r="Q152" s="916">
        <v>20.27</v>
      </c>
      <c r="R152" s="916">
        <v>21.01</v>
      </c>
      <c r="S152" s="916">
        <v>21.73</v>
      </c>
      <c r="T152" s="916">
        <v>22.45</v>
      </c>
      <c r="U152" s="916">
        <v>23.04</v>
      </c>
      <c r="V152" s="916">
        <v>23.8</v>
      </c>
      <c r="W152" s="916">
        <v>24.66</v>
      </c>
      <c r="X152" s="916">
        <v>25.52</v>
      </c>
      <c r="Y152" s="916">
        <v>26.47</v>
      </c>
      <c r="Z152" s="916">
        <v>27.6</v>
      </c>
      <c r="AA152" s="916">
        <v>28.58</v>
      </c>
      <c r="AB152" s="916">
        <v>29.4</v>
      </c>
      <c r="AC152" s="916">
        <v>30.75</v>
      </c>
      <c r="AD152" s="916">
        <v>31.66</v>
      </c>
      <c r="AE152" s="955">
        <v>2.7E-2</v>
      </c>
      <c r="AF152" s="916"/>
      <c r="AG152" s="916"/>
      <c r="AH152" s="916"/>
      <c r="AI152" s="916"/>
      <c r="AJ152" s="916"/>
      <c r="AK152" s="916"/>
      <c r="AL152" s="916"/>
      <c r="AM152" s="916"/>
      <c r="AN152" s="916"/>
      <c r="AO152" s="916"/>
      <c r="AP152" s="916"/>
      <c r="AQ152" s="916"/>
      <c r="AR152" s="916"/>
      <c r="AS152" s="916"/>
      <c r="AT152" s="916"/>
      <c r="AU152" s="916"/>
      <c r="AV152" s="916"/>
      <c r="AW152" s="916"/>
      <c r="AX152" s="916"/>
      <c r="AY152" s="916"/>
      <c r="AZ152" s="916"/>
      <c r="BA152" s="916"/>
      <c r="BB152" s="916"/>
      <c r="BC152" s="916"/>
      <c r="BD152" s="916"/>
      <c r="BE152" s="916"/>
      <c r="BF152" s="916"/>
      <c r="BG152" s="916"/>
      <c r="BH152" s="916"/>
      <c r="BI152" s="916"/>
      <c r="BJ152" s="916"/>
      <c r="BK152" s="916"/>
      <c r="BL152" s="916"/>
      <c r="BM152" s="916"/>
      <c r="BN152" s="916"/>
      <c r="BO152" s="916"/>
      <c r="BP152" s="916"/>
      <c r="BQ152" s="916"/>
      <c r="BR152" s="916"/>
      <c r="BS152" s="916"/>
      <c r="BT152" s="916"/>
    </row>
    <row r="153" spans="1:72" x14ac:dyDescent="0.2">
      <c r="A153" s="916" t="s">
        <v>510</v>
      </c>
      <c r="B153" s="916">
        <v>10.96</v>
      </c>
      <c r="C153" s="916">
        <v>11.94</v>
      </c>
      <c r="D153" s="916">
        <v>9.18</v>
      </c>
      <c r="E153" s="916">
        <v>8.93</v>
      </c>
      <c r="F153" s="916">
        <v>10.15</v>
      </c>
      <c r="G153" s="916">
        <v>10.65</v>
      </c>
      <c r="H153" s="916">
        <v>10.68</v>
      </c>
      <c r="I153" s="916">
        <v>10.8</v>
      </c>
      <c r="J153" s="916">
        <v>11.14</v>
      </c>
      <c r="K153" s="916">
        <v>11.44</v>
      </c>
      <c r="L153" s="916">
        <v>11.67</v>
      </c>
      <c r="M153" s="916">
        <v>11.96</v>
      </c>
      <c r="N153" s="916">
        <v>12.27</v>
      </c>
      <c r="O153" s="916">
        <v>12.65</v>
      </c>
      <c r="P153" s="916">
        <v>13.05</v>
      </c>
      <c r="Q153" s="916">
        <v>13.58</v>
      </c>
      <c r="R153" s="916">
        <v>13.92</v>
      </c>
      <c r="S153" s="916">
        <v>14.13</v>
      </c>
      <c r="T153" s="916">
        <v>14.53</v>
      </c>
      <c r="U153" s="916">
        <v>15.05</v>
      </c>
      <c r="V153" s="916">
        <v>15.62</v>
      </c>
      <c r="W153" s="916">
        <v>16.3</v>
      </c>
      <c r="X153" s="916">
        <v>17.010000000000002</v>
      </c>
      <c r="Y153" s="916">
        <v>17.78</v>
      </c>
      <c r="Z153" s="916">
        <v>18.690000000000001</v>
      </c>
      <c r="AA153" s="916">
        <v>19.329999999999998</v>
      </c>
      <c r="AB153" s="916">
        <v>19.86</v>
      </c>
      <c r="AC153" s="916">
        <v>20.61</v>
      </c>
      <c r="AD153" s="916">
        <v>21.27</v>
      </c>
      <c r="AE153" s="955">
        <v>2.1999999999999999E-2</v>
      </c>
      <c r="AF153" s="916"/>
      <c r="AG153" s="916"/>
      <c r="AH153" s="916"/>
      <c r="AI153" s="916"/>
      <c r="AJ153" s="916"/>
      <c r="AK153" s="916"/>
      <c r="AL153" s="916"/>
      <c r="AM153" s="916"/>
      <c r="AN153" s="916"/>
      <c r="AO153" s="916"/>
      <c r="AP153" s="916"/>
      <c r="AQ153" s="916"/>
      <c r="AR153" s="916"/>
      <c r="AS153" s="916"/>
      <c r="AT153" s="916"/>
      <c r="AU153" s="916"/>
      <c r="AV153" s="916"/>
      <c r="AW153" s="916"/>
      <c r="AX153" s="916"/>
      <c r="AY153" s="916"/>
      <c r="AZ153" s="916"/>
      <c r="BA153" s="916"/>
      <c r="BB153" s="916"/>
      <c r="BC153" s="916"/>
      <c r="BD153" s="916"/>
      <c r="BE153" s="916"/>
      <c r="BF153" s="916"/>
      <c r="BG153" s="916"/>
      <c r="BH153" s="916"/>
      <c r="BI153" s="916"/>
      <c r="BJ153" s="916"/>
      <c r="BK153" s="916"/>
      <c r="BL153" s="916"/>
      <c r="BM153" s="916"/>
      <c r="BN153" s="916"/>
      <c r="BO153" s="916"/>
      <c r="BP153" s="916"/>
      <c r="BQ153" s="916"/>
      <c r="BR153" s="916"/>
      <c r="BS153" s="916"/>
      <c r="BT153" s="916"/>
    </row>
    <row r="154" spans="1:72" x14ac:dyDescent="0.2">
      <c r="A154" s="916" t="s">
        <v>479</v>
      </c>
      <c r="B154" s="916">
        <v>28.18</v>
      </c>
      <c r="C154" s="916">
        <v>30.47</v>
      </c>
      <c r="D154" s="916">
        <v>29.38</v>
      </c>
      <c r="E154" s="916">
        <v>28.19</v>
      </c>
      <c r="F154" s="916">
        <v>26.85</v>
      </c>
      <c r="G154" s="916">
        <v>28.28</v>
      </c>
      <c r="H154" s="916">
        <v>28.88</v>
      </c>
      <c r="I154" s="916">
        <v>29.09</v>
      </c>
      <c r="J154" s="916">
        <v>29.58</v>
      </c>
      <c r="K154" s="916">
        <v>30.41</v>
      </c>
      <c r="L154" s="916">
        <v>31.16</v>
      </c>
      <c r="M154" s="916">
        <v>31.75</v>
      </c>
      <c r="N154" s="916">
        <v>32.270000000000003</v>
      </c>
      <c r="O154" s="916">
        <v>33.15</v>
      </c>
      <c r="P154" s="916">
        <v>34.090000000000003</v>
      </c>
      <c r="Q154" s="916">
        <v>34.97</v>
      </c>
      <c r="R154" s="916">
        <v>35.99</v>
      </c>
      <c r="S154" s="916">
        <v>36.94</v>
      </c>
      <c r="T154" s="916">
        <v>37.619999999999997</v>
      </c>
      <c r="U154" s="916">
        <v>38.61</v>
      </c>
      <c r="V154" s="916">
        <v>39.68</v>
      </c>
      <c r="W154" s="916">
        <v>40.82</v>
      </c>
      <c r="X154" s="916">
        <v>42.33</v>
      </c>
      <c r="Y154" s="916">
        <v>43.75</v>
      </c>
      <c r="Z154" s="916">
        <v>45.32</v>
      </c>
      <c r="AA154" s="916">
        <v>46.89</v>
      </c>
      <c r="AB154" s="916">
        <v>48.18</v>
      </c>
      <c r="AC154" s="916">
        <v>49.63</v>
      </c>
      <c r="AD154" s="916">
        <v>51.04</v>
      </c>
      <c r="AE154" s="955">
        <v>1.9E-2</v>
      </c>
      <c r="AF154" s="916"/>
      <c r="AG154" s="916"/>
      <c r="AH154" s="916"/>
      <c r="AI154" s="916"/>
      <c r="AJ154" s="916"/>
      <c r="AK154" s="916"/>
      <c r="AL154" s="916"/>
      <c r="AM154" s="916"/>
      <c r="AN154" s="916"/>
      <c r="AO154" s="916"/>
      <c r="AP154" s="916"/>
      <c r="AQ154" s="916"/>
      <c r="AR154" s="916"/>
      <c r="AS154" s="916"/>
      <c r="AT154" s="916"/>
      <c r="AU154" s="916"/>
      <c r="AV154" s="916"/>
      <c r="AW154" s="916"/>
      <c r="AX154" s="916"/>
      <c r="AY154" s="916"/>
      <c r="AZ154" s="916"/>
      <c r="BA154" s="916"/>
      <c r="BB154" s="916"/>
      <c r="BC154" s="916"/>
      <c r="BD154" s="916"/>
      <c r="BE154" s="916"/>
      <c r="BF154" s="916"/>
      <c r="BG154" s="916"/>
      <c r="BH154" s="916"/>
      <c r="BI154" s="916"/>
      <c r="BJ154" s="916"/>
      <c r="BK154" s="916"/>
      <c r="BL154" s="916"/>
      <c r="BM154" s="916"/>
      <c r="BN154" s="916"/>
      <c r="BO154" s="916"/>
      <c r="BP154" s="916"/>
      <c r="BQ154" s="916"/>
      <c r="BR154" s="916"/>
      <c r="BS154" s="916"/>
      <c r="BT154" s="916"/>
    </row>
    <row r="155" spans="1:72" x14ac:dyDescent="0.2">
      <c r="A155" s="916"/>
      <c r="B155" s="916"/>
      <c r="C155" s="916"/>
      <c r="D155" s="916"/>
      <c r="E155" s="916"/>
      <c r="F155" s="916"/>
      <c r="G155" s="916"/>
      <c r="H155" s="916"/>
      <c r="I155" s="916"/>
      <c r="J155" s="916"/>
      <c r="K155" s="916"/>
      <c r="L155" s="916"/>
      <c r="M155" s="916"/>
      <c r="N155" s="916"/>
      <c r="O155" s="916"/>
      <c r="P155" s="916"/>
      <c r="Q155" s="916"/>
      <c r="R155" s="916"/>
      <c r="S155" s="916"/>
      <c r="T155" s="916"/>
      <c r="U155" s="916"/>
      <c r="V155" s="916"/>
      <c r="W155" s="916"/>
      <c r="X155" s="916"/>
      <c r="Y155" s="916"/>
      <c r="Z155" s="916"/>
      <c r="AA155" s="916"/>
      <c r="AB155" s="916"/>
      <c r="AC155" s="916"/>
      <c r="AD155" s="916"/>
      <c r="AE155" s="916"/>
      <c r="AF155" s="916"/>
      <c r="AG155" s="916"/>
      <c r="AH155" s="916"/>
      <c r="AI155" s="916"/>
      <c r="AJ155" s="916"/>
      <c r="AK155" s="916"/>
      <c r="AL155" s="916"/>
      <c r="AM155" s="916"/>
      <c r="AN155" s="916"/>
      <c r="AO155" s="916"/>
      <c r="AP155" s="916"/>
      <c r="AQ155" s="916"/>
      <c r="AR155" s="916"/>
      <c r="AS155" s="916"/>
      <c r="AT155" s="916"/>
      <c r="AU155" s="916"/>
      <c r="AV155" s="916"/>
      <c r="AW155" s="916"/>
      <c r="AX155" s="916"/>
      <c r="AY155" s="916"/>
      <c r="AZ155" s="916"/>
      <c r="BA155" s="916"/>
      <c r="BB155" s="916"/>
      <c r="BC155" s="916"/>
      <c r="BD155" s="916"/>
      <c r="BE155" s="916"/>
      <c r="BF155" s="916"/>
      <c r="BG155" s="916"/>
      <c r="BH155" s="916"/>
      <c r="BI155" s="916"/>
      <c r="BJ155" s="916"/>
      <c r="BK155" s="916"/>
      <c r="BL155" s="916"/>
      <c r="BM155" s="916"/>
      <c r="BN155" s="916"/>
      <c r="BO155" s="916"/>
      <c r="BP155" s="916"/>
      <c r="BQ155" s="916"/>
      <c r="BR155" s="916"/>
      <c r="BS155" s="916"/>
      <c r="BT155" s="916"/>
    </row>
    <row r="156" spans="1:72" x14ac:dyDescent="0.2">
      <c r="A156" s="916" t="s">
        <v>612</v>
      </c>
      <c r="B156" s="916"/>
      <c r="C156" s="916"/>
      <c r="D156" s="916"/>
      <c r="E156" s="916"/>
      <c r="F156" s="916"/>
      <c r="G156" s="916"/>
      <c r="H156" s="916"/>
      <c r="I156" s="916"/>
      <c r="J156" s="916"/>
      <c r="K156" s="916"/>
      <c r="L156" s="916"/>
      <c r="M156" s="916"/>
      <c r="N156" s="916"/>
      <c r="O156" s="916"/>
      <c r="P156" s="916"/>
      <c r="Q156" s="916"/>
      <c r="R156" s="916"/>
      <c r="S156" s="916"/>
      <c r="T156" s="916"/>
      <c r="U156" s="916"/>
      <c r="V156" s="916"/>
      <c r="W156" s="916"/>
      <c r="X156" s="916"/>
      <c r="Y156" s="916"/>
      <c r="Z156" s="916"/>
      <c r="AA156" s="916"/>
      <c r="AB156" s="916"/>
      <c r="AC156" s="916"/>
      <c r="AD156" s="916"/>
      <c r="AE156" s="916"/>
      <c r="AF156" s="916"/>
      <c r="AG156" s="916"/>
      <c r="AH156" s="916"/>
      <c r="AI156" s="916"/>
      <c r="AJ156" s="916"/>
      <c r="AK156" s="916"/>
      <c r="AL156" s="916"/>
      <c r="AM156" s="916"/>
      <c r="AN156" s="916"/>
      <c r="AO156" s="916"/>
      <c r="AP156" s="916"/>
      <c r="AQ156" s="916"/>
      <c r="AR156" s="916"/>
      <c r="AS156" s="916"/>
      <c r="AT156" s="916"/>
      <c r="AU156" s="916"/>
      <c r="AV156" s="916"/>
      <c r="AW156" s="916"/>
      <c r="AX156" s="916"/>
      <c r="AY156" s="916"/>
      <c r="AZ156" s="916"/>
      <c r="BA156" s="916"/>
      <c r="BB156" s="916"/>
      <c r="BC156" s="916"/>
      <c r="BD156" s="916"/>
      <c r="BE156" s="916"/>
      <c r="BF156" s="916"/>
      <c r="BG156" s="916"/>
      <c r="BH156" s="916"/>
      <c r="BI156" s="916"/>
      <c r="BJ156" s="916"/>
      <c r="BK156" s="916"/>
      <c r="BL156" s="916"/>
      <c r="BM156" s="916"/>
      <c r="BN156" s="916"/>
      <c r="BO156" s="916"/>
      <c r="BP156" s="916"/>
      <c r="BQ156" s="916"/>
      <c r="BR156" s="916"/>
      <c r="BS156" s="916"/>
      <c r="BT156" s="916"/>
    </row>
    <row r="157" spans="1:72" x14ac:dyDescent="0.2">
      <c r="A157" s="916" t="s">
        <v>609</v>
      </c>
      <c r="B157" s="916">
        <v>21.53</v>
      </c>
      <c r="C157" s="916">
        <v>24.2</v>
      </c>
      <c r="D157" s="916">
        <v>18.920000000000002</v>
      </c>
      <c r="E157" s="916">
        <v>18.920000000000002</v>
      </c>
      <c r="F157" s="916">
        <v>19.260000000000002</v>
      </c>
      <c r="G157" s="916">
        <v>20.76</v>
      </c>
      <c r="H157" s="916">
        <v>22.51</v>
      </c>
      <c r="I157" s="916">
        <v>24</v>
      </c>
      <c r="J157" s="916">
        <v>25.06</v>
      </c>
      <c r="K157" s="916">
        <v>26.38</v>
      </c>
      <c r="L157" s="916">
        <v>27.45</v>
      </c>
      <c r="M157" s="916">
        <v>28.6</v>
      </c>
      <c r="N157" s="916">
        <v>29.51</v>
      </c>
      <c r="O157" s="916">
        <v>30.38</v>
      </c>
      <c r="P157" s="916">
        <v>31.31</v>
      </c>
      <c r="Q157" s="916">
        <v>32.270000000000003</v>
      </c>
      <c r="R157" s="916">
        <v>33.340000000000003</v>
      </c>
      <c r="S157" s="916">
        <v>34.39</v>
      </c>
      <c r="T157" s="916">
        <v>35.450000000000003</v>
      </c>
      <c r="U157" s="916">
        <v>36.4</v>
      </c>
      <c r="V157" s="916">
        <v>37.549999999999997</v>
      </c>
      <c r="W157" s="916">
        <v>38.729999999999997</v>
      </c>
      <c r="X157" s="916">
        <v>40.1</v>
      </c>
      <c r="Y157" s="916">
        <v>41.33</v>
      </c>
      <c r="Z157" s="916">
        <v>42.81</v>
      </c>
      <c r="AA157" s="916">
        <v>44.29</v>
      </c>
      <c r="AB157" s="916">
        <v>45.9</v>
      </c>
      <c r="AC157" s="916">
        <v>47.5</v>
      </c>
      <c r="AD157" s="916">
        <v>49.15</v>
      </c>
      <c r="AE157" s="955">
        <v>2.7E-2</v>
      </c>
      <c r="AF157" s="916"/>
      <c r="AG157" s="916"/>
      <c r="AH157" s="916"/>
      <c r="AI157" s="916"/>
      <c r="AJ157" s="916"/>
      <c r="AK157" s="916"/>
      <c r="AL157" s="916"/>
      <c r="AM157" s="916"/>
      <c r="AN157" s="916"/>
      <c r="AO157" s="916"/>
      <c r="AP157" s="916"/>
      <c r="AQ157" s="916"/>
      <c r="AR157" s="916"/>
      <c r="AS157" s="916"/>
      <c r="AT157" s="916"/>
      <c r="AU157" s="916"/>
      <c r="AV157" s="916"/>
      <c r="AW157" s="916"/>
      <c r="AX157" s="916"/>
      <c r="AY157" s="916"/>
      <c r="AZ157" s="916"/>
      <c r="BA157" s="916"/>
      <c r="BB157" s="916"/>
      <c r="BC157" s="916"/>
      <c r="BD157" s="916"/>
      <c r="BE157" s="916"/>
      <c r="BF157" s="916"/>
      <c r="BG157" s="916"/>
      <c r="BH157" s="916"/>
      <c r="BI157" s="916"/>
      <c r="BJ157" s="916"/>
      <c r="BK157" s="916"/>
      <c r="BL157" s="916"/>
      <c r="BM157" s="916"/>
      <c r="BN157" s="916"/>
      <c r="BO157" s="916"/>
      <c r="BP157" s="916"/>
      <c r="BQ157" s="916"/>
      <c r="BR157" s="916"/>
      <c r="BS157" s="916"/>
      <c r="BT157" s="916"/>
    </row>
    <row r="158" spans="1:72" x14ac:dyDescent="0.2">
      <c r="A158" s="916" t="s">
        <v>610</v>
      </c>
      <c r="B158" s="916">
        <v>17.68</v>
      </c>
      <c r="C158" s="916">
        <v>22.31</v>
      </c>
      <c r="D158" s="916">
        <v>16.649999999999999</v>
      </c>
      <c r="E158" s="916">
        <v>14.82</v>
      </c>
      <c r="F158" s="916">
        <v>16.05</v>
      </c>
      <c r="G158" s="916">
        <v>17.52</v>
      </c>
      <c r="H158" s="916">
        <v>18.95</v>
      </c>
      <c r="I158" s="916">
        <v>20.07</v>
      </c>
      <c r="J158" s="916">
        <v>21.18</v>
      </c>
      <c r="K158" s="916">
        <v>22.46</v>
      </c>
      <c r="L158" s="916">
        <v>23.62</v>
      </c>
      <c r="M158" s="916">
        <v>24.81</v>
      </c>
      <c r="N158" s="916">
        <v>25.76</v>
      </c>
      <c r="O158" s="916">
        <v>26.68</v>
      </c>
      <c r="P158" s="916">
        <v>27.5</v>
      </c>
      <c r="Q158" s="916">
        <v>28.52</v>
      </c>
      <c r="R158" s="916">
        <v>29.39</v>
      </c>
      <c r="S158" s="916">
        <v>30.15</v>
      </c>
      <c r="T158" s="916">
        <v>31.18</v>
      </c>
      <c r="U158" s="916">
        <v>32.159999999999997</v>
      </c>
      <c r="V158" s="916">
        <v>33.21</v>
      </c>
      <c r="W158" s="916">
        <v>34.409999999999997</v>
      </c>
      <c r="X158" s="916">
        <v>35.770000000000003</v>
      </c>
      <c r="Y158" s="916">
        <v>36.83</v>
      </c>
      <c r="Z158" s="916">
        <v>38.33</v>
      </c>
      <c r="AA158" s="916">
        <v>39.83</v>
      </c>
      <c r="AB158" s="916">
        <v>41.25</v>
      </c>
      <c r="AC158" s="916">
        <v>42.82</v>
      </c>
      <c r="AD158" s="916">
        <v>44.51</v>
      </c>
      <c r="AE158" s="955">
        <v>2.5999999999999999E-2</v>
      </c>
      <c r="AF158" s="916"/>
      <c r="AG158" s="916"/>
      <c r="AH158" s="916"/>
      <c r="AI158" s="916"/>
      <c r="AJ158" s="916"/>
      <c r="AK158" s="916"/>
      <c r="AL158" s="916"/>
      <c r="AM158" s="916"/>
      <c r="AN158" s="916"/>
      <c r="AO158" s="916"/>
      <c r="AP158" s="916"/>
      <c r="AQ158" s="916"/>
      <c r="AR158" s="916"/>
      <c r="AS158" s="916"/>
      <c r="AT158" s="916"/>
      <c r="AU158" s="916"/>
      <c r="AV158" s="916"/>
      <c r="AW158" s="916"/>
      <c r="AX158" s="916"/>
      <c r="AY158" s="916"/>
      <c r="AZ158" s="916"/>
      <c r="BA158" s="916"/>
      <c r="BB158" s="916"/>
      <c r="BC158" s="916"/>
      <c r="BD158" s="916"/>
      <c r="BE158" s="916"/>
      <c r="BF158" s="916"/>
      <c r="BG158" s="916"/>
      <c r="BH158" s="916"/>
      <c r="BI158" s="916"/>
      <c r="BJ158" s="916"/>
      <c r="BK158" s="916"/>
      <c r="BL158" s="916"/>
      <c r="BM158" s="916"/>
      <c r="BN158" s="916"/>
      <c r="BO158" s="916"/>
      <c r="BP158" s="916"/>
      <c r="BQ158" s="916"/>
      <c r="BR158" s="916"/>
      <c r="BS158" s="916"/>
      <c r="BT158" s="916"/>
    </row>
    <row r="159" spans="1:72" x14ac:dyDescent="0.2">
      <c r="A159" s="916" t="s">
        <v>611</v>
      </c>
      <c r="B159" s="916">
        <v>8.65</v>
      </c>
      <c r="C159" s="916">
        <v>16.309999999999999</v>
      </c>
      <c r="D159" s="916">
        <v>9.89</v>
      </c>
      <c r="E159" s="916">
        <v>13.52</v>
      </c>
      <c r="F159" s="916">
        <v>13.82</v>
      </c>
      <c r="G159" s="916">
        <v>15.16</v>
      </c>
      <c r="H159" s="916">
        <v>16.489999999999998</v>
      </c>
      <c r="I159" s="916">
        <v>17.62</v>
      </c>
      <c r="J159" s="916">
        <v>18.350000000000001</v>
      </c>
      <c r="K159" s="916">
        <v>19.239999999999998</v>
      </c>
      <c r="L159" s="916">
        <v>20.059999999999999</v>
      </c>
      <c r="M159" s="916">
        <v>20.97</v>
      </c>
      <c r="N159" s="916">
        <v>21.68</v>
      </c>
      <c r="O159" s="916">
        <v>22.24</v>
      </c>
      <c r="P159" s="916">
        <v>23</v>
      </c>
      <c r="Q159" s="916">
        <v>23.74</v>
      </c>
      <c r="R159" s="916">
        <v>24.52</v>
      </c>
      <c r="S159" s="916">
        <v>25.31</v>
      </c>
      <c r="T159" s="916">
        <v>26.1</v>
      </c>
      <c r="U159" s="916">
        <v>26.74</v>
      </c>
      <c r="V159" s="916">
        <v>27.57</v>
      </c>
      <c r="W159" s="916">
        <v>28.51</v>
      </c>
      <c r="X159" s="916">
        <v>29.51</v>
      </c>
      <c r="Y159" s="916">
        <v>30.6</v>
      </c>
      <c r="Z159" s="916">
        <v>31.8</v>
      </c>
      <c r="AA159" s="916">
        <v>32.92</v>
      </c>
      <c r="AB159" s="916">
        <v>34.03</v>
      </c>
      <c r="AC159" s="916">
        <v>35.29</v>
      </c>
      <c r="AD159" s="916">
        <v>36.5</v>
      </c>
      <c r="AE159" s="955">
        <v>0.03</v>
      </c>
      <c r="AF159" s="916"/>
      <c r="AG159" s="916"/>
      <c r="AH159" s="916"/>
      <c r="AI159" s="916"/>
      <c r="AJ159" s="916"/>
      <c r="AK159" s="916"/>
      <c r="AL159" s="916"/>
      <c r="AM159" s="916"/>
      <c r="AN159" s="916"/>
      <c r="AO159" s="916"/>
      <c r="AP159" s="916"/>
      <c r="AQ159" s="916"/>
      <c r="AR159" s="916"/>
      <c r="AS159" s="916"/>
      <c r="AT159" s="916"/>
      <c r="AU159" s="916"/>
      <c r="AV159" s="916"/>
      <c r="AW159" s="916"/>
      <c r="AX159" s="916"/>
      <c r="AY159" s="916"/>
      <c r="AZ159" s="916"/>
      <c r="BA159" s="916"/>
      <c r="BB159" s="916"/>
      <c r="BC159" s="916"/>
      <c r="BD159" s="916"/>
      <c r="BE159" s="916"/>
      <c r="BF159" s="916"/>
      <c r="BG159" s="916"/>
      <c r="BH159" s="916"/>
      <c r="BI159" s="916"/>
      <c r="BJ159" s="916"/>
      <c r="BK159" s="916"/>
      <c r="BL159" s="916"/>
      <c r="BM159" s="916"/>
      <c r="BN159" s="916"/>
      <c r="BO159" s="916"/>
      <c r="BP159" s="916"/>
      <c r="BQ159" s="916"/>
      <c r="BR159" s="916"/>
      <c r="BS159" s="916"/>
      <c r="BT159" s="916"/>
    </row>
    <row r="160" spans="1:72" x14ac:dyDescent="0.2">
      <c r="A160" s="916" t="s">
        <v>613</v>
      </c>
      <c r="B160" s="916">
        <v>7.41</v>
      </c>
      <c r="C160" s="916">
        <v>9.11</v>
      </c>
      <c r="D160" s="916">
        <v>4.26</v>
      </c>
      <c r="E160" s="916">
        <v>5.0199999999999996</v>
      </c>
      <c r="F160" s="916">
        <v>6.23</v>
      </c>
      <c r="G160" s="916">
        <v>6.76</v>
      </c>
      <c r="H160" s="916">
        <v>6.82</v>
      </c>
      <c r="I160" s="916">
        <v>6.89</v>
      </c>
      <c r="J160" s="916">
        <v>7.18</v>
      </c>
      <c r="K160" s="916">
        <v>7.39</v>
      </c>
      <c r="L160" s="916">
        <v>7.52</v>
      </c>
      <c r="M160" s="916">
        <v>7.71</v>
      </c>
      <c r="N160" s="916">
        <v>7.91</v>
      </c>
      <c r="O160" s="916">
        <v>8.19</v>
      </c>
      <c r="P160" s="916">
        <v>8.4700000000000006</v>
      </c>
      <c r="Q160" s="916">
        <v>8.8800000000000008</v>
      </c>
      <c r="R160" s="916">
        <v>9.14</v>
      </c>
      <c r="S160" s="916">
        <v>9.26</v>
      </c>
      <c r="T160" s="916">
        <v>9.52</v>
      </c>
      <c r="U160" s="916">
        <v>9.9</v>
      </c>
      <c r="V160" s="916">
        <v>10.31</v>
      </c>
      <c r="W160" s="916">
        <v>10.85</v>
      </c>
      <c r="X160" s="916">
        <v>11.41</v>
      </c>
      <c r="Y160" s="916">
        <v>12.04</v>
      </c>
      <c r="Z160" s="916">
        <v>12.79</v>
      </c>
      <c r="AA160" s="916">
        <v>13.25</v>
      </c>
      <c r="AB160" s="916">
        <v>13.56</v>
      </c>
      <c r="AC160" s="916">
        <v>14.17</v>
      </c>
      <c r="AD160" s="916">
        <v>14.67</v>
      </c>
      <c r="AE160" s="955">
        <v>1.7999999999999999E-2</v>
      </c>
      <c r="AF160" s="916"/>
      <c r="AG160" s="916"/>
      <c r="AH160" s="916"/>
      <c r="AI160" s="916"/>
      <c r="AJ160" s="916"/>
      <c r="AK160" s="916"/>
      <c r="AL160" s="916"/>
      <c r="AM160" s="916"/>
      <c r="AN160" s="916"/>
      <c r="AO160" s="916"/>
      <c r="AP160" s="916"/>
      <c r="AQ160" s="916"/>
      <c r="AR160" s="916"/>
      <c r="AS160" s="916"/>
      <c r="AT160" s="916"/>
      <c r="AU160" s="916"/>
      <c r="AV160" s="916"/>
      <c r="AW160" s="916"/>
      <c r="AX160" s="916"/>
      <c r="AY160" s="916"/>
      <c r="AZ160" s="916"/>
      <c r="BA160" s="916"/>
      <c r="BB160" s="916"/>
      <c r="BC160" s="916"/>
      <c r="BD160" s="916"/>
      <c r="BE160" s="916"/>
      <c r="BF160" s="916"/>
      <c r="BG160" s="916"/>
      <c r="BH160" s="916"/>
      <c r="BI160" s="916"/>
      <c r="BJ160" s="916"/>
      <c r="BK160" s="916"/>
      <c r="BL160" s="916"/>
      <c r="BM160" s="916"/>
      <c r="BN160" s="916"/>
      <c r="BO160" s="916"/>
      <c r="BP160" s="916"/>
      <c r="BQ160" s="916"/>
      <c r="BR160" s="916"/>
      <c r="BS160" s="916"/>
      <c r="BT160" s="916"/>
    </row>
    <row r="161" spans="1:72" x14ac:dyDescent="0.2">
      <c r="A161" s="916" t="s">
        <v>614</v>
      </c>
      <c r="B161" s="916">
        <v>3.61</v>
      </c>
      <c r="C161" s="916">
        <v>4.49</v>
      </c>
      <c r="D161" s="916">
        <v>4.79</v>
      </c>
      <c r="E161" s="916">
        <v>4.9400000000000004</v>
      </c>
      <c r="F161" s="916">
        <v>5.07</v>
      </c>
      <c r="G161" s="916">
        <v>5.31</v>
      </c>
      <c r="H161" s="916">
        <v>5.44</v>
      </c>
      <c r="I161" s="916">
        <v>5.56</v>
      </c>
      <c r="J161" s="916">
        <v>5.66</v>
      </c>
      <c r="K161" s="916">
        <v>5.77</v>
      </c>
      <c r="L161" s="916">
        <v>5.97</v>
      </c>
      <c r="M161" s="916">
        <v>6.14</v>
      </c>
      <c r="N161" s="916">
        <v>6.34</v>
      </c>
      <c r="O161" s="916">
        <v>6.5</v>
      </c>
      <c r="P161" s="916">
        <v>6.68</v>
      </c>
      <c r="Q161" s="916">
        <v>6.84</v>
      </c>
      <c r="R161" s="916">
        <v>6.98</v>
      </c>
      <c r="S161" s="916">
        <v>7.07</v>
      </c>
      <c r="T161" s="916">
        <v>7.11</v>
      </c>
      <c r="U161" s="916">
        <v>7.15</v>
      </c>
      <c r="V161" s="916">
        <v>7.27</v>
      </c>
      <c r="W161" s="916">
        <v>7.43</v>
      </c>
      <c r="X161" s="916">
        <v>7.55</v>
      </c>
      <c r="Y161" s="916">
        <v>7.72</v>
      </c>
      <c r="Z161" s="916">
        <v>7.86</v>
      </c>
      <c r="AA161" s="916">
        <v>8.02</v>
      </c>
      <c r="AB161" s="916">
        <v>8.18</v>
      </c>
      <c r="AC161" s="916">
        <v>8.33</v>
      </c>
      <c r="AD161" s="916">
        <v>8.5</v>
      </c>
      <c r="AE161" s="955">
        <v>2.4E-2</v>
      </c>
      <c r="AF161" s="916"/>
      <c r="AG161" s="916"/>
      <c r="AH161" s="916"/>
      <c r="AI161" s="916"/>
      <c r="AJ161" s="916"/>
      <c r="AK161" s="916"/>
      <c r="AL161" s="916"/>
      <c r="AM161" s="916"/>
      <c r="AN161" s="916"/>
      <c r="AO161" s="916"/>
      <c r="AP161" s="916"/>
      <c r="AQ161" s="916"/>
      <c r="AR161" s="916"/>
      <c r="AS161" s="916"/>
      <c r="AT161" s="916"/>
      <c r="AU161" s="916"/>
      <c r="AV161" s="916"/>
      <c r="AW161" s="916"/>
      <c r="AX161" s="916"/>
      <c r="AY161" s="916"/>
      <c r="AZ161" s="916"/>
      <c r="BA161" s="916"/>
      <c r="BB161" s="916"/>
      <c r="BC161" s="916"/>
      <c r="BD161" s="916"/>
      <c r="BE161" s="916"/>
      <c r="BF161" s="916"/>
      <c r="BG161" s="916"/>
      <c r="BH161" s="916"/>
      <c r="BI161" s="916"/>
      <c r="BJ161" s="916"/>
      <c r="BK161" s="916"/>
      <c r="BL161" s="916"/>
      <c r="BM161" s="916"/>
      <c r="BN161" s="916"/>
      <c r="BO161" s="916"/>
      <c r="BP161" s="916"/>
      <c r="BQ161" s="916"/>
      <c r="BR161" s="916"/>
      <c r="BS161" s="916"/>
      <c r="BT161" s="916"/>
    </row>
    <row r="162" spans="1:72" x14ac:dyDescent="0.2">
      <c r="A162" s="916" t="s">
        <v>615</v>
      </c>
      <c r="B162" s="916">
        <v>2.4300000000000002</v>
      </c>
      <c r="C162" s="916">
        <v>2.84</v>
      </c>
      <c r="D162" s="916">
        <v>2.83</v>
      </c>
      <c r="E162" s="916">
        <v>2.77</v>
      </c>
      <c r="F162" s="916">
        <v>2.81</v>
      </c>
      <c r="G162" s="916">
        <v>2.85</v>
      </c>
      <c r="H162" s="916">
        <v>2.86</v>
      </c>
      <c r="I162" s="916">
        <v>2.93</v>
      </c>
      <c r="J162" s="916">
        <v>3</v>
      </c>
      <c r="K162" s="916">
        <v>3.04</v>
      </c>
      <c r="L162" s="916">
        <v>3.11</v>
      </c>
      <c r="M162" s="916">
        <v>3.16</v>
      </c>
      <c r="N162" s="916">
        <v>3.2</v>
      </c>
      <c r="O162" s="916">
        <v>3.26</v>
      </c>
      <c r="P162" s="916">
        <v>3.31</v>
      </c>
      <c r="Q162" s="916">
        <v>3.38</v>
      </c>
      <c r="R162" s="916">
        <v>3.43</v>
      </c>
      <c r="S162" s="916">
        <v>3.5</v>
      </c>
      <c r="T162" s="916">
        <v>3.56</v>
      </c>
      <c r="U162" s="916">
        <v>3.65</v>
      </c>
      <c r="V162" s="916">
        <v>3.72</v>
      </c>
      <c r="W162" s="916">
        <v>3.82</v>
      </c>
      <c r="X162" s="916">
        <v>3.91</v>
      </c>
      <c r="Y162" s="916">
        <v>4.01</v>
      </c>
      <c r="Z162" s="916">
        <v>4.12</v>
      </c>
      <c r="AA162" s="916">
        <v>4.21</v>
      </c>
      <c r="AB162" s="916">
        <v>4.33</v>
      </c>
      <c r="AC162" s="916">
        <v>4.4400000000000004</v>
      </c>
      <c r="AD162" s="916">
        <v>4.55</v>
      </c>
      <c r="AE162" s="955">
        <v>1.7999999999999999E-2</v>
      </c>
      <c r="AF162" s="916"/>
      <c r="AG162" s="916"/>
      <c r="AH162" s="916"/>
      <c r="AI162" s="916"/>
      <c r="AJ162" s="916"/>
      <c r="AK162" s="916"/>
      <c r="AL162" s="916"/>
      <c r="AM162" s="916"/>
      <c r="AN162" s="916"/>
      <c r="AO162" s="916"/>
      <c r="AP162" s="916"/>
      <c r="AQ162" s="916"/>
      <c r="AR162" s="916"/>
      <c r="AS162" s="916"/>
      <c r="AT162" s="916"/>
      <c r="AU162" s="916"/>
      <c r="AV162" s="916"/>
      <c r="AW162" s="916"/>
      <c r="AX162" s="916"/>
      <c r="AY162" s="916"/>
      <c r="AZ162" s="916"/>
      <c r="BA162" s="916"/>
      <c r="BB162" s="916"/>
      <c r="BC162" s="916"/>
      <c r="BD162" s="916"/>
      <c r="BE162" s="916"/>
      <c r="BF162" s="916"/>
      <c r="BG162" s="916"/>
      <c r="BH162" s="916"/>
      <c r="BI162" s="916"/>
      <c r="BJ162" s="916"/>
      <c r="BK162" s="916"/>
      <c r="BL162" s="916"/>
      <c r="BM162" s="916"/>
      <c r="BN162" s="916"/>
      <c r="BO162" s="916"/>
      <c r="BP162" s="916"/>
      <c r="BQ162" s="916"/>
      <c r="BR162" s="916"/>
      <c r="BS162" s="916"/>
      <c r="BT162" s="916"/>
    </row>
    <row r="163" spans="1:72" x14ac:dyDescent="0.2">
      <c r="A163" s="916" t="s">
        <v>616</v>
      </c>
      <c r="B163" s="916" t="s">
        <v>788</v>
      </c>
      <c r="C163" s="916" t="s">
        <v>788</v>
      </c>
      <c r="D163" s="916" t="s">
        <v>788</v>
      </c>
      <c r="E163" s="916" t="s">
        <v>788</v>
      </c>
      <c r="F163" s="916">
        <v>1.32</v>
      </c>
      <c r="G163" s="916">
        <v>1.1000000000000001</v>
      </c>
      <c r="H163" s="916">
        <v>1.1200000000000001</v>
      </c>
      <c r="I163" s="916">
        <v>1.55</v>
      </c>
      <c r="J163" s="916">
        <v>1.58</v>
      </c>
      <c r="K163" s="916">
        <v>1.65</v>
      </c>
      <c r="L163" s="916">
        <v>1.72</v>
      </c>
      <c r="M163" s="916">
        <v>1.74</v>
      </c>
      <c r="N163" s="916">
        <v>1.76</v>
      </c>
      <c r="O163" s="916">
        <v>1.79</v>
      </c>
      <c r="P163" s="916">
        <v>1.86</v>
      </c>
      <c r="Q163" s="916">
        <v>1.91</v>
      </c>
      <c r="R163" s="916">
        <v>1.98</v>
      </c>
      <c r="S163" s="916">
        <v>1.99</v>
      </c>
      <c r="T163" s="916">
        <v>2.02</v>
      </c>
      <c r="U163" s="916">
        <v>2.04</v>
      </c>
      <c r="V163" s="916">
        <v>2.0699999999999998</v>
      </c>
      <c r="W163" s="916">
        <v>2.1</v>
      </c>
      <c r="X163" s="916">
        <v>2.13</v>
      </c>
      <c r="Y163" s="916">
        <v>2.1800000000000002</v>
      </c>
      <c r="Z163" s="916">
        <v>2.2200000000000002</v>
      </c>
      <c r="AA163" s="916">
        <v>2.2799999999999998</v>
      </c>
      <c r="AB163" s="916">
        <v>2.35</v>
      </c>
      <c r="AC163" s="916">
        <v>2.44</v>
      </c>
      <c r="AD163" s="916">
        <v>2.5299999999999998</v>
      </c>
      <c r="AE163" s="916" t="s">
        <v>788</v>
      </c>
      <c r="AF163" s="916"/>
      <c r="AG163" s="916"/>
      <c r="AH163" s="916"/>
      <c r="AI163" s="916"/>
      <c r="AJ163" s="916"/>
      <c r="AK163" s="916"/>
      <c r="AL163" s="916"/>
      <c r="AM163" s="916"/>
      <c r="AN163" s="916"/>
      <c r="AO163" s="916"/>
      <c r="AP163" s="916"/>
      <c r="AQ163" s="916"/>
      <c r="AR163" s="916"/>
      <c r="AS163" s="916"/>
      <c r="AT163" s="916"/>
      <c r="AU163" s="916"/>
      <c r="AV163" s="916"/>
      <c r="AW163" s="916"/>
      <c r="AX163" s="916"/>
      <c r="AY163" s="916"/>
      <c r="AZ163" s="916"/>
      <c r="BA163" s="916"/>
      <c r="BB163" s="916"/>
      <c r="BC163" s="916"/>
      <c r="BD163" s="916"/>
      <c r="BE163" s="916"/>
      <c r="BF163" s="916"/>
      <c r="BG163" s="916"/>
      <c r="BH163" s="916"/>
      <c r="BI163" s="916"/>
      <c r="BJ163" s="916"/>
      <c r="BK163" s="916"/>
      <c r="BL163" s="916"/>
      <c r="BM163" s="916"/>
      <c r="BN163" s="916"/>
      <c r="BO163" s="916"/>
      <c r="BP163" s="916"/>
      <c r="BQ163" s="916"/>
      <c r="BR163" s="916"/>
      <c r="BS163" s="916"/>
      <c r="BT163" s="916"/>
    </row>
    <row r="164" spans="1:72" x14ac:dyDescent="0.2">
      <c r="A164" s="916" t="s">
        <v>479</v>
      </c>
      <c r="B164" s="916">
        <v>18.600000000000001</v>
      </c>
      <c r="C164" s="916">
        <v>20.21</v>
      </c>
      <c r="D164" s="916">
        <v>20.350000000000001</v>
      </c>
      <c r="E164" s="916">
        <v>19.73</v>
      </c>
      <c r="F164" s="916">
        <v>17.86</v>
      </c>
      <c r="G164" s="916">
        <v>18.77</v>
      </c>
      <c r="H164" s="916">
        <v>18.98</v>
      </c>
      <c r="I164" s="916">
        <v>19.010000000000002</v>
      </c>
      <c r="J164" s="916">
        <v>19.36</v>
      </c>
      <c r="K164" s="916">
        <v>19.989999999999998</v>
      </c>
      <c r="L164" s="916">
        <v>20.51</v>
      </c>
      <c r="M164" s="916">
        <v>20.91</v>
      </c>
      <c r="N164" s="916">
        <v>21.27</v>
      </c>
      <c r="O164" s="916">
        <v>21.9</v>
      </c>
      <c r="P164" s="916">
        <v>22.56</v>
      </c>
      <c r="Q164" s="916">
        <v>23.2</v>
      </c>
      <c r="R164" s="916">
        <v>23.95</v>
      </c>
      <c r="S164" s="916">
        <v>24.64</v>
      </c>
      <c r="T164" s="916">
        <v>25.11</v>
      </c>
      <c r="U164" s="916">
        <v>25.79</v>
      </c>
      <c r="V164" s="916">
        <v>26.57</v>
      </c>
      <c r="W164" s="916">
        <v>27.41</v>
      </c>
      <c r="X164" s="916">
        <v>28.5</v>
      </c>
      <c r="Y164" s="916">
        <v>29.55</v>
      </c>
      <c r="Z164" s="916">
        <v>30.67</v>
      </c>
      <c r="AA164" s="916">
        <v>31.8</v>
      </c>
      <c r="AB164" s="916">
        <v>32.71</v>
      </c>
      <c r="AC164" s="916">
        <v>33.76</v>
      </c>
      <c r="AD164" s="916">
        <v>34.799999999999997</v>
      </c>
      <c r="AE164" s="955">
        <v>0.02</v>
      </c>
      <c r="AF164" s="916"/>
      <c r="AG164" s="916"/>
      <c r="AH164" s="916"/>
      <c r="AI164" s="916"/>
      <c r="AJ164" s="916"/>
      <c r="AK164" s="916"/>
      <c r="AL164" s="916"/>
      <c r="AM164" s="916"/>
      <c r="AN164" s="916"/>
      <c r="AO164" s="916"/>
      <c r="AP164" s="916"/>
      <c r="AQ164" s="916"/>
      <c r="AR164" s="916"/>
      <c r="AS164" s="916"/>
      <c r="AT164" s="916"/>
      <c r="AU164" s="916"/>
      <c r="AV164" s="916"/>
      <c r="AW164" s="916"/>
      <c r="AX164" s="916"/>
      <c r="AY164" s="916"/>
      <c r="AZ164" s="916"/>
      <c r="BA164" s="916"/>
      <c r="BB164" s="916"/>
      <c r="BC164" s="916"/>
      <c r="BD164" s="916"/>
      <c r="BE164" s="916"/>
      <c r="BF164" s="916"/>
      <c r="BG164" s="916"/>
      <c r="BH164" s="916"/>
      <c r="BI164" s="916"/>
      <c r="BJ164" s="916"/>
      <c r="BK164" s="916"/>
      <c r="BL164" s="916"/>
      <c r="BM164" s="916"/>
      <c r="BN164" s="916"/>
      <c r="BO164" s="916"/>
      <c r="BP164" s="916"/>
      <c r="BQ164" s="916"/>
      <c r="BR164" s="916"/>
      <c r="BS164" s="916"/>
      <c r="BT164" s="916"/>
    </row>
    <row r="165" spans="1:72" x14ac:dyDescent="0.2">
      <c r="A165" s="916"/>
      <c r="B165" s="916"/>
      <c r="C165" s="916"/>
      <c r="D165" s="916"/>
      <c r="E165" s="916"/>
      <c r="F165" s="916"/>
      <c r="G165" s="916"/>
      <c r="H165" s="916"/>
      <c r="I165" s="916"/>
      <c r="J165" s="916"/>
      <c r="K165" s="916"/>
      <c r="L165" s="916"/>
      <c r="M165" s="916"/>
      <c r="N165" s="916"/>
      <c r="O165" s="916"/>
      <c r="P165" s="916"/>
      <c r="Q165" s="916"/>
      <c r="R165" s="916"/>
      <c r="S165" s="916"/>
      <c r="T165" s="916"/>
      <c r="U165" s="916"/>
      <c r="V165" s="916"/>
      <c r="W165" s="916"/>
      <c r="X165" s="916"/>
      <c r="Y165" s="916"/>
      <c r="Z165" s="916"/>
      <c r="AA165" s="916"/>
      <c r="AB165" s="916"/>
      <c r="AC165" s="916"/>
      <c r="AD165" s="916"/>
      <c r="AE165" s="916"/>
      <c r="AF165" s="916"/>
      <c r="AG165" s="916"/>
      <c r="AH165" s="916"/>
      <c r="AI165" s="916"/>
      <c r="AJ165" s="916"/>
      <c r="AK165" s="916"/>
      <c r="AL165" s="916"/>
      <c r="AM165" s="916"/>
      <c r="AN165" s="916"/>
      <c r="AO165" s="916"/>
      <c r="AP165" s="916"/>
      <c r="AQ165" s="916"/>
      <c r="AR165" s="916"/>
      <c r="AS165" s="916"/>
      <c r="AT165" s="916"/>
      <c r="AU165" s="916"/>
      <c r="AV165" s="916"/>
      <c r="AW165" s="916"/>
      <c r="AX165" s="916"/>
      <c r="AY165" s="916"/>
      <c r="AZ165" s="916"/>
      <c r="BA165" s="916"/>
      <c r="BB165" s="916"/>
      <c r="BC165" s="916"/>
      <c r="BD165" s="916"/>
      <c r="BE165" s="916"/>
      <c r="BF165" s="916"/>
      <c r="BG165" s="916"/>
      <c r="BH165" s="916"/>
      <c r="BI165" s="916"/>
      <c r="BJ165" s="916"/>
      <c r="BK165" s="916"/>
      <c r="BL165" s="916"/>
      <c r="BM165" s="916"/>
      <c r="BN165" s="916"/>
      <c r="BO165" s="916"/>
      <c r="BP165" s="916"/>
      <c r="BQ165" s="916"/>
      <c r="BR165" s="916"/>
      <c r="BS165" s="916"/>
      <c r="BT165" s="916"/>
    </row>
    <row r="166" spans="1:72" x14ac:dyDescent="0.2">
      <c r="A166" s="916" t="s">
        <v>487</v>
      </c>
      <c r="B166" s="916"/>
      <c r="C166" s="916"/>
      <c r="D166" s="916"/>
      <c r="E166" s="916"/>
      <c r="F166" s="916"/>
      <c r="G166" s="916"/>
      <c r="H166" s="916"/>
      <c r="I166" s="916"/>
      <c r="J166" s="916"/>
      <c r="K166" s="916"/>
      <c r="L166" s="916"/>
      <c r="M166" s="916"/>
      <c r="N166" s="916"/>
      <c r="O166" s="916"/>
      <c r="P166" s="916"/>
      <c r="Q166" s="916"/>
      <c r="R166" s="916"/>
      <c r="S166" s="916"/>
      <c r="T166" s="916"/>
      <c r="U166" s="916"/>
      <c r="V166" s="916"/>
      <c r="W166" s="916"/>
      <c r="X166" s="916"/>
      <c r="Y166" s="916"/>
      <c r="Z166" s="916"/>
      <c r="AA166" s="916"/>
      <c r="AB166" s="916"/>
      <c r="AC166" s="916"/>
      <c r="AD166" s="916"/>
      <c r="AE166" s="916"/>
      <c r="AF166" s="916"/>
      <c r="AG166" s="916"/>
      <c r="AH166" s="916"/>
      <c r="AI166" s="916"/>
      <c r="AJ166" s="916"/>
      <c r="AK166" s="916"/>
      <c r="AL166" s="916"/>
      <c r="AM166" s="916"/>
      <c r="AN166" s="916"/>
      <c r="AO166" s="916"/>
      <c r="AP166" s="916"/>
      <c r="AQ166" s="916"/>
      <c r="AR166" s="916"/>
      <c r="AS166" s="916"/>
      <c r="AT166" s="916"/>
      <c r="AU166" s="916"/>
      <c r="AV166" s="916"/>
      <c r="AW166" s="916"/>
      <c r="AX166" s="916"/>
      <c r="AY166" s="916"/>
      <c r="AZ166" s="916"/>
      <c r="BA166" s="916"/>
      <c r="BB166" s="916"/>
      <c r="BC166" s="916"/>
      <c r="BD166" s="916"/>
      <c r="BE166" s="916"/>
      <c r="BF166" s="916"/>
      <c r="BG166" s="916"/>
      <c r="BH166" s="916"/>
      <c r="BI166" s="916"/>
      <c r="BJ166" s="916"/>
      <c r="BK166" s="916"/>
      <c r="BL166" s="916"/>
      <c r="BM166" s="916"/>
      <c r="BN166" s="916"/>
      <c r="BO166" s="916"/>
      <c r="BP166" s="916"/>
      <c r="BQ166" s="916"/>
      <c r="BR166" s="916"/>
      <c r="BS166" s="916"/>
      <c r="BT166" s="916"/>
    </row>
    <row r="167" spans="1:72" x14ac:dyDescent="0.2">
      <c r="A167" s="916" t="s">
        <v>617</v>
      </c>
      <c r="B167" s="916">
        <v>23.31</v>
      </c>
      <c r="C167" s="916">
        <v>29.93</v>
      </c>
      <c r="D167" s="916">
        <v>25.58</v>
      </c>
      <c r="E167" s="916">
        <v>24.61</v>
      </c>
      <c r="F167" s="916">
        <v>25.02</v>
      </c>
      <c r="G167" s="916">
        <v>26.61</v>
      </c>
      <c r="H167" s="916">
        <v>28.36</v>
      </c>
      <c r="I167" s="916">
        <v>29.9</v>
      </c>
      <c r="J167" s="916">
        <v>31.07</v>
      </c>
      <c r="K167" s="916">
        <v>32.36</v>
      </c>
      <c r="L167" s="916">
        <v>33.58</v>
      </c>
      <c r="M167" s="916">
        <v>34.89</v>
      </c>
      <c r="N167" s="916">
        <v>35.840000000000003</v>
      </c>
      <c r="O167" s="916">
        <v>36.82</v>
      </c>
      <c r="P167" s="916">
        <v>37.89</v>
      </c>
      <c r="Q167" s="916">
        <v>38.979999999999997</v>
      </c>
      <c r="R167" s="916">
        <v>40.17</v>
      </c>
      <c r="S167" s="916">
        <v>41.36</v>
      </c>
      <c r="T167" s="916">
        <v>42.56</v>
      </c>
      <c r="U167" s="916">
        <v>43.64</v>
      </c>
      <c r="V167" s="916">
        <v>44.94</v>
      </c>
      <c r="W167" s="916">
        <v>46.27</v>
      </c>
      <c r="X167" s="916">
        <v>47.79</v>
      </c>
      <c r="Y167" s="916">
        <v>49.17</v>
      </c>
      <c r="Z167" s="916">
        <v>50.81</v>
      </c>
      <c r="AA167" s="916">
        <v>52.46</v>
      </c>
      <c r="AB167" s="916">
        <v>54.21</v>
      </c>
      <c r="AC167" s="916">
        <v>55.95</v>
      </c>
      <c r="AD167" s="916">
        <v>57.77</v>
      </c>
      <c r="AE167" s="955">
        <v>2.5000000000000001E-2</v>
      </c>
      <c r="AF167" s="916"/>
      <c r="AG167" s="916"/>
      <c r="AH167" s="916"/>
      <c r="AI167" s="916"/>
      <c r="AJ167" s="916"/>
      <c r="AK167" s="916"/>
      <c r="AL167" s="916"/>
      <c r="AM167" s="916"/>
      <c r="AN167" s="916"/>
      <c r="AO167" s="916"/>
      <c r="AP167" s="916"/>
      <c r="AQ167" s="916"/>
      <c r="AR167" s="916"/>
      <c r="AS167" s="916"/>
      <c r="AT167" s="916"/>
      <c r="AU167" s="916"/>
      <c r="AV167" s="916"/>
      <c r="AW167" s="916"/>
      <c r="AX167" s="916"/>
      <c r="AY167" s="916"/>
      <c r="AZ167" s="916"/>
      <c r="BA167" s="916"/>
      <c r="BB167" s="916"/>
      <c r="BC167" s="916"/>
      <c r="BD167" s="916"/>
      <c r="BE167" s="916"/>
      <c r="BF167" s="916"/>
      <c r="BG167" s="916"/>
      <c r="BH167" s="916"/>
      <c r="BI167" s="916"/>
      <c r="BJ167" s="916"/>
      <c r="BK167" s="916"/>
      <c r="BL167" s="916"/>
      <c r="BM167" s="916"/>
      <c r="BN167" s="916"/>
      <c r="BO167" s="916"/>
      <c r="BP167" s="916"/>
      <c r="BQ167" s="916"/>
      <c r="BR167" s="916"/>
      <c r="BS167" s="916"/>
      <c r="BT167" s="916"/>
    </row>
    <row r="168" spans="1:72" x14ac:dyDescent="0.2">
      <c r="A168" s="916" t="s">
        <v>618</v>
      </c>
      <c r="B168" s="916">
        <v>26.83</v>
      </c>
      <c r="C168" s="916">
        <v>26.93</v>
      </c>
      <c r="D168" s="916">
        <v>23.64</v>
      </c>
      <c r="E168" s="916">
        <v>21.26</v>
      </c>
      <c r="F168" s="916">
        <v>21.89</v>
      </c>
      <c r="G168" s="916">
        <v>23.43</v>
      </c>
      <c r="H168" s="916">
        <v>26.07</v>
      </c>
      <c r="I168" s="916">
        <v>27.64</v>
      </c>
      <c r="J168" s="916">
        <v>28.47</v>
      </c>
      <c r="K168" s="916">
        <v>28.45</v>
      </c>
      <c r="L168" s="916">
        <v>29.92</v>
      </c>
      <c r="M168" s="916">
        <v>31.23</v>
      </c>
      <c r="N168" s="916">
        <v>31.97</v>
      </c>
      <c r="O168" s="916">
        <v>32.94</v>
      </c>
      <c r="P168" s="916">
        <v>34.090000000000003</v>
      </c>
      <c r="Q168" s="916">
        <v>35.479999999999997</v>
      </c>
      <c r="R168" s="916">
        <v>36.880000000000003</v>
      </c>
      <c r="S168" s="916">
        <v>37.979999999999997</v>
      </c>
      <c r="T168" s="916">
        <v>39.17</v>
      </c>
      <c r="U168" s="916">
        <v>40.479999999999997</v>
      </c>
      <c r="V168" s="916">
        <v>41.72</v>
      </c>
      <c r="W168" s="916">
        <v>43.4</v>
      </c>
      <c r="X168" s="916">
        <v>44.96</v>
      </c>
      <c r="Y168" s="916">
        <v>46.25</v>
      </c>
      <c r="Z168" s="916">
        <v>47.62</v>
      </c>
      <c r="AA168" s="916">
        <v>49.36</v>
      </c>
      <c r="AB168" s="916">
        <v>50.75</v>
      </c>
      <c r="AC168" s="916">
        <v>52.29</v>
      </c>
      <c r="AD168" s="916">
        <v>54.17</v>
      </c>
      <c r="AE168" s="955">
        <v>2.5999999999999999E-2</v>
      </c>
      <c r="AF168" s="916"/>
      <c r="AG168" s="916"/>
      <c r="AH168" s="916"/>
      <c r="AI168" s="916"/>
      <c r="AJ168" s="916"/>
      <c r="AK168" s="916"/>
      <c r="AL168" s="916"/>
      <c r="AM168" s="916"/>
      <c r="AN168" s="916"/>
      <c r="AO168" s="916"/>
      <c r="AP168" s="916"/>
      <c r="AQ168" s="916"/>
      <c r="AR168" s="916"/>
      <c r="AS168" s="916"/>
      <c r="AT168" s="916"/>
      <c r="AU168" s="916"/>
      <c r="AV168" s="916"/>
      <c r="AW168" s="916"/>
      <c r="AX168" s="916"/>
      <c r="AY168" s="916"/>
      <c r="AZ168" s="916"/>
      <c r="BA168" s="916"/>
      <c r="BB168" s="916"/>
      <c r="BC168" s="916"/>
      <c r="BD168" s="916"/>
      <c r="BE168" s="916"/>
      <c r="BF168" s="916"/>
      <c r="BG168" s="916"/>
      <c r="BH168" s="916"/>
      <c r="BI168" s="916"/>
      <c r="BJ168" s="916"/>
      <c r="BK168" s="916"/>
      <c r="BL168" s="916"/>
      <c r="BM168" s="916"/>
      <c r="BN168" s="916"/>
      <c r="BO168" s="916"/>
      <c r="BP168" s="916"/>
      <c r="BQ168" s="916"/>
      <c r="BR168" s="916"/>
      <c r="BS168" s="916"/>
      <c r="BT168" s="916"/>
    </row>
    <row r="169" spans="1:72" x14ac:dyDescent="0.2">
      <c r="A169" s="916" t="s">
        <v>619</v>
      </c>
      <c r="B169" s="916">
        <v>23.15</v>
      </c>
      <c r="C169" s="916">
        <v>26.76</v>
      </c>
      <c r="D169" s="916">
        <v>19.43</v>
      </c>
      <c r="E169" s="916">
        <v>21.17</v>
      </c>
      <c r="F169" s="916">
        <v>21.79</v>
      </c>
      <c r="G169" s="916">
        <v>23.32</v>
      </c>
      <c r="H169" s="916">
        <v>25.87</v>
      </c>
      <c r="I169" s="916">
        <v>27.33</v>
      </c>
      <c r="J169" s="916">
        <v>28.27</v>
      </c>
      <c r="K169" s="916">
        <v>29.42</v>
      </c>
      <c r="L169" s="916">
        <v>30.58</v>
      </c>
      <c r="M169" s="916">
        <v>31.65</v>
      </c>
      <c r="N169" s="916">
        <v>32.6</v>
      </c>
      <c r="O169" s="916">
        <v>33.72</v>
      </c>
      <c r="P169" s="916">
        <v>34.72</v>
      </c>
      <c r="Q169" s="916">
        <v>35.94</v>
      </c>
      <c r="R169" s="916">
        <v>37.020000000000003</v>
      </c>
      <c r="S169" s="916">
        <v>37.96</v>
      </c>
      <c r="T169" s="916">
        <v>39.18</v>
      </c>
      <c r="U169" s="916">
        <v>40.44</v>
      </c>
      <c r="V169" s="916">
        <v>41.69</v>
      </c>
      <c r="W169" s="916">
        <v>43.21</v>
      </c>
      <c r="X169" s="916">
        <v>44.7</v>
      </c>
      <c r="Y169" s="916">
        <v>45.91</v>
      </c>
      <c r="Z169" s="916">
        <v>47.47</v>
      </c>
      <c r="AA169" s="916">
        <v>49.16</v>
      </c>
      <c r="AB169" s="916">
        <v>50.66</v>
      </c>
      <c r="AC169" s="916">
        <v>52.36</v>
      </c>
      <c r="AD169" s="916">
        <v>54.33</v>
      </c>
      <c r="AE169" s="955">
        <v>2.7E-2</v>
      </c>
      <c r="AF169" s="916"/>
      <c r="AG169" s="916"/>
      <c r="AH169" s="916"/>
      <c r="AI169" s="916"/>
      <c r="AJ169" s="916"/>
      <c r="AK169" s="916"/>
      <c r="AL169" s="916"/>
      <c r="AM169" s="916"/>
      <c r="AN169" s="916"/>
      <c r="AO169" s="916"/>
      <c r="AP169" s="916"/>
      <c r="AQ169" s="916"/>
      <c r="AR169" s="916"/>
      <c r="AS169" s="916"/>
      <c r="AT169" s="916"/>
      <c r="AU169" s="916"/>
      <c r="AV169" s="916"/>
      <c r="AW169" s="916"/>
      <c r="AX169" s="916"/>
      <c r="AY169" s="916"/>
      <c r="AZ169" s="916"/>
      <c r="BA169" s="916"/>
      <c r="BB169" s="916"/>
      <c r="BC169" s="916"/>
      <c r="BD169" s="916"/>
      <c r="BE169" s="916"/>
      <c r="BF169" s="916"/>
      <c r="BG169" s="916"/>
      <c r="BH169" s="916"/>
      <c r="BI169" s="916"/>
      <c r="BJ169" s="916"/>
      <c r="BK169" s="916"/>
      <c r="BL169" s="916"/>
      <c r="BM169" s="916"/>
      <c r="BN169" s="916"/>
      <c r="BO169" s="916"/>
      <c r="BP169" s="916"/>
      <c r="BQ169" s="916"/>
      <c r="BR169" s="916"/>
      <c r="BS169" s="916"/>
      <c r="BT169" s="916"/>
    </row>
    <row r="170" spans="1:72" x14ac:dyDescent="0.2">
      <c r="A170" s="916" t="s">
        <v>620</v>
      </c>
      <c r="B170" s="916">
        <v>15.42</v>
      </c>
      <c r="C170" s="916">
        <v>22.71</v>
      </c>
      <c r="D170" s="916">
        <v>12.92</v>
      </c>
      <c r="E170" s="916">
        <v>15.23</v>
      </c>
      <c r="F170" s="916">
        <v>15.82</v>
      </c>
      <c r="G170" s="916">
        <v>17.510000000000002</v>
      </c>
      <c r="H170" s="916">
        <v>19.05</v>
      </c>
      <c r="I170" s="916">
        <v>20.23</v>
      </c>
      <c r="J170" s="916">
        <v>21.21</v>
      </c>
      <c r="K170" s="916">
        <v>22.42</v>
      </c>
      <c r="L170" s="916">
        <v>23.58</v>
      </c>
      <c r="M170" s="916">
        <v>24.67</v>
      </c>
      <c r="N170" s="916">
        <v>25.58</v>
      </c>
      <c r="O170" s="916">
        <v>26.51</v>
      </c>
      <c r="P170" s="916">
        <v>27.27</v>
      </c>
      <c r="Q170" s="916">
        <v>28.18</v>
      </c>
      <c r="R170" s="916">
        <v>29.2</v>
      </c>
      <c r="S170" s="916">
        <v>30.07</v>
      </c>
      <c r="T170" s="916">
        <v>31.1</v>
      </c>
      <c r="U170" s="916">
        <v>32.130000000000003</v>
      </c>
      <c r="V170" s="916">
        <v>33.21</v>
      </c>
      <c r="W170" s="916">
        <v>34.54</v>
      </c>
      <c r="X170" s="916">
        <v>35.83</v>
      </c>
      <c r="Y170" s="916">
        <v>36.99</v>
      </c>
      <c r="Z170" s="916">
        <v>38.42</v>
      </c>
      <c r="AA170" s="916">
        <v>39.92</v>
      </c>
      <c r="AB170" s="916">
        <v>41.32</v>
      </c>
      <c r="AC170" s="916">
        <v>42.87</v>
      </c>
      <c r="AD170" s="916">
        <v>44.51</v>
      </c>
      <c r="AE170" s="955">
        <v>2.5000000000000001E-2</v>
      </c>
      <c r="AF170" s="916"/>
      <c r="AG170" s="916"/>
      <c r="AH170" s="916"/>
      <c r="AI170" s="916"/>
      <c r="AJ170" s="916"/>
      <c r="AK170" s="916"/>
      <c r="AL170" s="916"/>
      <c r="AM170" s="916"/>
      <c r="AN170" s="916"/>
      <c r="AO170" s="916"/>
      <c r="AP170" s="916"/>
      <c r="AQ170" s="916"/>
      <c r="AR170" s="916"/>
      <c r="AS170" s="916"/>
      <c r="AT170" s="916"/>
      <c r="AU170" s="916"/>
      <c r="AV170" s="916"/>
      <c r="AW170" s="916"/>
      <c r="AX170" s="916"/>
      <c r="AY170" s="916"/>
      <c r="AZ170" s="916"/>
      <c r="BA170" s="916"/>
      <c r="BB170" s="916"/>
      <c r="BC170" s="916"/>
      <c r="BD170" s="916"/>
      <c r="BE170" s="916"/>
      <c r="BF170" s="916"/>
      <c r="BG170" s="916"/>
      <c r="BH170" s="916"/>
      <c r="BI170" s="916"/>
      <c r="BJ170" s="916"/>
      <c r="BK170" s="916"/>
      <c r="BL170" s="916"/>
      <c r="BM170" s="916"/>
      <c r="BN170" s="916"/>
      <c r="BO170" s="916"/>
      <c r="BP170" s="916"/>
      <c r="BQ170" s="916"/>
      <c r="BR170" s="916"/>
      <c r="BS170" s="916"/>
      <c r="BT170" s="916"/>
    </row>
    <row r="171" spans="1:72" x14ac:dyDescent="0.2">
      <c r="A171" s="916" t="s">
        <v>724</v>
      </c>
      <c r="B171" s="916">
        <v>21.08</v>
      </c>
      <c r="C171" s="916">
        <v>27.65</v>
      </c>
      <c r="D171" s="916">
        <v>18.04</v>
      </c>
      <c r="E171" s="916">
        <v>19.7</v>
      </c>
      <c r="F171" s="916">
        <v>20.149999999999999</v>
      </c>
      <c r="G171" s="916">
        <v>21.71</v>
      </c>
      <c r="H171" s="916">
        <v>23.2</v>
      </c>
      <c r="I171" s="916">
        <v>24.38</v>
      </c>
      <c r="J171" s="916">
        <v>25.56</v>
      </c>
      <c r="K171" s="916">
        <v>26.86</v>
      </c>
      <c r="L171" s="916">
        <v>28.03</v>
      </c>
      <c r="M171" s="916">
        <v>29.31</v>
      </c>
      <c r="N171" s="916">
        <v>30.31</v>
      </c>
      <c r="O171" s="916">
        <v>31.28</v>
      </c>
      <c r="P171" s="916">
        <v>32.19</v>
      </c>
      <c r="Q171" s="916">
        <v>33.32</v>
      </c>
      <c r="R171" s="916">
        <v>34.22</v>
      </c>
      <c r="S171" s="916">
        <v>35.03</v>
      </c>
      <c r="T171" s="916">
        <v>36.130000000000003</v>
      </c>
      <c r="U171" s="916">
        <v>37.17</v>
      </c>
      <c r="V171" s="916">
        <v>38.32</v>
      </c>
      <c r="W171" s="916">
        <v>39.61</v>
      </c>
      <c r="X171" s="916">
        <v>41.05</v>
      </c>
      <c r="Y171" s="916">
        <v>42.2</v>
      </c>
      <c r="Z171" s="916">
        <v>43.79</v>
      </c>
      <c r="AA171" s="916">
        <v>45.41</v>
      </c>
      <c r="AB171" s="916">
        <v>46.88</v>
      </c>
      <c r="AC171" s="916">
        <v>48.53</v>
      </c>
      <c r="AD171" s="916">
        <v>50.35</v>
      </c>
      <c r="AE171" s="955">
        <v>2.1999999999999999E-2</v>
      </c>
      <c r="AF171" s="916"/>
      <c r="AG171" s="916"/>
      <c r="AH171" s="916"/>
      <c r="AI171" s="916"/>
      <c r="AJ171" s="916"/>
      <c r="AK171" s="916"/>
      <c r="AL171" s="916"/>
      <c r="AM171" s="916"/>
      <c r="AN171" s="916"/>
      <c r="AO171" s="916"/>
      <c r="AP171" s="916"/>
      <c r="AQ171" s="916"/>
      <c r="AR171" s="916"/>
      <c r="AS171" s="916"/>
      <c r="AT171" s="916"/>
      <c r="AU171" s="916"/>
      <c r="AV171" s="916"/>
      <c r="AW171" s="916"/>
      <c r="AX171" s="916"/>
      <c r="AY171" s="916"/>
      <c r="AZ171" s="916"/>
      <c r="BA171" s="916"/>
      <c r="BB171" s="916"/>
      <c r="BC171" s="916"/>
      <c r="BD171" s="916"/>
      <c r="BE171" s="916"/>
      <c r="BF171" s="916"/>
      <c r="BG171" s="916"/>
      <c r="BH171" s="916"/>
      <c r="BI171" s="916"/>
      <c r="BJ171" s="916"/>
      <c r="BK171" s="916"/>
      <c r="BL171" s="916"/>
      <c r="BM171" s="916"/>
      <c r="BN171" s="916"/>
      <c r="BO171" s="916"/>
      <c r="BP171" s="916"/>
      <c r="BQ171" s="916"/>
      <c r="BR171" s="916"/>
      <c r="BS171" s="916"/>
      <c r="BT171" s="916"/>
    </row>
    <row r="172" spans="1:72" x14ac:dyDescent="0.2">
      <c r="A172" s="916" t="s">
        <v>611</v>
      </c>
      <c r="B172" s="916">
        <v>8.99</v>
      </c>
      <c r="C172" s="916">
        <v>14.49</v>
      </c>
      <c r="D172" s="916">
        <v>9</v>
      </c>
      <c r="E172" s="916">
        <v>10.51</v>
      </c>
      <c r="F172" s="916">
        <v>10.77</v>
      </c>
      <c r="G172" s="916">
        <v>12.17</v>
      </c>
      <c r="H172" s="916">
        <v>13.4</v>
      </c>
      <c r="I172" s="916">
        <v>14.45</v>
      </c>
      <c r="J172" s="916">
        <v>15.13</v>
      </c>
      <c r="K172" s="916">
        <v>15.77</v>
      </c>
      <c r="L172" s="916">
        <v>16.670000000000002</v>
      </c>
      <c r="M172" s="916">
        <v>17.43</v>
      </c>
      <c r="N172" s="916">
        <v>17.940000000000001</v>
      </c>
      <c r="O172" s="916">
        <v>18.32</v>
      </c>
      <c r="P172" s="916">
        <v>19</v>
      </c>
      <c r="Q172" s="916">
        <v>19.57</v>
      </c>
      <c r="R172" s="916">
        <v>20.260000000000002</v>
      </c>
      <c r="S172" s="916">
        <v>20.94</v>
      </c>
      <c r="T172" s="916">
        <v>21.63</v>
      </c>
      <c r="U172" s="916">
        <v>22.13</v>
      </c>
      <c r="V172" s="916">
        <v>23.02</v>
      </c>
      <c r="W172" s="916">
        <v>23.85</v>
      </c>
      <c r="X172" s="916">
        <v>24.8</v>
      </c>
      <c r="Y172" s="916">
        <v>25.81</v>
      </c>
      <c r="Z172" s="916">
        <v>26.88</v>
      </c>
      <c r="AA172" s="916">
        <v>27.91</v>
      </c>
      <c r="AB172" s="916">
        <v>28.9</v>
      </c>
      <c r="AC172" s="916">
        <v>30.02</v>
      </c>
      <c r="AD172" s="916">
        <v>31.26</v>
      </c>
      <c r="AE172" s="955">
        <v>2.9000000000000001E-2</v>
      </c>
      <c r="AF172" s="916"/>
      <c r="AG172" s="916"/>
      <c r="AH172" s="916"/>
      <c r="AI172" s="916"/>
      <c r="AJ172" s="916"/>
      <c r="AK172" s="916"/>
      <c r="AL172" s="916"/>
      <c r="AM172" s="916"/>
      <c r="AN172" s="916"/>
      <c r="AO172" s="916"/>
      <c r="AP172" s="916"/>
      <c r="AQ172" s="916"/>
      <c r="AR172" s="916"/>
      <c r="AS172" s="916"/>
      <c r="AT172" s="916"/>
      <c r="AU172" s="916"/>
      <c r="AV172" s="916"/>
      <c r="AW172" s="916"/>
      <c r="AX172" s="916"/>
      <c r="AY172" s="916"/>
      <c r="AZ172" s="916"/>
      <c r="BA172" s="916"/>
      <c r="BB172" s="916"/>
      <c r="BC172" s="916"/>
      <c r="BD172" s="916"/>
      <c r="BE172" s="916"/>
      <c r="BF172" s="916"/>
      <c r="BG172" s="916"/>
      <c r="BH172" s="916"/>
      <c r="BI172" s="916"/>
      <c r="BJ172" s="916"/>
      <c r="BK172" s="916"/>
      <c r="BL172" s="916"/>
      <c r="BM172" s="916"/>
      <c r="BN172" s="916"/>
      <c r="BO172" s="916"/>
      <c r="BP172" s="916"/>
      <c r="BQ172" s="916"/>
      <c r="BR172" s="916"/>
      <c r="BS172" s="916"/>
      <c r="BT172" s="916"/>
    </row>
    <row r="173" spans="1:72" x14ac:dyDescent="0.2">
      <c r="A173" s="916" t="s">
        <v>622</v>
      </c>
      <c r="B173" s="916">
        <v>13.54</v>
      </c>
      <c r="C173" s="916">
        <v>15.96</v>
      </c>
      <c r="D173" s="916">
        <v>11.54</v>
      </c>
      <c r="E173" s="916">
        <v>12.36</v>
      </c>
      <c r="F173" s="916">
        <v>13.66</v>
      </c>
      <c r="G173" s="916">
        <v>14.28</v>
      </c>
      <c r="H173" s="916">
        <v>14.39</v>
      </c>
      <c r="I173" s="916">
        <v>14.52</v>
      </c>
      <c r="J173" s="916">
        <v>14.9</v>
      </c>
      <c r="K173" s="916">
        <v>15.21</v>
      </c>
      <c r="L173" s="916">
        <v>15.46</v>
      </c>
      <c r="M173" s="916">
        <v>15.74</v>
      </c>
      <c r="N173" s="916">
        <v>16.04</v>
      </c>
      <c r="O173" s="916">
        <v>16.43</v>
      </c>
      <c r="P173" s="916">
        <v>16.8</v>
      </c>
      <c r="Q173" s="916">
        <v>17.32</v>
      </c>
      <c r="R173" s="916">
        <v>17.64</v>
      </c>
      <c r="S173" s="916">
        <v>17.829999999999998</v>
      </c>
      <c r="T173" s="916">
        <v>18.23</v>
      </c>
      <c r="U173" s="916">
        <v>18.760000000000002</v>
      </c>
      <c r="V173" s="916">
        <v>19.309999999999999</v>
      </c>
      <c r="W173" s="916">
        <v>19.98</v>
      </c>
      <c r="X173" s="916">
        <v>20.67</v>
      </c>
      <c r="Y173" s="916">
        <v>21.42</v>
      </c>
      <c r="Z173" s="916">
        <v>22.31</v>
      </c>
      <c r="AA173" s="916">
        <v>22.94</v>
      </c>
      <c r="AB173" s="916">
        <v>23.44</v>
      </c>
      <c r="AC173" s="916">
        <v>24.19</v>
      </c>
      <c r="AD173" s="916">
        <v>24.84</v>
      </c>
      <c r="AE173" s="955">
        <v>1.7000000000000001E-2</v>
      </c>
      <c r="AF173" s="916"/>
      <c r="AG173" s="916"/>
      <c r="AH173" s="916"/>
      <c r="AI173" s="916"/>
      <c r="AJ173" s="916"/>
      <c r="AK173" s="916"/>
      <c r="AL173" s="916"/>
      <c r="AM173" s="916"/>
      <c r="AN173" s="916"/>
      <c r="AO173" s="916"/>
      <c r="AP173" s="916"/>
      <c r="AQ173" s="916"/>
      <c r="AR173" s="916"/>
      <c r="AS173" s="916"/>
      <c r="AT173" s="916"/>
      <c r="AU173" s="916"/>
      <c r="AV173" s="916"/>
      <c r="AW173" s="916"/>
      <c r="AX173" s="916"/>
      <c r="AY173" s="916"/>
      <c r="AZ173" s="916"/>
      <c r="BA173" s="916"/>
      <c r="BB173" s="916"/>
      <c r="BC173" s="916"/>
      <c r="BD173" s="916"/>
      <c r="BE173" s="916"/>
      <c r="BF173" s="916"/>
      <c r="BG173" s="916"/>
      <c r="BH173" s="916"/>
      <c r="BI173" s="916"/>
      <c r="BJ173" s="916"/>
      <c r="BK173" s="916"/>
      <c r="BL173" s="916"/>
      <c r="BM173" s="916"/>
      <c r="BN173" s="916"/>
      <c r="BO173" s="916"/>
      <c r="BP173" s="916"/>
      <c r="BQ173" s="916"/>
      <c r="BR173" s="916"/>
      <c r="BS173" s="916"/>
      <c r="BT173" s="916"/>
    </row>
    <row r="174" spans="1:72" x14ac:dyDescent="0.2">
      <c r="A174" s="916" t="s">
        <v>479</v>
      </c>
      <c r="B174" s="916">
        <v>31.32</v>
      </c>
      <c r="C174" s="916">
        <v>33.729999999999997</v>
      </c>
      <c r="D174" s="916">
        <v>32.79</v>
      </c>
      <c r="E174" s="916">
        <v>31.2</v>
      </c>
      <c r="F174" s="916">
        <v>28.83</v>
      </c>
      <c r="G174" s="916">
        <v>31.39</v>
      </c>
      <c r="H174" s="916">
        <v>32.01</v>
      </c>
      <c r="I174" s="916">
        <v>31.85</v>
      </c>
      <c r="J174" s="916">
        <v>32.08</v>
      </c>
      <c r="K174" s="916">
        <v>32.909999999999997</v>
      </c>
      <c r="L174" s="916">
        <v>33.549999999999997</v>
      </c>
      <c r="M174" s="916">
        <v>33.97</v>
      </c>
      <c r="N174" s="916">
        <v>34.26</v>
      </c>
      <c r="O174" s="916">
        <v>34.89</v>
      </c>
      <c r="P174" s="916">
        <v>35.61</v>
      </c>
      <c r="Q174" s="916">
        <v>36.26</v>
      </c>
      <c r="R174" s="916">
        <v>37.11</v>
      </c>
      <c r="S174" s="916">
        <v>38.1</v>
      </c>
      <c r="T174" s="916">
        <v>38.86</v>
      </c>
      <c r="U174" s="916">
        <v>40</v>
      </c>
      <c r="V174" s="916">
        <v>41.47</v>
      </c>
      <c r="W174" s="916">
        <v>43.05</v>
      </c>
      <c r="X174" s="916">
        <v>45.05</v>
      </c>
      <c r="Y174" s="916">
        <v>46.8</v>
      </c>
      <c r="Z174" s="916">
        <v>48.78</v>
      </c>
      <c r="AA174" s="916">
        <v>50.72</v>
      </c>
      <c r="AB174" s="916">
        <v>52.33</v>
      </c>
      <c r="AC174" s="916">
        <v>54.13</v>
      </c>
      <c r="AD174" s="916">
        <v>55.89</v>
      </c>
      <c r="AE174" s="955">
        <v>1.9E-2</v>
      </c>
      <c r="AF174" s="916"/>
      <c r="AG174" s="916"/>
      <c r="AH174" s="916"/>
      <c r="AI174" s="916"/>
      <c r="AJ174" s="916"/>
      <c r="AK174" s="916"/>
      <c r="AL174" s="916"/>
      <c r="AM174" s="916"/>
      <c r="AN174" s="916"/>
      <c r="AO174" s="916"/>
      <c r="AP174" s="916"/>
      <c r="AQ174" s="916"/>
      <c r="AR174" s="916"/>
      <c r="AS174" s="916"/>
      <c r="AT174" s="916"/>
      <c r="AU174" s="916"/>
      <c r="AV174" s="916"/>
      <c r="AW174" s="916"/>
      <c r="AX174" s="916"/>
      <c r="AY174" s="916"/>
      <c r="AZ174" s="916"/>
      <c r="BA174" s="916"/>
      <c r="BB174" s="916"/>
      <c r="BC174" s="916"/>
      <c r="BD174" s="916"/>
      <c r="BE174" s="916"/>
      <c r="BF174" s="916"/>
      <c r="BG174" s="916"/>
      <c r="BH174" s="916"/>
      <c r="BI174" s="916"/>
      <c r="BJ174" s="916"/>
      <c r="BK174" s="916"/>
      <c r="BL174" s="916"/>
      <c r="BM174" s="916"/>
      <c r="BN174" s="916"/>
      <c r="BO174" s="916"/>
      <c r="BP174" s="916"/>
      <c r="BQ174" s="916"/>
      <c r="BR174" s="916"/>
      <c r="BS174" s="916"/>
      <c r="BT174" s="916"/>
    </row>
    <row r="175" spans="1:72" x14ac:dyDescent="0.2">
      <c r="A175" s="916"/>
      <c r="B175" s="916"/>
      <c r="C175" s="916"/>
      <c r="D175" s="916"/>
      <c r="E175" s="916"/>
      <c r="F175" s="916"/>
      <c r="G175" s="916"/>
      <c r="H175" s="916"/>
      <c r="I175" s="916"/>
      <c r="J175" s="916"/>
      <c r="K175" s="916"/>
      <c r="L175" s="916"/>
      <c r="M175" s="916"/>
      <c r="N175" s="916"/>
      <c r="O175" s="916"/>
      <c r="P175" s="916"/>
      <c r="Q175" s="916"/>
      <c r="R175" s="916"/>
      <c r="S175" s="916"/>
      <c r="T175" s="916"/>
      <c r="U175" s="916"/>
      <c r="V175" s="916"/>
      <c r="W175" s="916"/>
      <c r="X175" s="916"/>
      <c r="Y175" s="916"/>
      <c r="Z175" s="916"/>
      <c r="AA175" s="916"/>
      <c r="AB175" s="916"/>
      <c r="AC175" s="916"/>
      <c r="AD175" s="916"/>
      <c r="AE175" s="916"/>
      <c r="AF175" s="916"/>
      <c r="AG175" s="916"/>
      <c r="AH175" s="916"/>
      <c r="AI175" s="916"/>
      <c r="AJ175" s="916"/>
      <c r="AK175" s="916"/>
      <c r="AL175" s="916"/>
      <c r="AM175" s="916"/>
      <c r="AN175" s="916"/>
      <c r="AO175" s="916"/>
      <c r="AP175" s="916"/>
      <c r="AQ175" s="916"/>
      <c r="AR175" s="916"/>
      <c r="AS175" s="916"/>
      <c r="AT175" s="916"/>
      <c r="AU175" s="916"/>
      <c r="AV175" s="916"/>
      <c r="AW175" s="916"/>
      <c r="AX175" s="916"/>
      <c r="AY175" s="916"/>
      <c r="AZ175" s="916"/>
      <c r="BA175" s="916"/>
      <c r="BB175" s="916"/>
      <c r="BC175" s="916"/>
      <c r="BD175" s="916"/>
      <c r="BE175" s="916"/>
      <c r="BF175" s="916"/>
      <c r="BG175" s="916"/>
      <c r="BH175" s="916"/>
      <c r="BI175" s="916"/>
      <c r="BJ175" s="916"/>
      <c r="BK175" s="916"/>
      <c r="BL175" s="916"/>
      <c r="BM175" s="916"/>
      <c r="BN175" s="916"/>
      <c r="BO175" s="916"/>
      <c r="BP175" s="916"/>
      <c r="BQ175" s="916"/>
      <c r="BR175" s="916"/>
      <c r="BS175" s="916"/>
      <c r="BT175" s="916"/>
    </row>
    <row r="176" spans="1:72" x14ac:dyDescent="0.2">
      <c r="A176" s="916" t="s">
        <v>623</v>
      </c>
      <c r="B176" s="916"/>
      <c r="C176" s="916"/>
      <c r="D176" s="916"/>
      <c r="E176" s="916"/>
      <c r="F176" s="916"/>
      <c r="G176" s="916"/>
      <c r="H176" s="916"/>
      <c r="I176" s="916"/>
      <c r="J176" s="916"/>
      <c r="K176" s="916"/>
      <c r="L176" s="916"/>
      <c r="M176" s="916"/>
      <c r="N176" s="916"/>
      <c r="O176" s="916"/>
      <c r="P176" s="916"/>
      <c r="Q176" s="916"/>
      <c r="R176" s="916"/>
      <c r="S176" s="916"/>
      <c r="T176" s="916"/>
      <c r="U176" s="916"/>
      <c r="V176" s="916"/>
      <c r="W176" s="916"/>
      <c r="X176" s="916"/>
      <c r="Y176" s="916"/>
      <c r="Z176" s="916"/>
      <c r="AA176" s="916"/>
      <c r="AB176" s="916"/>
      <c r="AC176" s="916"/>
      <c r="AD176" s="916"/>
      <c r="AE176" s="916"/>
      <c r="AF176" s="916"/>
      <c r="AG176" s="916"/>
      <c r="AH176" s="916"/>
      <c r="AI176" s="916"/>
      <c r="AJ176" s="916"/>
      <c r="AK176" s="916"/>
      <c r="AL176" s="916"/>
      <c r="AM176" s="916"/>
      <c r="AN176" s="916"/>
      <c r="AO176" s="916"/>
      <c r="AP176" s="916"/>
      <c r="AQ176" s="916"/>
      <c r="AR176" s="916"/>
      <c r="AS176" s="916"/>
      <c r="AT176" s="916"/>
      <c r="AU176" s="916"/>
      <c r="AV176" s="916"/>
      <c r="AW176" s="916"/>
      <c r="AX176" s="916"/>
      <c r="AY176" s="916"/>
      <c r="AZ176" s="916"/>
      <c r="BA176" s="916"/>
      <c r="BB176" s="916"/>
      <c r="BC176" s="916"/>
      <c r="BD176" s="916"/>
      <c r="BE176" s="916"/>
      <c r="BF176" s="916"/>
      <c r="BG176" s="916"/>
      <c r="BH176" s="916"/>
      <c r="BI176" s="916"/>
      <c r="BJ176" s="916"/>
      <c r="BK176" s="916"/>
      <c r="BL176" s="916"/>
      <c r="BM176" s="916"/>
      <c r="BN176" s="916"/>
      <c r="BO176" s="916"/>
      <c r="BP176" s="916"/>
      <c r="BQ176" s="916"/>
      <c r="BR176" s="916"/>
      <c r="BS176" s="916"/>
      <c r="BT176" s="916"/>
    </row>
    <row r="177" spans="1:72" x14ac:dyDescent="0.2">
      <c r="A177" s="916" t="s">
        <v>610</v>
      </c>
      <c r="B177" s="916">
        <v>15.41</v>
      </c>
      <c r="C177" s="916">
        <v>19.37</v>
      </c>
      <c r="D177" s="916">
        <v>14.46</v>
      </c>
      <c r="E177" s="916">
        <v>14.33</v>
      </c>
      <c r="F177" s="916">
        <v>14.68</v>
      </c>
      <c r="G177" s="916">
        <v>16.09</v>
      </c>
      <c r="H177" s="916">
        <v>17.46</v>
      </c>
      <c r="I177" s="916">
        <v>18.510000000000002</v>
      </c>
      <c r="J177" s="916">
        <v>19.350000000000001</v>
      </c>
      <c r="K177" s="916">
        <v>20.67</v>
      </c>
      <c r="L177" s="916">
        <v>21.81</v>
      </c>
      <c r="M177" s="916">
        <v>22.96</v>
      </c>
      <c r="N177" s="916">
        <v>23.88</v>
      </c>
      <c r="O177" s="916">
        <v>24.75</v>
      </c>
      <c r="P177" s="916">
        <v>25.46</v>
      </c>
      <c r="Q177" s="916">
        <v>26.24</v>
      </c>
      <c r="R177" s="916">
        <v>27.22</v>
      </c>
      <c r="S177" s="916">
        <v>28.03</v>
      </c>
      <c r="T177" s="916">
        <v>28.98</v>
      </c>
      <c r="U177" s="916">
        <v>29.93</v>
      </c>
      <c r="V177" s="916">
        <v>30.88</v>
      </c>
      <c r="W177" s="916">
        <v>32</v>
      </c>
      <c r="X177" s="916">
        <v>33.28</v>
      </c>
      <c r="Y177" s="916">
        <v>34.28</v>
      </c>
      <c r="Z177" s="916">
        <v>35.71</v>
      </c>
      <c r="AA177" s="916">
        <v>37.130000000000003</v>
      </c>
      <c r="AB177" s="916">
        <v>38.46</v>
      </c>
      <c r="AC177" s="916">
        <v>39.950000000000003</v>
      </c>
      <c r="AD177" s="916">
        <v>41.52</v>
      </c>
      <c r="AE177" s="955">
        <v>2.9000000000000001E-2</v>
      </c>
      <c r="AF177" s="916"/>
      <c r="AG177" s="916"/>
      <c r="AH177" s="916"/>
      <c r="AI177" s="916"/>
      <c r="AJ177" s="916"/>
      <c r="AK177" s="916"/>
      <c r="AL177" s="916"/>
      <c r="AM177" s="916"/>
      <c r="AN177" s="916"/>
      <c r="AO177" s="916"/>
      <c r="AP177" s="916"/>
      <c r="AQ177" s="916"/>
      <c r="AR177" s="916"/>
      <c r="AS177" s="916"/>
      <c r="AT177" s="916"/>
      <c r="AU177" s="916"/>
      <c r="AV177" s="916"/>
      <c r="AW177" s="916"/>
      <c r="AX177" s="916"/>
      <c r="AY177" s="916"/>
      <c r="AZ177" s="916"/>
      <c r="BA177" s="916"/>
      <c r="BB177" s="916"/>
      <c r="BC177" s="916"/>
      <c r="BD177" s="916"/>
      <c r="BE177" s="916"/>
      <c r="BF177" s="916"/>
      <c r="BG177" s="916"/>
      <c r="BH177" s="916"/>
      <c r="BI177" s="916"/>
      <c r="BJ177" s="916"/>
      <c r="BK177" s="916"/>
      <c r="BL177" s="916"/>
      <c r="BM177" s="916"/>
      <c r="BN177" s="916"/>
      <c r="BO177" s="916"/>
      <c r="BP177" s="916"/>
      <c r="BQ177" s="916"/>
      <c r="BR177" s="916"/>
      <c r="BS177" s="916"/>
      <c r="BT177" s="916"/>
    </row>
    <row r="178" spans="1:72" x14ac:dyDescent="0.2">
      <c r="A178" s="916" t="s">
        <v>611</v>
      </c>
      <c r="B178" s="916">
        <v>8.84</v>
      </c>
      <c r="C178" s="916">
        <v>14.56</v>
      </c>
      <c r="D178" s="916">
        <v>8.92</v>
      </c>
      <c r="E178" s="916">
        <v>12.37</v>
      </c>
      <c r="F178" s="916">
        <v>12.7</v>
      </c>
      <c r="G178" s="916">
        <v>14.13</v>
      </c>
      <c r="H178" s="916">
        <v>15.48</v>
      </c>
      <c r="I178" s="916">
        <v>16.55</v>
      </c>
      <c r="J178" s="916">
        <v>17.3</v>
      </c>
      <c r="K178" s="916">
        <v>18.07</v>
      </c>
      <c r="L178" s="916">
        <v>19.010000000000002</v>
      </c>
      <c r="M178" s="916">
        <v>19.88</v>
      </c>
      <c r="N178" s="916">
        <v>20.54</v>
      </c>
      <c r="O178" s="916">
        <v>21.05</v>
      </c>
      <c r="P178" s="916">
        <v>21.8</v>
      </c>
      <c r="Q178" s="916">
        <v>22.48</v>
      </c>
      <c r="R178" s="916">
        <v>23.26</v>
      </c>
      <c r="S178" s="916">
        <v>24.05</v>
      </c>
      <c r="T178" s="916">
        <v>24.83</v>
      </c>
      <c r="U178" s="916">
        <v>25.46</v>
      </c>
      <c r="V178" s="916">
        <v>26.42</v>
      </c>
      <c r="W178" s="916">
        <v>27.37</v>
      </c>
      <c r="X178" s="916">
        <v>28.4</v>
      </c>
      <c r="Y178" s="916">
        <v>29.5</v>
      </c>
      <c r="Z178" s="916">
        <v>30.7</v>
      </c>
      <c r="AA178" s="916">
        <v>31.85</v>
      </c>
      <c r="AB178" s="916">
        <v>32.92</v>
      </c>
      <c r="AC178" s="916">
        <v>34.19</v>
      </c>
      <c r="AD178" s="916">
        <v>35.49</v>
      </c>
      <c r="AE178" s="955">
        <v>3.4000000000000002E-2</v>
      </c>
      <c r="AF178" s="916"/>
      <c r="AG178" s="916"/>
      <c r="AH178" s="916"/>
      <c r="AI178" s="916"/>
      <c r="AJ178" s="916"/>
      <c r="AK178" s="916"/>
      <c r="AL178" s="916"/>
      <c r="AM178" s="916"/>
      <c r="AN178" s="916"/>
      <c r="AO178" s="916"/>
      <c r="AP178" s="916"/>
      <c r="AQ178" s="916"/>
      <c r="AR178" s="916"/>
      <c r="AS178" s="916"/>
      <c r="AT178" s="916"/>
      <c r="AU178" s="916"/>
      <c r="AV178" s="916"/>
      <c r="AW178" s="916"/>
      <c r="AX178" s="916"/>
      <c r="AY178" s="916"/>
      <c r="AZ178" s="916"/>
      <c r="BA178" s="916"/>
      <c r="BB178" s="916"/>
      <c r="BC178" s="916"/>
      <c r="BD178" s="916"/>
      <c r="BE178" s="916"/>
      <c r="BF178" s="916"/>
      <c r="BG178" s="916"/>
      <c r="BH178" s="916"/>
      <c r="BI178" s="916"/>
      <c r="BJ178" s="916"/>
      <c r="BK178" s="916"/>
      <c r="BL178" s="916"/>
      <c r="BM178" s="916"/>
      <c r="BN178" s="916"/>
      <c r="BO178" s="916"/>
      <c r="BP178" s="916"/>
      <c r="BQ178" s="916"/>
      <c r="BR178" s="916"/>
      <c r="BS178" s="916"/>
      <c r="BT178" s="916"/>
    </row>
    <row r="179" spans="1:72" x14ac:dyDescent="0.2">
      <c r="A179" s="916" t="s">
        <v>510</v>
      </c>
      <c r="B179" s="916">
        <v>7.1</v>
      </c>
      <c r="C179" s="916">
        <v>9.09</v>
      </c>
      <c r="D179" s="916">
        <v>4.2</v>
      </c>
      <c r="E179" s="916">
        <v>4.99</v>
      </c>
      <c r="F179" s="916">
        <v>6.07</v>
      </c>
      <c r="G179" s="916">
        <v>6.53</v>
      </c>
      <c r="H179" s="916">
        <v>6.4</v>
      </c>
      <c r="I179" s="916">
        <v>6.47</v>
      </c>
      <c r="J179" s="916">
        <v>6.77</v>
      </c>
      <c r="K179" s="916">
        <v>6.99</v>
      </c>
      <c r="L179" s="916">
        <v>7.13</v>
      </c>
      <c r="M179" s="916">
        <v>7.32</v>
      </c>
      <c r="N179" s="916">
        <v>7.53</v>
      </c>
      <c r="O179" s="916">
        <v>7.85</v>
      </c>
      <c r="P179" s="916">
        <v>8.1300000000000008</v>
      </c>
      <c r="Q179" s="916">
        <v>8.5399999999999991</v>
      </c>
      <c r="R179" s="916">
        <v>8.7799999999999994</v>
      </c>
      <c r="S179" s="916">
        <v>8.91</v>
      </c>
      <c r="T179" s="916">
        <v>9.17</v>
      </c>
      <c r="U179" s="916">
        <v>9.57</v>
      </c>
      <c r="V179" s="916">
        <v>9.9700000000000006</v>
      </c>
      <c r="W179" s="916">
        <v>10.51</v>
      </c>
      <c r="X179" s="916">
        <v>11.09</v>
      </c>
      <c r="Y179" s="916">
        <v>11.66</v>
      </c>
      <c r="Z179" s="916">
        <v>12.38</v>
      </c>
      <c r="AA179" s="916">
        <v>12.84</v>
      </c>
      <c r="AB179" s="916">
        <v>13.16</v>
      </c>
      <c r="AC179" s="916">
        <v>13.75</v>
      </c>
      <c r="AD179" s="916">
        <v>14.22</v>
      </c>
      <c r="AE179" s="955">
        <v>1.7000000000000001E-2</v>
      </c>
      <c r="AF179" s="916"/>
      <c r="AG179" s="916"/>
      <c r="AH179" s="916"/>
      <c r="AI179" s="916"/>
      <c r="AJ179" s="916"/>
      <c r="AK179" s="916"/>
      <c r="AL179" s="916"/>
      <c r="AM179" s="916"/>
      <c r="AN179" s="916"/>
      <c r="AO179" s="916"/>
      <c r="AP179" s="916"/>
      <c r="AQ179" s="916"/>
      <c r="AR179" s="916"/>
      <c r="AS179" s="916"/>
      <c r="AT179" s="916"/>
      <c r="AU179" s="916"/>
      <c r="AV179" s="916"/>
      <c r="AW179" s="916"/>
      <c r="AX179" s="916"/>
      <c r="AY179" s="916"/>
      <c r="AZ179" s="916"/>
      <c r="BA179" s="916"/>
      <c r="BB179" s="916"/>
      <c r="BC179" s="916"/>
      <c r="BD179" s="916"/>
      <c r="BE179" s="916"/>
      <c r="BF179" s="916"/>
      <c r="BG179" s="916"/>
      <c r="BH179" s="916"/>
      <c r="BI179" s="916"/>
      <c r="BJ179" s="916"/>
      <c r="BK179" s="916"/>
      <c r="BL179" s="916"/>
      <c r="BM179" s="916"/>
      <c r="BN179" s="916"/>
      <c r="BO179" s="916"/>
      <c r="BP179" s="916"/>
      <c r="BQ179" s="916"/>
      <c r="BR179" s="916"/>
      <c r="BS179" s="916"/>
      <c r="BT179" s="916"/>
    </row>
    <row r="180" spans="1:72" x14ac:dyDescent="0.2">
      <c r="A180" s="916" t="s">
        <v>624</v>
      </c>
      <c r="B180" s="916">
        <v>1.76</v>
      </c>
      <c r="C180" s="916">
        <v>2.0499999999999998</v>
      </c>
      <c r="D180" s="916">
        <v>2.1800000000000002</v>
      </c>
      <c r="E180" s="916">
        <v>2.0499999999999998</v>
      </c>
      <c r="F180" s="916">
        <v>2.0699999999999998</v>
      </c>
      <c r="G180" s="916">
        <v>2.1</v>
      </c>
      <c r="H180" s="916">
        <v>2.15</v>
      </c>
      <c r="I180" s="916">
        <v>2.19</v>
      </c>
      <c r="J180" s="916">
        <v>2.2400000000000002</v>
      </c>
      <c r="K180" s="916">
        <v>2.2599999999999998</v>
      </c>
      <c r="L180" s="916">
        <v>2.31</v>
      </c>
      <c r="M180" s="916">
        <v>2.34</v>
      </c>
      <c r="N180" s="916">
        <v>2.38</v>
      </c>
      <c r="O180" s="916">
        <v>2.42</v>
      </c>
      <c r="P180" s="916">
        <v>2.4700000000000002</v>
      </c>
      <c r="Q180" s="916">
        <v>2.54</v>
      </c>
      <c r="R180" s="916">
        <v>2.59</v>
      </c>
      <c r="S180" s="916">
        <v>2.65</v>
      </c>
      <c r="T180" s="916">
        <v>2.69</v>
      </c>
      <c r="U180" s="916">
        <v>2.77</v>
      </c>
      <c r="V180" s="916">
        <v>2.82</v>
      </c>
      <c r="W180" s="916">
        <v>2.9</v>
      </c>
      <c r="X180" s="916">
        <v>2.98</v>
      </c>
      <c r="Y180" s="916">
        <v>3.06</v>
      </c>
      <c r="Z180" s="916">
        <v>3.15</v>
      </c>
      <c r="AA180" s="916">
        <v>3.23</v>
      </c>
      <c r="AB180" s="916">
        <v>3.32</v>
      </c>
      <c r="AC180" s="916">
        <v>3.41</v>
      </c>
      <c r="AD180" s="916">
        <v>3.51</v>
      </c>
      <c r="AE180" s="955">
        <v>0.02</v>
      </c>
      <c r="AF180" s="916"/>
      <c r="AG180" s="916"/>
      <c r="AH180" s="916"/>
      <c r="AI180" s="916"/>
      <c r="AJ180" s="916"/>
      <c r="AK180" s="916"/>
      <c r="AL180" s="916"/>
      <c r="AM180" s="916"/>
      <c r="AN180" s="916"/>
      <c r="AO180" s="916"/>
      <c r="AP180" s="916"/>
      <c r="AQ180" s="916"/>
      <c r="AR180" s="916"/>
      <c r="AS180" s="916"/>
      <c r="AT180" s="916"/>
      <c r="AU180" s="916"/>
      <c r="AV180" s="916"/>
      <c r="AW180" s="916"/>
      <c r="AX180" s="916"/>
      <c r="AY180" s="916"/>
      <c r="AZ180" s="916"/>
      <c r="BA180" s="916"/>
      <c r="BB180" s="916"/>
      <c r="BC180" s="916"/>
      <c r="BD180" s="916"/>
      <c r="BE180" s="916"/>
      <c r="BF180" s="916"/>
      <c r="BG180" s="916"/>
      <c r="BH180" s="916"/>
      <c r="BI180" s="916"/>
      <c r="BJ180" s="916"/>
      <c r="BK180" s="916"/>
      <c r="BL180" s="916"/>
      <c r="BM180" s="916"/>
      <c r="BN180" s="916"/>
      <c r="BO180" s="916"/>
      <c r="BP180" s="916"/>
      <c r="BQ180" s="916"/>
      <c r="BR180" s="916"/>
      <c r="BS180" s="916"/>
      <c r="BT180" s="916"/>
    </row>
    <row r="181" spans="1:72" x14ac:dyDescent="0.2">
      <c r="A181" s="916"/>
      <c r="B181" s="916"/>
      <c r="C181" s="916"/>
      <c r="D181" s="916"/>
      <c r="E181" s="916"/>
      <c r="F181" s="916"/>
      <c r="G181" s="916"/>
      <c r="H181" s="916"/>
      <c r="I181" s="916"/>
      <c r="J181" s="916"/>
      <c r="K181" s="916"/>
      <c r="L181" s="916"/>
      <c r="M181" s="916"/>
      <c r="N181" s="916"/>
      <c r="O181" s="916"/>
      <c r="P181" s="916"/>
      <c r="Q181" s="916"/>
      <c r="R181" s="916"/>
      <c r="S181" s="916"/>
      <c r="T181" s="916"/>
      <c r="U181" s="916"/>
      <c r="V181" s="916"/>
      <c r="W181" s="916"/>
      <c r="X181" s="916"/>
      <c r="Y181" s="916"/>
      <c r="Z181" s="916"/>
      <c r="AA181" s="916"/>
      <c r="AB181" s="916"/>
      <c r="AC181" s="916"/>
      <c r="AD181" s="916"/>
      <c r="AE181" s="916"/>
      <c r="AF181" s="916"/>
      <c r="AG181" s="916"/>
      <c r="AH181" s="916"/>
      <c r="AI181" s="916"/>
      <c r="AJ181" s="916"/>
      <c r="AK181" s="916"/>
      <c r="AL181" s="916"/>
      <c r="AM181" s="916"/>
      <c r="AN181" s="916"/>
      <c r="AO181" s="916"/>
      <c r="AP181" s="916"/>
      <c r="AQ181" s="916"/>
      <c r="AR181" s="916"/>
      <c r="AS181" s="916"/>
      <c r="AT181" s="916"/>
      <c r="AU181" s="916"/>
      <c r="AV181" s="916"/>
      <c r="AW181" s="916"/>
      <c r="AX181" s="916"/>
      <c r="AY181" s="916"/>
      <c r="AZ181" s="916"/>
      <c r="BA181" s="916"/>
      <c r="BB181" s="916"/>
      <c r="BC181" s="916"/>
      <c r="BD181" s="916"/>
      <c r="BE181" s="916"/>
      <c r="BF181" s="916"/>
      <c r="BG181" s="916"/>
      <c r="BH181" s="916"/>
      <c r="BI181" s="916"/>
      <c r="BJ181" s="916"/>
      <c r="BK181" s="916"/>
      <c r="BL181" s="916"/>
      <c r="BM181" s="916"/>
      <c r="BN181" s="916"/>
      <c r="BO181" s="916"/>
      <c r="BP181" s="916"/>
      <c r="BQ181" s="916"/>
      <c r="BR181" s="916"/>
      <c r="BS181" s="916"/>
      <c r="BT181" s="916"/>
    </row>
    <row r="182" spans="1:72" x14ac:dyDescent="0.2">
      <c r="A182" s="916" t="s">
        <v>625</v>
      </c>
      <c r="B182" s="916"/>
      <c r="C182" s="916"/>
      <c r="D182" s="916"/>
      <c r="E182" s="916"/>
      <c r="F182" s="916"/>
      <c r="G182" s="916"/>
      <c r="H182" s="916"/>
      <c r="I182" s="916"/>
      <c r="J182" s="916"/>
      <c r="K182" s="916"/>
      <c r="L182" s="916"/>
      <c r="M182" s="916"/>
      <c r="N182" s="916"/>
      <c r="O182" s="916"/>
      <c r="P182" s="916"/>
      <c r="Q182" s="916"/>
      <c r="R182" s="916"/>
      <c r="S182" s="916"/>
      <c r="T182" s="916"/>
      <c r="U182" s="916"/>
      <c r="V182" s="916"/>
      <c r="W182" s="916"/>
      <c r="X182" s="916"/>
      <c r="Y182" s="916"/>
      <c r="Z182" s="916"/>
      <c r="AA182" s="916"/>
      <c r="AB182" s="916"/>
      <c r="AC182" s="916"/>
      <c r="AD182" s="916"/>
      <c r="AE182" s="916"/>
      <c r="AF182" s="916"/>
      <c r="AG182" s="916"/>
      <c r="AH182" s="916"/>
      <c r="AI182" s="916"/>
      <c r="AJ182" s="916"/>
      <c r="AK182" s="916"/>
      <c r="AL182" s="916"/>
      <c r="AM182" s="916"/>
      <c r="AN182" s="916"/>
      <c r="AO182" s="916"/>
      <c r="AP182" s="916"/>
      <c r="AQ182" s="916"/>
      <c r="AR182" s="916"/>
      <c r="AS182" s="916"/>
      <c r="AT182" s="916"/>
      <c r="AU182" s="916"/>
      <c r="AV182" s="916"/>
      <c r="AW182" s="916"/>
      <c r="AX182" s="916"/>
      <c r="AY182" s="916"/>
      <c r="AZ182" s="916"/>
      <c r="BA182" s="916"/>
      <c r="BB182" s="916"/>
      <c r="BC182" s="916"/>
      <c r="BD182" s="916"/>
      <c r="BE182" s="916"/>
      <c r="BF182" s="916"/>
      <c r="BG182" s="916"/>
      <c r="BH182" s="916"/>
      <c r="BI182" s="916"/>
      <c r="BJ182" s="916"/>
      <c r="BK182" s="916"/>
      <c r="BL182" s="916"/>
      <c r="BM182" s="916"/>
      <c r="BN182" s="916"/>
      <c r="BO182" s="916"/>
      <c r="BP182" s="916"/>
      <c r="BQ182" s="916"/>
      <c r="BR182" s="916"/>
      <c r="BS182" s="916"/>
      <c r="BT182" s="916"/>
    </row>
    <row r="183" spans="1:72" x14ac:dyDescent="0.2">
      <c r="A183" s="916" t="s">
        <v>609</v>
      </c>
      <c r="B183" s="916">
        <v>18.53</v>
      </c>
      <c r="C183" s="916">
        <v>20.190000000000001</v>
      </c>
      <c r="D183" s="916">
        <v>18.64</v>
      </c>
      <c r="E183" s="916">
        <v>17.36</v>
      </c>
      <c r="F183" s="916">
        <v>17.61</v>
      </c>
      <c r="G183" s="916">
        <v>18.920000000000002</v>
      </c>
      <c r="H183" s="916">
        <v>20.43</v>
      </c>
      <c r="I183" s="916">
        <v>21.72</v>
      </c>
      <c r="J183" s="916">
        <v>22.62</v>
      </c>
      <c r="K183" s="916">
        <v>23.64</v>
      </c>
      <c r="L183" s="916">
        <v>24.56</v>
      </c>
      <c r="M183" s="916">
        <v>25.55</v>
      </c>
      <c r="N183" s="916">
        <v>26.28</v>
      </c>
      <c r="O183" s="916">
        <v>27.06</v>
      </c>
      <c r="P183" s="916">
        <v>27.91</v>
      </c>
      <c r="Q183" s="916">
        <v>28.78</v>
      </c>
      <c r="R183" s="916">
        <v>29.75</v>
      </c>
      <c r="S183" s="916">
        <v>30.7</v>
      </c>
      <c r="T183" s="916">
        <v>31.68</v>
      </c>
      <c r="U183" s="916">
        <v>32.54</v>
      </c>
      <c r="V183" s="916">
        <v>33.6</v>
      </c>
      <c r="W183" s="916">
        <v>34.69</v>
      </c>
      <c r="X183" s="916">
        <v>35.950000000000003</v>
      </c>
      <c r="Y183" s="916">
        <v>37.049999999999997</v>
      </c>
      <c r="Z183" s="916">
        <v>38.44</v>
      </c>
      <c r="AA183" s="916">
        <v>39.83</v>
      </c>
      <c r="AB183" s="916">
        <v>41.29</v>
      </c>
      <c r="AC183" s="916">
        <v>42.77</v>
      </c>
      <c r="AD183" s="916">
        <v>44.32</v>
      </c>
      <c r="AE183" s="955">
        <v>0.03</v>
      </c>
      <c r="AF183" s="916"/>
      <c r="AG183" s="916"/>
      <c r="AH183" s="916"/>
      <c r="AI183" s="916"/>
      <c r="AJ183" s="916"/>
      <c r="AK183" s="916"/>
      <c r="AL183" s="916"/>
      <c r="AM183" s="916"/>
      <c r="AN183" s="916"/>
      <c r="AO183" s="916"/>
      <c r="AP183" s="916"/>
      <c r="AQ183" s="916"/>
      <c r="AR183" s="916"/>
      <c r="AS183" s="916"/>
      <c r="AT183" s="916"/>
      <c r="AU183" s="916"/>
      <c r="AV183" s="916"/>
      <c r="AW183" s="916"/>
      <c r="AX183" s="916"/>
      <c r="AY183" s="916"/>
      <c r="AZ183" s="916"/>
      <c r="BA183" s="916"/>
      <c r="BB183" s="916"/>
      <c r="BC183" s="916"/>
      <c r="BD183" s="916"/>
      <c r="BE183" s="916"/>
      <c r="BF183" s="916"/>
      <c r="BG183" s="916"/>
      <c r="BH183" s="916"/>
      <c r="BI183" s="916"/>
      <c r="BJ183" s="916"/>
      <c r="BK183" s="916"/>
      <c r="BL183" s="916"/>
      <c r="BM183" s="916"/>
      <c r="BN183" s="916"/>
      <c r="BO183" s="916"/>
      <c r="BP183" s="916"/>
      <c r="BQ183" s="916"/>
      <c r="BR183" s="916"/>
      <c r="BS183" s="916"/>
      <c r="BT183" s="916"/>
    </row>
    <row r="184" spans="1:72" x14ac:dyDescent="0.2">
      <c r="A184" s="916" t="s">
        <v>618</v>
      </c>
      <c r="B184" s="916">
        <v>26.83</v>
      </c>
      <c r="C184" s="916">
        <v>26.93</v>
      </c>
      <c r="D184" s="916">
        <v>23.64</v>
      </c>
      <c r="E184" s="916">
        <v>21.26</v>
      </c>
      <c r="F184" s="916">
        <v>21.89</v>
      </c>
      <c r="G184" s="916">
        <v>23.43</v>
      </c>
      <c r="H184" s="916">
        <v>26.07</v>
      </c>
      <c r="I184" s="916">
        <v>27.64</v>
      </c>
      <c r="J184" s="916">
        <v>28.47</v>
      </c>
      <c r="K184" s="916">
        <v>28.45</v>
      </c>
      <c r="L184" s="916">
        <v>29.92</v>
      </c>
      <c r="M184" s="916">
        <v>31.23</v>
      </c>
      <c r="N184" s="916">
        <v>31.97</v>
      </c>
      <c r="O184" s="916">
        <v>32.94</v>
      </c>
      <c r="P184" s="916">
        <v>34.090000000000003</v>
      </c>
      <c r="Q184" s="916">
        <v>35.479999999999997</v>
      </c>
      <c r="R184" s="916">
        <v>36.880000000000003</v>
      </c>
      <c r="S184" s="916">
        <v>37.979999999999997</v>
      </c>
      <c r="T184" s="916">
        <v>39.17</v>
      </c>
      <c r="U184" s="916">
        <v>40.479999999999997</v>
      </c>
      <c r="V184" s="916">
        <v>41.72</v>
      </c>
      <c r="W184" s="916">
        <v>43.4</v>
      </c>
      <c r="X184" s="916">
        <v>44.96</v>
      </c>
      <c r="Y184" s="916">
        <v>46.25</v>
      </c>
      <c r="Z184" s="916">
        <v>47.62</v>
      </c>
      <c r="AA184" s="916">
        <v>49.36</v>
      </c>
      <c r="AB184" s="916">
        <v>50.75</v>
      </c>
      <c r="AC184" s="916">
        <v>52.29</v>
      </c>
      <c r="AD184" s="916">
        <v>54.17</v>
      </c>
      <c r="AE184" s="955">
        <v>2.5999999999999999E-2</v>
      </c>
      <c r="AF184" s="916"/>
      <c r="AG184" s="916"/>
      <c r="AH184" s="916"/>
      <c r="AI184" s="916"/>
      <c r="AJ184" s="916"/>
      <c r="AK184" s="916"/>
      <c r="AL184" s="916"/>
      <c r="AM184" s="916"/>
      <c r="AN184" s="916"/>
      <c r="AO184" s="916"/>
      <c r="AP184" s="916"/>
      <c r="AQ184" s="916"/>
      <c r="AR184" s="916"/>
      <c r="AS184" s="916"/>
      <c r="AT184" s="916"/>
      <c r="AU184" s="916"/>
      <c r="AV184" s="916"/>
      <c r="AW184" s="916"/>
      <c r="AX184" s="916"/>
      <c r="AY184" s="916"/>
      <c r="AZ184" s="916"/>
      <c r="BA184" s="916"/>
      <c r="BB184" s="916"/>
      <c r="BC184" s="916"/>
      <c r="BD184" s="916"/>
      <c r="BE184" s="916"/>
      <c r="BF184" s="916"/>
      <c r="BG184" s="916"/>
      <c r="BH184" s="916"/>
      <c r="BI184" s="916"/>
      <c r="BJ184" s="916"/>
      <c r="BK184" s="916"/>
      <c r="BL184" s="916"/>
      <c r="BM184" s="916"/>
      <c r="BN184" s="916"/>
      <c r="BO184" s="916"/>
      <c r="BP184" s="916"/>
      <c r="BQ184" s="916"/>
      <c r="BR184" s="916"/>
      <c r="BS184" s="916"/>
      <c r="BT184" s="916"/>
    </row>
    <row r="185" spans="1:72" x14ac:dyDescent="0.2">
      <c r="A185" s="916" t="s">
        <v>619</v>
      </c>
      <c r="B185" s="916">
        <v>23.03</v>
      </c>
      <c r="C185" s="916">
        <v>26.54</v>
      </c>
      <c r="D185" s="916">
        <v>19.440000000000001</v>
      </c>
      <c r="E185" s="916">
        <v>21.17</v>
      </c>
      <c r="F185" s="916">
        <v>21.79</v>
      </c>
      <c r="G185" s="916">
        <v>23.32</v>
      </c>
      <c r="H185" s="916">
        <v>25.87</v>
      </c>
      <c r="I185" s="916">
        <v>27.33</v>
      </c>
      <c r="J185" s="916">
        <v>28.27</v>
      </c>
      <c r="K185" s="916">
        <v>29.42</v>
      </c>
      <c r="L185" s="916">
        <v>30.58</v>
      </c>
      <c r="M185" s="916">
        <v>31.64</v>
      </c>
      <c r="N185" s="916">
        <v>32.6</v>
      </c>
      <c r="O185" s="916">
        <v>33.71</v>
      </c>
      <c r="P185" s="916">
        <v>34.71</v>
      </c>
      <c r="Q185" s="916">
        <v>35.93</v>
      </c>
      <c r="R185" s="916">
        <v>37.020000000000003</v>
      </c>
      <c r="S185" s="916">
        <v>37.950000000000003</v>
      </c>
      <c r="T185" s="916">
        <v>39.17</v>
      </c>
      <c r="U185" s="916">
        <v>40.43</v>
      </c>
      <c r="V185" s="916">
        <v>41.68</v>
      </c>
      <c r="W185" s="916">
        <v>43.21</v>
      </c>
      <c r="X185" s="916">
        <v>44.69</v>
      </c>
      <c r="Y185" s="916">
        <v>45.9</v>
      </c>
      <c r="Z185" s="916">
        <v>47.46</v>
      </c>
      <c r="AA185" s="916">
        <v>49.15</v>
      </c>
      <c r="AB185" s="916">
        <v>50.65</v>
      </c>
      <c r="AC185" s="916">
        <v>52.35</v>
      </c>
      <c r="AD185" s="916">
        <v>54.32</v>
      </c>
      <c r="AE185" s="955">
        <v>2.7E-2</v>
      </c>
      <c r="AF185" s="916"/>
      <c r="AG185" s="916"/>
      <c r="AH185" s="916"/>
      <c r="AI185" s="916"/>
      <c r="AJ185" s="916"/>
      <c r="AK185" s="916"/>
      <c r="AL185" s="916"/>
      <c r="AM185" s="916"/>
      <c r="AN185" s="916"/>
      <c r="AO185" s="916"/>
      <c r="AP185" s="916"/>
      <c r="AQ185" s="916"/>
      <c r="AR185" s="916"/>
      <c r="AS185" s="916"/>
      <c r="AT185" s="916"/>
      <c r="AU185" s="916"/>
      <c r="AV185" s="916"/>
      <c r="AW185" s="916"/>
      <c r="AX185" s="916"/>
      <c r="AY185" s="916"/>
      <c r="AZ185" s="916"/>
      <c r="BA185" s="916"/>
      <c r="BB185" s="916"/>
      <c r="BC185" s="916"/>
      <c r="BD185" s="916"/>
      <c r="BE185" s="916"/>
      <c r="BF185" s="916"/>
      <c r="BG185" s="916"/>
      <c r="BH185" s="916"/>
      <c r="BI185" s="916"/>
      <c r="BJ185" s="916"/>
      <c r="BK185" s="916"/>
      <c r="BL185" s="916"/>
      <c r="BM185" s="916"/>
      <c r="BN185" s="916"/>
      <c r="BO185" s="916"/>
      <c r="BP185" s="916"/>
      <c r="BQ185" s="916"/>
      <c r="BR185" s="916"/>
      <c r="BS185" s="916"/>
      <c r="BT185" s="916"/>
    </row>
    <row r="186" spans="1:72" x14ac:dyDescent="0.2">
      <c r="A186" s="916" t="s">
        <v>626</v>
      </c>
      <c r="B186" s="916">
        <v>15.42</v>
      </c>
      <c r="C186" s="916">
        <v>22.71</v>
      </c>
      <c r="D186" s="916">
        <v>12.92</v>
      </c>
      <c r="E186" s="916">
        <v>15.23</v>
      </c>
      <c r="F186" s="916">
        <v>15.82</v>
      </c>
      <c r="G186" s="916">
        <v>17.510000000000002</v>
      </c>
      <c r="H186" s="916">
        <v>19.05</v>
      </c>
      <c r="I186" s="916">
        <v>20.23</v>
      </c>
      <c r="J186" s="916">
        <v>21.21</v>
      </c>
      <c r="K186" s="916">
        <v>22.42</v>
      </c>
      <c r="L186" s="916">
        <v>23.58</v>
      </c>
      <c r="M186" s="916">
        <v>24.67</v>
      </c>
      <c r="N186" s="916">
        <v>25.58</v>
      </c>
      <c r="O186" s="916">
        <v>26.51</v>
      </c>
      <c r="P186" s="916">
        <v>27.27</v>
      </c>
      <c r="Q186" s="916">
        <v>28.18</v>
      </c>
      <c r="R186" s="916">
        <v>29.2</v>
      </c>
      <c r="S186" s="916">
        <v>30.07</v>
      </c>
      <c r="T186" s="916">
        <v>31.1</v>
      </c>
      <c r="U186" s="916">
        <v>32.130000000000003</v>
      </c>
      <c r="V186" s="916">
        <v>33.21</v>
      </c>
      <c r="W186" s="916">
        <v>34.54</v>
      </c>
      <c r="X186" s="916">
        <v>35.83</v>
      </c>
      <c r="Y186" s="916">
        <v>36.99</v>
      </c>
      <c r="Z186" s="916">
        <v>38.42</v>
      </c>
      <c r="AA186" s="916">
        <v>39.92</v>
      </c>
      <c r="AB186" s="916">
        <v>41.32</v>
      </c>
      <c r="AC186" s="916">
        <v>42.87</v>
      </c>
      <c r="AD186" s="916">
        <v>44.51</v>
      </c>
      <c r="AE186" s="955">
        <v>2.5000000000000001E-2</v>
      </c>
      <c r="AF186" s="916"/>
      <c r="AG186" s="916"/>
      <c r="AH186" s="916"/>
      <c r="AI186" s="916"/>
      <c r="AJ186" s="916"/>
      <c r="AK186" s="916"/>
      <c r="AL186" s="916"/>
      <c r="AM186" s="916"/>
      <c r="AN186" s="916"/>
      <c r="AO186" s="916"/>
      <c r="AP186" s="916"/>
      <c r="AQ186" s="916"/>
      <c r="AR186" s="916"/>
      <c r="AS186" s="916"/>
      <c r="AT186" s="916"/>
      <c r="AU186" s="916"/>
      <c r="AV186" s="916"/>
      <c r="AW186" s="916"/>
      <c r="AX186" s="916"/>
      <c r="AY186" s="916"/>
      <c r="AZ186" s="916"/>
      <c r="BA186" s="916"/>
      <c r="BB186" s="916"/>
      <c r="BC186" s="916"/>
      <c r="BD186" s="916"/>
      <c r="BE186" s="916"/>
      <c r="BF186" s="916"/>
      <c r="BG186" s="916"/>
      <c r="BH186" s="916"/>
      <c r="BI186" s="916"/>
      <c r="BJ186" s="916"/>
      <c r="BK186" s="916"/>
      <c r="BL186" s="916"/>
      <c r="BM186" s="916"/>
      <c r="BN186" s="916"/>
      <c r="BO186" s="916"/>
      <c r="BP186" s="916"/>
      <c r="BQ186" s="916"/>
      <c r="BR186" s="916"/>
      <c r="BS186" s="916"/>
      <c r="BT186" s="916"/>
    </row>
    <row r="187" spans="1:72" x14ac:dyDescent="0.2">
      <c r="A187" s="916" t="s">
        <v>610</v>
      </c>
      <c r="B187" s="916">
        <v>20.260000000000002</v>
      </c>
      <c r="C187" s="916">
        <v>26.27</v>
      </c>
      <c r="D187" s="916">
        <v>17.73</v>
      </c>
      <c r="E187" s="916">
        <v>18.260000000000002</v>
      </c>
      <c r="F187" s="916">
        <v>18.940000000000001</v>
      </c>
      <c r="G187" s="916">
        <v>20.58</v>
      </c>
      <c r="H187" s="916">
        <v>22.21</v>
      </c>
      <c r="I187" s="916">
        <v>23.39</v>
      </c>
      <c r="J187" s="916">
        <v>24.55</v>
      </c>
      <c r="K187" s="916">
        <v>25.86</v>
      </c>
      <c r="L187" s="916">
        <v>27.09</v>
      </c>
      <c r="M187" s="916">
        <v>28.33</v>
      </c>
      <c r="N187" s="916">
        <v>29.33</v>
      </c>
      <c r="O187" s="916">
        <v>30.3</v>
      </c>
      <c r="P187" s="916">
        <v>31.19</v>
      </c>
      <c r="Q187" s="916">
        <v>32.29</v>
      </c>
      <c r="R187" s="916">
        <v>33.22</v>
      </c>
      <c r="S187" s="916">
        <v>34.04</v>
      </c>
      <c r="T187" s="916">
        <v>35.14</v>
      </c>
      <c r="U187" s="916">
        <v>36.19</v>
      </c>
      <c r="V187" s="916">
        <v>37.31</v>
      </c>
      <c r="W187" s="916">
        <v>38.6</v>
      </c>
      <c r="X187" s="916">
        <v>40.04</v>
      </c>
      <c r="Y187" s="916">
        <v>41.2</v>
      </c>
      <c r="Z187" s="916">
        <v>42.78</v>
      </c>
      <c r="AA187" s="916">
        <v>44.38</v>
      </c>
      <c r="AB187" s="916">
        <v>45.87</v>
      </c>
      <c r="AC187" s="916">
        <v>47.52</v>
      </c>
      <c r="AD187" s="916">
        <v>49.31</v>
      </c>
      <c r="AE187" s="955">
        <v>2.4E-2</v>
      </c>
      <c r="AF187" s="916"/>
      <c r="AG187" s="916"/>
      <c r="AH187" s="916"/>
      <c r="AI187" s="916"/>
      <c r="AJ187" s="916"/>
      <c r="AK187" s="916"/>
      <c r="AL187" s="916"/>
      <c r="AM187" s="916"/>
      <c r="AN187" s="916"/>
      <c r="AO187" s="916"/>
      <c r="AP187" s="916"/>
      <c r="AQ187" s="916"/>
      <c r="AR187" s="916"/>
      <c r="AS187" s="916"/>
      <c r="AT187" s="916"/>
      <c r="AU187" s="916"/>
      <c r="AV187" s="916"/>
      <c r="AW187" s="916"/>
      <c r="AX187" s="916"/>
      <c r="AY187" s="916"/>
      <c r="AZ187" s="916"/>
      <c r="BA187" s="916"/>
      <c r="BB187" s="916"/>
      <c r="BC187" s="916"/>
      <c r="BD187" s="916"/>
      <c r="BE187" s="916"/>
      <c r="BF187" s="916"/>
      <c r="BG187" s="916"/>
      <c r="BH187" s="916"/>
      <c r="BI187" s="916"/>
      <c r="BJ187" s="916"/>
      <c r="BK187" s="916"/>
      <c r="BL187" s="916"/>
      <c r="BM187" s="916"/>
      <c r="BN187" s="916"/>
      <c r="BO187" s="916"/>
      <c r="BP187" s="916"/>
      <c r="BQ187" s="916"/>
      <c r="BR187" s="916"/>
      <c r="BS187" s="916"/>
      <c r="BT187" s="916"/>
    </row>
    <row r="188" spans="1:72" x14ac:dyDescent="0.2">
      <c r="A188" s="916" t="s">
        <v>611</v>
      </c>
      <c r="B188" s="916">
        <v>8.8699999999999992</v>
      </c>
      <c r="C188" s="916">
        <v>14.77</v>
      </c>
      <c r="D188" s="916">
        <v>9.1</v>
      </c>
      <c r="E188" s="916">
        <v>11.22</v>
      </c>
      <c r="F188" s="916">
        <v>11.49</v>
      </c>
      <c r="G188" s="916">
        <v>12.89</v>
      </c>
      <c r="H188" s="916">
        <v>14.14</v>
      </c>
      <c r="I188" s="916">
        <v>15.19</v>
      </c>
      <c r="J188" s="916">
        <v>15.89</v>
      </c>
      <c r="K188" s="916">
        <v>16.600000000000001</v>
      </c>
      <c r="L188" s="916">
        <v>17.5</v>
      </c>
      <c r="M188" s="916">
        <v>18.3</v>
      </c>
      <c r="N188" s="916">
        <v>18.89</v>
      </c>
      <c r="O188" s="916">
        <v>19.329999999999998</v>
      </c>
      <c r="P188" s="916">
        <v>20.03</v>
      </c>
      <c r="Q188" s="916">
        <v>20.64</v>
      </c>
      <c r="R188" s="916">
        <v>21.36</v>
      </c>
      <c r="S188" s="916">
        <v>22.08</v>
      </c>
      <c r="T188" s="916">
        <v>22.8</v>
      </c>
      <c r="U188" s="916">
        <v>23.35</v>
      </c>
      <c r="V188" s="916">
        <v>24.24</v>
      </c>
      <c r="W188" s="916">
        <v>25.11</v>
      </c>
      <c r="X188" s="916">
        <v>26.08</v>
      </c>
      <c r="Y188" s="916">
        <v>27.11</v>
      </c>
      <c r="Z188" s="916">
        <v>28.23</v>
      </c>
      <c r="AA188" s="916">
        <v>29.29</v>
      </c>
      <c r="AB188" s="916">
        <v>30.29</v>
      </c>
      <c r="AC188" s="916">
        <v>31.46</v>
      </c>
      <c r="AD188" s="916">
        <v>32.700000000000003</v>
      </c>
      <c r="AE188" s="955">
        <v>0.03</v>
      </c>
      <c r="AF188" s="916"/>
      <c r="AG188" s="916"/>
      <c r="AH188" s="916"/>
      <c r="AI188" s="916"/>
      <c r="AJ188" s="916"/>
      <c r="AK188" s="916"/>
      <c r="AL188" s="916"/>
      <c r="AM188" s="916"/>
      <c r="AN188" s="916"/>
      <c r="AO188" s="916"/>
      <c r="AP188" s="916"/>
      <c r="AQ188" s="916"/>
      <c r="AR188" s="916"/>
      <c r="AS188" s="916"/>
      <c r="AT188" s="916"/>
      <c r="AU188" s="916"/>
      <c r="AV188" s="916"/>
      <c r="AW188" s="916"/>
      <c r="AX188" s="916"/>
      <c r="AY188" s="916"/>
      <c r="AZ188" s="916"/>
      <c r="BA188" s="916"/>
      <c r="BB188" s="916"/>
      <c r="BC188" s="916"/>
      <c r="BD188" s="916"/>
      <c r="BE188" s="916"/>
      <c r="BF188" s="916"/>
      <c r="BG188" s="916"/>
      <c r="BH188" s="916"/>
      <c r="BI188" s="916"/>
      <c r="BJ188" s="916"/>
      <c r="BK188" s="916"/>
      <c r="BL188" s="916"/>
      <c r="BM188" s="916"/>
      <c r="BN188" s="916"/>
      <c r="BO188" s="916"/>
      <c r="BP188" s="916"/>
      <c r="BQ188" s="916"/>
      <c r="BR188" s="916"/>
      <c r="BS188" s="916"/>
      <c r="BT188" s="916"/>
    </row>
    <row r="189" spans="1:72" x14ac:dyDescent="0.2">
      <c r="A189" s="916" t="s">
        <v>510</v>
      </c>
      <c r="B189" s="916">
        <v>8.99</v>
      </c>
      <c r="C189" s="916">
        <v>10.53</v>
      </c>
      <c r="D189" s="916">
        <v>6.67</v>
      </c>
      <c r="E189" s="916">
        <v>7.08</v>
      </c>
      <c r="F189" s="916">
        <v>8.2100000000000009</v>
      </c>
      <c r="G189" s="916">
        <v>8.68</v>
      </c>
      <c r="H189" s="916">
        <v>8.67</v>
      </c>
      <c r="I189" s="916">
        <v>8.7799999999999994</v>
      </c>
      <c r="J189" s="916">
        <v>9.07</v>
      </c>
      <c r="K189" s="916">
        <v>9.33</v>
      </c>
      <c r="L189" s="916">
        <v>9.5</v>
      </c>
      <c r="M189" s="916">
        <v>9.73</v>
      </c>
      <c r="N189" s="916">
        <v>9.98</v>
      </c>
      <c r="O189" s="916">
        <v>10.32</v>
      </c>
      <c r="P189" s="916">
        <v>10.67</v>
      </c>
      <c r="Q189" s="916">
        <v>11.14</v>
      </c>
      <c r="R189" s="916">
        <v>11.42</v>
      </c>
      <c r="S189" s="916">
        <v>11.55</v>
      </c>
      <c r="T189" s="916">
        <v>11.88</v>
      </c>
      <c r="U189" s="916">
        <v>12.31</v>
      </c>
      <c r="V189" s="916">
        <v>12.79</v>
      </c>
      <c r="W189" s="916">
        <v>13.39</v>
      </c>
      <c r="X189" s="916">
        <v>14.02</v>
      </c>
      <c r="Y189" s="916">
        <v>14.7</v>
      </c>
      <c r="Z189" s="916">
        <v>15.51</v>
      </c>
      <c r="AA189" s="916">
        <v>16.05</v>
      </c>
      <c r="AB189" s="916">
        <v>16.46</v>
      </c>
      <c r="AC189" s="916">
        <v>17.12</v>
      </c>
      <c r="AD189" s="916">
        <v>17.71</v>
      </c>
      <c r="AE189" s="955">
        <v>1.9E-2</v>
      </c>
      <c r="AF189" s="916"/>
      <c r="AG189" s="916"/>
      <c r="AH189" s="916"/>
      <c r="AI189" s="916"/>
      <c r="AJ189" s="916"/>
      <c r="AK189" s="916"/>
      <c r="AL189" s="916"/>
      <c r="AM189" s="916"/>
      <c r="AN189" s="916"/>
      <c r="AO189" s="916"/>
      <c r="AP189" s="916"/>
      <c r="AQ189" s="916"/>
      <c r="AR189" s="916"/>
      <c r="AS189" s="916"/>
      <c r="AT189" s="916"/>
      <c r="AU189" s="916"/>
      <c r="AV189" s="916"/>
      <c r="AW189" s="916"/>
      <c r="AX189" s="916"/>
      <c r="AY189" s="916"/>
      <c r="AZ189" s="916"/>
      <c r="BA189" s="916"/>
      <c r="BB189" s="916"/>
      <c r="BC189" s="916"/>
      <c r="BD189" s="916"/>
      <c r="BE189" s="916"/>
      <c r="BF189" s="916"/>
      <c r="BG189" s="916"/>
      <c r="BH189" s="916"/>
      <c r="BI189" s="916"/>
      <c r="BJ189" s="916"/>
      <c r="BK189" s="916"/>
      <c r="BL189" s="916"/>
      <c r="BM189" s="916"/>
      <c r="BN189" s="916"/>
      <c r="BO189" s="916"/>
      <c r="BP189" s="916"/>
      <c r="BQ189" s="916"/>
      <c r="BR189" s="916"/>
      <c r="BS189" s="916"/>
      <c r="BT189" s="916"/>
    </row>
    <row r="190" spans="1:72" x14ac:dyDescent="0.2">
      <c r="A190" s="916" t="s">
        <v>614</v>
      </c>
      <c r="B190" s="916">
        <v>3.61</v>
      </c>
      <c r="C190" s="916">
        <v>4.49</v>
      </c>
      <c r="D190" s="916">
        <v>4.79</v>
      </c>
      <c r="E190" s="916">
        <v>4.9400000000000004</v>
      </c>
      <c r="F190" s="916">
        <v>5.07</v>
      </c>
      <c r="G190" s="916">
        <v>5.31</v>
      </c>
      <c r="H190" s="916">
        <v>5.44</v>
      </c>
      <c r="I190" s="916">
        <v>5.56</v>
      </c>
      <c r="J190" s="916">
        <v>5.66</v>
      </c>
      <c r="K190" s="916">
        <v>5.77</v>
      </c>
      <c r="L190" s="916">
        <v>5.97</v>
      </c>
      <c r="M190" s="916">
        <v>6.14</v>
      </c>
      <c r="N190" s="916">
        <v>6.34</v>
      </c>
      <c r="O190" s="916">
        <v>6.5</v>
      </c>
      <c r="P190" s="916">
        <v>6.68</v>
      </c>
      <c r="Q190" s="916">
        <v>6.84</v>
      </c>
      <c r="R190" s="916">
        <v>6.98</v>
      </c>
      <c r="S190" s="916">
        <v>7.07</v>
      </c>
      <c r="T190" s="916">
        <v>7.11</v>
      </c>
      <c r="U190" s="916">
        <v>7.15</v>
      </c>
      <c r="V190" s="916">
        <v>7.27</v>
      </c>
      <c r="W190" s="916">
        <v>7.43</v>
      </c>
      <c r="X190" s="916">
        <v>7.55</v>
      </c>
      <c r="Y190" s="916">
        <v>7.72</v>
      </c>
      <c r="Z190" s="916">
        <v>7.86</v>
      </c>
      <c r="AA190" s="916">
        <v>8.02</v>
      </c>
      <c r="AB190" s="916">
        <v>8.18</v>
      </c>
      <c r="AC190" s="916">
        <v>8.33</v>
      </c>
      <c r="AD190" s="916">
        <v>8.5</v>
      </c>
      <c r="AE190" s="955">
        <v>2.4E-2</v>
      </c>
      <c r="AF190" s="916"/>
      <c r="AG190" s="916"/>
      <c r="AH190" s="916"/>
      <c r="AI190" s="916"/>
      <c r="AJ190" s="916"/>
      <c r="AK190" s="916"/>
      <c r="AL190" s="916"/>
      <c r="AM190" s="916"/>
      <c r="AN190" s="916"/>
      <c r="AO190" s="916"/>
      <c r="AP190" s="916"/>
      <c r="AQ190" s="916"/>
      <c r="AR190" s="916"/>
      <c r="AS190" s="916"/>
      <c r="AT190" s="916"/>
      <c r="AU190" s="916"/>
      <c r="AV190" s="916"/>
      <c r="AW190" s="916"/>
      <c r="AX190" s="916"/>
      <c r="AY190" s="916"/>
      <c r="AZ190" s="916"/>
      <c r="BA190" s="916"/>
      <c r="BB190" s="916"/>
      <c r="BC190" s="916"/>
      <c r="BD190" s="916"/>
      <c r="BE190" s="916"/>
      <c r="BF190" s="916"/>
      <c r="BG190" s="916"/>
      <c r="BH190" s="916"/>
      <c r="BI190" s="916"/>
      <c r="BJ190" s="916"/>
      <c r="BK190" s="916"/>
      <c r="BL190" s="916"/>
      <c r="BM190" s="916"/>
      <c r="BN190" s="916"/>
      <c r="BO190" s="916"/>
      <c r="BP190" s="916"/>
      <c r="BQ190" s="916"/>
      <c r="BR190" s="916"/>
      <c r="BS190" s="916"/>
      <c r="BT190" s="916"/>
    </row>
    <row r="191" spans="1:72" x14ac:dyDescent="0.2">
      <c r="A191" s="916" t="s">
        <v>627</v>
      </c>
      <c r="B191" s="916">
        <v>1.8</v>
      </c>
      <c r="C191" s="916">
        <v>2.1</v>
      </c>
      <c r="D191" s="916">
        <v>2.2200000000000002</v>
      </c>
      <c r="E191" s="916">
        <v>2.09</v>
      </c>
      <c r="F191" s="916">
        <v>2.11</v>
      </c>
      <c r="G191" s="916">
        <v>2.14</v>
      </c>
      <c r="H191" s="916">
        <v>2.19</v>
      </c>
      <c r="I191" s="916">
        <v>2.23</v>
      </c>
      <c r="J191" s="916">
        <v>2.2799999999999998</v>
      </c>
      <c r="K191" s="916">
        <v>2.2999999999999998</v>
      </c>
      <c r="L191" s="916">
        <v>2.35</v>
      </c>
      <c r="M191" s="916">
        <v>2.39</v>
      </c>
      <c r="N191" s="916">
        <v>2.4300000000000002</v>
      </c>
      <c r="O191" s="916">
        <v>2.4700000000000002</v>
      </c>
      <c r="P191" s="916">
        <v>2.52</v>
      </c>
      <c r="Q191" s="916">
        <v>2.58</v>
      </c>
      <c r="R191" s="916">
        <v>2.64</v>
      </c>
      <c r="S191" s="916">
        <v>2.69</v>
      </c>
      <c r="T191" s="916">
        <v>2.74</v>
      </c>
      <c r="U191" s="916">
        <v>2.81</v>
      </c>
      <c r="V191" s="916">
        <v>2.87</v>
      </c>
      <c r="W191" s="916">
        <v>2.95</v>
      </c>
      <c r="X191" s="916">
        <v>3.03</v>
      </c>
      <c r="Y191" s="916">
        <v>3.11</v>
      </c>
      <c r="Z191" s="916">
        <v>3.2</v>
      </c>
      <c r="AA191" s="916">
        <v>3.28</v>
      </c>
      <c r="AB191" s="916">
        <v>3.37</v>
      </c>
      <c r="AC191" s="916">
        <v>3.46</v>
      </c>
      <c r="AD191" s="916">
        <v>3.56</v>
      </c>
      <c r="AE191" s="955">
        <v>0.02</v>
      </c>
      <c r="AF191" s="916"/>
      <c r="AG191" s="916"/>
      <c r="AH191" s="916"/>
      <c r="AI191" s="916"/>
      <c r="AJ191" s="916"/>
      <c r="AK191" s="916"/>
      <c r="AL191" s="916"/>
      <c r="AM191" s="916"/>
      <c r="AN191" s="916"/>
      <c r="AO191" s="916"/>
      <c r="AP191" s="916"/>
      <c r="AQ191" s="916"/>
      <c r="AR191" s="916"/>
      <c r="AS191" s="916"/>
      <c r="AT191" s="916"/>
      <c r="AU191" s="916"/>
      <c r="AV191" s="916"/>
      <c r="AW191" s="916"/>
      <c r="AX191" s="916"/>
      <c r="AY191" s="916"/>
      <c r="AZ191" s="916"/>
      <c r="BA191" s="916"/>
      <c r="BB191" s="916"/>
      <c r="BC191" s="916"/>
      <c r="BD191" s="916"/>
      <c r="BE191" s="916"/>
      <c r="BF191" s="916"/>
      <c r="BG191" s="916"/>
      <c r="BH191" s="916"/>
      <c r="BI191" s="916"/>
      <c r="BJ191" s="916"/>
      <c r="BK191" s="916"/>
      <c r="BL191" s="916"/>
      <c r="BM191" s="916"/>
      <c r="BN191" s="916"/>
      <c r="BO191" s="916"/>
      <c r="BP191" s="916"/>
      <c r="BQ191" s="916"/>
      <c r="BR191" s="916"/>
      <c r="BS191" s="916"/>
      <c r="BT191" s="916"/>
    </row>
    <row r="192" spans="1:72" x14ac:dyDescent="0.2">
      <c r="A192" s="916" t="s">
        <v>616</v>
      </c>
      <c r="B192" s="916" t="s">
        <v>788</v>
      </c>
      <c r="C192" s="916" t="s">
        <v>788</v>
      </c>
      <c r="D192" s="916" t="s">
        <v>788</v>
      </c>
      <c r="E192" s="916" t="s">
        <v>788</v>
      </c>
      <c r="F192" s="916">
        <v>1.32</v>
      </c>
      <c r="G192" s="916">
        <v>1.1000000000000001</v>
      </c>
      <c r="H192" s="916">
        <v>1.1200000000000001</v>
      </c>
      <c r="I192" s="916">
        <v>1.55</v>
      </c>
      <c r="J192" s="916">
        <v>1.58</v>
      </c>
      <c r="K192" s="916">
        <v>1.65</v>
      </c>
      <c r="L192" s="916">
        <v>1.72</v>
      </c>
      <c r="M192" s="916">
        <v>1.74</v>
      </c>
      <c r="N192" s="916">
        <v>1.76</v>
      </c>
      <c r="O192" s="916">
        <v>1.79</v>
      </c>
      <c r="P192" s="916">
        <v>1.86</v>
      </c>
      <c r="Q192" s="916">
        <v>1.91</v>
      </c>
      <c r="R192" s="916">
        <v>1.98</v>
      </c>
      <c r="S192" s="916">
        <v>1.99</v>
      </c>
      <c r="T192" s="916">
        <v>2.02</v>
      </c>
      <c r="U192" s="916">
        <v>2.04</v>
      </c>
      <c r="V192" s="916">
        <v>2.0699999999999998</v>
      </c>
      <c r="W192" s="916">
        <v>2.1</v>
      </c>
      <c r="X192" s="916">
        <v>2.13</v>
      </c>
      <c r="Y192" s="916">
        <v>2.1800000000000002</v>
      </c>
      <c r="Z192" s="916">
        <v>2.2200000000000002</v>
      </c>
      <c r="AA192" s="916">
        <v>2.2799999999999998</v>
      </c>
      <c r="AB192" s="916">
        <v>2.35</v>
      </c>
      <c r="AC192" s="916">
        <v>2.44</v>
      </c>
      <c r="AD192" s="916">
        <v>2.5299999999999998</v>
      </c>
      <c r="AE192" s="916" t="s">
        <v>788</v>
      </c>
      <c r="AF192" s="916"/>
      <c r="AG192" s="916"/>
      <c r="AH192" s="916"/>
      <c r="AI192" s="916"/>
      <c r="AJ192" s="916"/>
      <c r="AK192" s="916"/>
      <c r="AL192" s="916"/>
      <c r="AM192" s="916"/>
      <c r="AN192" s="916"/>
      <c r="AO192" s="916"/>
      <c r="AP192" s="916"/>
      <c r="AQ192" s="916"/>
      <c r="AR192" s="916"/>
      <c r="AS192" s="916"/>
      <c r="AT192" s="916"/>
      <c r="AU192" s="916"/>
      <c r="AV192" s="916"/>
      <c r="AW192" s="916"/>
      <c r="AX192" s="916"/>
      <c r="AY192" s="916"/>
      <c r="AZ192" s="916"/>
      <c r="BA192" s="916"/>
      <c r="BB192" s="916"/>
      <c r="BC192" s="916"/>
      <c r="BD192" s="916"/>
      <c r="BE192" s="916"/>
      <c r="BF192" s="916"/>
      <c r="BG192" s="916"/>
      <c r="BH192" s="916"/>
      <c r="BI192" s="916"/>
      <c r="BJ192" s="916"/>
      <c r="BK192" s="916"/>
      <c r="BL192" s="916"/>
      <c r="BM192" s="916"/>
      <c r="BN192" s="916"/>
      <c r="BO192" s="916"/>
      <c r="BP192" s="916"/>
      <c r="BQ192" s="916"/>
      <c r="BR192" s="916"/>
      <c r="BS192" s="916"/>
      <c r="BT192" s="916"/>
    </row>
    <row r="193" spans="1:72" x14ac:dyDescent="0.2">
      <c r="A193" s="916" t="s">
        <v>479</v>
      </c>
      <c r="B193" s="916">
        <v>26.66</v>
      </c>
      <c r="C193" s="916">
        <v>28.81</v>
      </c>
      <c r="D193" s="916">
        <v>28.5</v>
      </c>
      <c r="E193" s="916">
        <v>27.58</v>
      </c>
      <c r="F193" s="916">
        <v>26.29</v>
      </c>
      <c r="G193" s="916">
        <v>27.63</v>
      </c>
      <c r="H193" s="916">
        <v>28.19</v>
      </c>
      <c r="I193" s="916">
        <v>28.46</v>
      </c>
      <c r="J193" s="916">
        <v>28.92</v>
      </c>
      <c r="K193" s="916">
        <v>29.72</v>
      </c>
      <c r="L193" s="916">
        <v>30.45</v>
      </c>
      <c r="M193" s="916">
        <v>31.03</v>
      </c>
      <c r="N193" s="916">
        <v>31.53</v>
      </c>
      <c r="O193" s="916">
        <v>32.4</v>
      </c>
      <c r="P193" s="916">
        <v>33.33</v>
      </c>
      <c r="Q193" s="916">
        <v>34.229999999999997</v>
      </c>
      <c r="R193" s="916">
        <v>35.22</v>
      </c>
      <c r="S193" s="916">
        <v>36.159999999999997</v>
      </c>
      <c r="T193" s="916">
        <v>36.869999999999997</v>
      </c>
      <c r="U193" s="916">
        <v>37.86</v>
      </c>
      <c r="V193" s="916">
        <v>38.94</v>
      </c>
      <c r="W193" s="916">
        <v>40.090000000000003</v>
      </c>
      <c r="X193" s="916">
        <v>41.58</v>
      </c>
      <c r="Y193" s="916">
        <v>43</v>
      </c>
      <c r="Z193" s="916">
        <v>44.53</v>
      </c>
      <c r="AA193" s="916">
        <v>46.07</v>
      </c>
      <c r="AB193" s="916">
        <v>47.34</v>
      </c>
      <c r="AC193" s="916">
        <v>48.78</v>
      </c>
      <c r="AD193" s="916">
        <v>50.19</v>
      </c>
      <c r="AE193" s="955">
        <v>2.1000000000000001E-2</v>
      </c>
      <c r="AF193" s="916"/>
      <c r="AG193" s="916"/>
      <c r="AH193" s="916"/>
      <c r="AI193" s="916"/>
      <c r="AJ193" s="916"/>
      <c r="AK193" s="916"/>
      <c r="AL193" s="916"/>
      <c r="AM193" s="916"/>
      <c r="AN193" s="916"/>
      <c r="AO193" s="916"/>
      <c r="AP193" s="916"/>
      <c r="AQ193" s="916"/>
      <c r="AR193" s="916"/>
      <c r="AS193" s="916"/>
      <c r="AT193" s="916"/>
      <c r="AU193" s="916"/>
      <c r="AV193" s="916"/>
      <c r="AW193" s="916"/>
      <c r="AX193" s="916"/>
      <c r="AY193" s="916"/>
      <c r="AZ193" s="916"/>
      <c r="BA193" s="916"/>
      <c r="BB193" s="916"/>
      <c r="BC193" s="916"/>
      <c r="BD193" s="916"/>
      <c r="BE193" s="916"/>
      <c r="BF193" s="916"/>
      <c r="BG193" s="916"/>
      <c r="BH193" s="916"/>
      <c r="BI193" s="916"/>
      <c r="BJ193" s="916"/>
      <c r="BK193" s="916"/>
      <c r="BL193" s="916"/>
      <c r="BM193" s="916"/>
      <c r="BN193" s="916"/>
      <c r="BO193" s="916"/>
      <c r="BP193" s="916"/>
      <c r="BQ193" s="916"/>
      <c r="BR193" s="916"/>
      <c r="BS193" s="916"/>
      <c r="BT193" s="916"/>
    </row>
    <row r="194" spans="1:72" x14ac:dyDescent="0.2">
      <c r="A194" s="916"/>
      <c r="B194" s="916"/>
      <c r="C194" s="916"/>
      <c r="D194" s="916"/>
      <c r="E194" s="916"/>
      <c r="F194" s="916"/>
      <c r="G194" s="916"/>
      <c r="H194" s="916"/>
      <c r="I194" s="916"/>
      <c r="J194" s="916"/>
      <c r="K194" s="916"/>
      <c r="L194" s="916"/>
      <c r="M194" s="916"/>
      <c r="N194" s="916"/>
      <c r="O194" s="916"/>
      <c r="P194" s="916"/>
      <c r="Q194" s="916"/>
      <c r="R194" s="916"/>
      <c r="S194" s="916"/>
      <c r="T194" s="916"/>
      <c r="U194" s="916"/>
      <c r="V194" s="916"/>
      <c r="W194" s="916"/>
      <c r="X194" s="916"/>
      <c r="Y194" s="916"/>
      <c r="Z194" s="916"/>
      <c r="AA194" s="916"/>
      <c r="AB194" s="916"/>
      <c r="AC194" s="916"/>
      <c r="AD194" s="916"/>
      <c r="AE194" s="916"/>
      <c r="AF194" s="916"/>
      <c r="AG194" s="916"/>
      <c r="AH194" s="916"/>
      <c r="AI194" s="916"/>
      <c r="AJ194" s="916"/>
      <c r="AK194" s="916"/>
      <c r="AL194" s="916"/>
      <c r="AM194" s="916"/>
      <c r="AN194" s="916"/>
      <c r="AO194" s="916"/>
      <c r="AP194" s="916"/>
      <c r="AQ194" s="916"/>
      <c r="AR194" s="916"/>
      <c r="AS194" s="916"/>
      <c r="AT194" s="916"/>
      <c r="AU194" s="916"/>
      <c r="AV194" s="916"/>
      <c r="AW194" s="916"/>
      <c r="AX194" s="916"/>
      <c r="AY194" s="916"/>
      <c r="AZ194" s="916"/>
      <c r="BA194" s="916"/>
      <c r="BB194" s="916"/>
      <c r="BC194" s="916"/>
      <c r="BD194" s="916"/>
      <c r="BE194" s="916"/>
      <c r="BF194" s="916"/>
      <c r="BG194" s="916"/>
      <c r="BH194" s="916"/>
      <c r="BI194" s="916"/>
      <c r="BJ194" s="916"/>
      <c r="BK194" s="916"/>
      <c r="BL194" s="916"/>
      <c r="BM194" s="916"/>
      <c r="BN194" s="916"/>
      <c r="BO194" s="916"/>
      <c r="BP194" s="916"/>
      <c r="BQ194" s="916"/>
      <c r="BR194" s="916"/>
      <c r="BS194" s="916"/>
      <c r="BT194" s="916"/>
    </row>
    <row r="195" spans="1:72" x14ac:dyDescent="0.2">
      <c r="A195" s="916" t="s">
        <v>513</v>
      </c>
      <c r="B195" s="916"/>
      <c r="C195" s="916"/>
      <c r="D195" s="916"/>
      <c r="E195" s="916"/>
      <c r="F195" s="916"/>
      <c r="G195" s="916"/>
      <c r="H195" s="916"/>
      <c r="I195" s="916"/>
      <c r="J195" s="916"/>
      <c r="K195" s="916"/>
      <c r="L195" s="916"/>
      <c r="M195" s="916"/>
      <c r="N195" s="916"/>
      <c r="O195" s="916"/>
      <c r="P195" s="916"/>
      <c r="Q195" s="916"/>
      <c r="R195" s="916"/>
      <c r="S195" s="916"/>
      <c r="T195" s="916"/>
      <c r="U195" s="916"/>
      <c r="V195" s="916"/>
      <c r="W195" s="916"/>
      <c r="X195" s="916"/>
      <c r="Y195" s="916"/>
      <c r="Z195" s="916"/>
      <c r="AA195" s="916"/>
      <c r="AB195" s="916"/>
      <c r="AC195" s="916"/>
      <c r="AD195" s="916"/>
      <c r="AE195" s="916"/>
      <c r="AF195" s="916"/>
      <c r="AG195" s="916"/>
      <c r="AH195" s="916"/>
      <c r="AI195" s="916"/>
      <c r="AJ195" s="916"/>
      <c r="AK195" s="916"/>
      <c r="AL195" s="916"/>
      <c r="AM195" s="916"/>
      <c r="AN195" s="916"/>
      <c r="AO195" s="916"/>
      <c r="AP195" s="916"/>
      <c r="AQ195" s="916"/>
      <c r="AR195" s="916"/>
      <c r="AS195" s="916"/>
      <c r="AT195" s="916"/>
      <c r="AU195" s="916"/>
      <c r="AV195" s="916"/>
      <c r="AW195" s="916"/>
      <c r="AX195" s="916"/>
      <c r="AY195" s="916"/>
      <c r="AZ195" s="916"/>
      <c r="BA195" s="916"/>
      <c r="BB195" s="916"/>
      <c r="BC195" s="916"/>
      <c r="BD195" s="916"/>
      <c r="BE195" s="916"/>
      <c r="BF195" s="916"/>
      <c r="BG195" s="916"/>
      <c r="BH195" s="916"/>
      <c r="BI195" s="916"/>
      <c r="BJ195" s="916"/>
      <c r="BK195" s="916"/>
      <c r="BL195" s="916"/>
      <c r="BM195" s="916"/>
      <c r="BN195" s="916"/>
      <c r="BO195" s="916"/>
      <c r="BP195" s="916"/>
      <c r="BQ195" s="916"/>
      <c r="BR195" s="916"/>
      <c r="BS195" s="916"/>
      <c r="BT195" s="916"/>
    </row>
    <row r="196" spans="1:72" x14ac:dyDescent="0.2">
      <c r="A196" s="916" t="s">
        <v>727</v>
      </c>
      <c r="B196" s="916"/>
      <c r="C196" s="916"/>
      <c r="D196" s="916"/>
      <c r="E196" s="916"/>
      <c r="F196" s="916"/>
      <c r="G196" s="916"/>
      <c r="H196" s="916"/>
      <c r="I196" s="916"/>
      <c r="J196" s="916"/>
      <c r="K196" s="916"/>
      <c r="L196" s="916"/>
      <c r="M196" s="916"/>
      <c r="N196" s="916"/>
      <c r="O196" s="916"/>
      <c r="P196" s="916"/>
      <c r="Q196" s="916"/>
      <c r="R196" s="916"/>
      <c r="S196" s="916"/>
      <c r="T196" s="916"/>
      <c r="U196" s="916"/>
      <c r="V196" s="916"/>
      <c r="W196" s="916"/>
      <c r="X196" s="916"/>
      <c r="Y196" s="916"/>
      <c r="Z196" s="916"/>
      <c r="AA196" s="916"/>
      <c r="AB196" s="916"/>
      <c r="AC196" s="916"/>
      <c r="AD196" s="916"/>
      <c r="AE196" s="916"/>
      <c r="AF196" s="916"/>
      <c r="AG196" s="916"/>
      <c r="AH196" s="916"/>
      <c r="AI196" s="916"/>
      <c r="AJ196" s="916"/>
      <c r="AK196" s="916"/>
      <c r="AL196" s="916"/>
      <c r="AM196" s="916"/>
      <c r="AN196" s="916"/>
      <c r="AO196" s="916"/>
      <c r="AP196" s="916"/>
      <c r="AQ196" s="916"/>
      <c r="AR196" s="916"/>
      <c r="AS196" s="916"/>
      <c r="AT196" s="916"/>
      <c r="AU196" s="916"/>
      <c r="AV196" s="916"/>
      <c r="AW196" s="916"/>
      <c r="AX196" s="916"/>
      <c r="AY196" s="916"/>
      <c r="AZ196" s="916"/>
      <c r="BA196" s="916"/>
      <c r="BB196" s="916"/>
      <c r="BC196" s="916"/>
      <c r="BD196" s="916"/>
      <c r="BE196" s="916"/>
      <c r="BF196" s="916"/>
      <c r="BG196" s="916"/>
      <c r="BH196" s="916"/>
      <c r="BI196" s="916"/>
      <c r="BJ196" s="916"/>
      <c r="BK196" s="916"/>
      <c r="BL196" s="916"/>
      <c r="BM196" s="916"/>
      <c r="BN196" s="916"/>
      <c r="BO196" s="916"/>
      <c r="BP196" s="916"/>
      <c r="BQ196" s="916"/>
      <c r="BR196" s="916"/>
      <c r="BS196" s="916"/>
      <c r="BT196" s="916"/>
    </row>
    <row r="197" spans="1:72" x14ac:dyDescent="0.2">
      <c r="A197" s="916" t="s">
        <v>473</v>
      </c>
      <c r="B197" s="916">
        <v>236.38</v>
      </c>
      <c r="C197" s="916">
        <v>254.66</v>
      </c>
      <c r="D197" s="916">
        <v>235.17</v>
      </c>
      <c r="E197" s="916">
        <v>230.51</v>
      </c>
      <c r="F197" s="916">
        <v>232.31</v>
      </c>
      <c r="G197" s="916">
        <v>244.12</v>
      </c>
      <c r="H197" s="916">
        <v>246.57</v>
      </c>
      <c r="I197" s="916">
        <v>251.37</v>
      </c>
      <c r="J197" s="916">
        <v>257.29000000000002</v>
      </c>
      <c r="K197" s="916">
        <v>266.02999999999997</v>
      </c>
      <c r="L197" s="916">
        <v>273.52999999999997</v>
      </c>
      <c r="M197" s="916">
        <v>281.39999999999998</v>
      </c>
      <c r="N197" s="916">
        <v>289.27</v>
      </c>
      <c r="O197" s="916">
        <v>299.58999999999997</v>
      </c>
      <c r="P197" s="916">
        <v>309.45</v>
      </c>
      <c r="Q197" s="916">
        <v>320.3</v>
      </c>
      <c r="R197" s="916">
        <v>330.83</v>
      </c>
      <c r="S197" s="916">
        <v>341.36</v>
      </c>
      <c r="T197" s="916">
        <v>351.09</v>
      </c>
      <c r="U197" s="916">
        <v>363.72</v>
      </c>
      <c r="V197" s="916">
        <v>377.1</v>
      </c>
      <c r="W197" s="916">
        <v>392.03</v>
      </c>
      <c r="X197" s="916">
        <v>407.27</v>
      </c>
      <c r="Y197" s="916">
        <v>423.22</v>
      </c>
      <c r="Z197" s="916">
        <v>441.01</v>
      </c>
      <c r="AA197" s="916">
        <v>458.4</v>
      </c>
      <c r="AB197" s="916">
        <v>471.99</v>
      </c>
      <c r="AC197" s="916">
        <v>489.06</v>
      </c>
      <c r="AD197" s="916">
        <v>506.03</v>
      </c>
      <c r="AE197" s="955">
        <v>2.5999999999999999E-2</v>
      </c>
      <c r="AF197" s="916"/>
      <c r="AG197" s="916"/>
      <c r="AH197" s="916"/>
      <c r="AI197" s="916"/>
      <c r="AJ197" s="916"/>
      <c r="AK197" s="916"/>
      <c r="AL197" s="916"/>
      <c r="AM197" s="916"/>
      <c r="AN197" s="916"/>
      <c r="AO197" s="916"/>
      <c r="AP197" s="916"/>
      <c r="AQ197" s="916"/>
      <c r="AR197" s="916"/>
      <c r="AS197" s="916"/>
      <c r="AT197" s="916"/>
      <c r="AU197" s="916"/>
      <c r="AV197" s="916"/>
      <c r="AW197" s="916"/>
      <c r="AX197" s="916"/>
      <c r="AY197" s="916"/>
      <c r="AZ197" s="916"/>
      <c r="BA197" s="916"/>
      <c r="BB197" s="916"/>
      <c r="BC197" s="916"/>
      <c r="BD197" s="916"/>
      <c r="BE197" s="916"/>
      <c r="BF197" s="916"/>
      <c r="BG197" s="916"/>
      <c r="BH197" s="916"/>
      <c r="BI197" s="916"/>
      <c r="BJ197" s="916"/>
      <c r="BK197" s="916"/>
      <c r="BL197" s="916"/>
      <c r="BM197" s="916"/>
      <c r="BN197" s="916"/>
      <c r="BO197" s="916"/>
      <c r="BP197" s="916"/>
      <c r="BQ197" s="916"/>
      <c r="BR197" s="916"/>
      <c r="BS197" s="916"/>
      <c r="BT197" s="916"/>
    </row>
    <row r="198" spans="1:72" x14ac:dyDescent="0.2">
      <c r="A198" s="916" t="s">
        <v>480</v>
      </c>
      <c r="B198" s="916">
        <v>172.75</v>
      </c>
      <c r="C198" s="916">
        <v>191.19</v>
      </c>
      <c r="D198" s="916">
        <v>171.27</v>
      </c>
      <c r="E198" s="916">
        <v>168.36</v>
      </c>
      <c r="F198" s="916">
        <v>170.83</v>
      </c>
      <c r="G198" s="916">
        <v>182.74</v>
      </c>
      <c r="H198" s="916">
        <v>187.26</v>
      </c>
      <c r="I198" s="916">
        <v>190.86</v>
      </c>
      <c r="J198" s="916">
        <v>197.13</v>
      </c>
      <c r="K198" s="916">
        <v>205.11</v>
      </c>
      <c r="L198" s="916">
        <v>212.7</v>
      </c>
      <c r="M198" s="916">
        <v>219.88</v>
      </c>
      <c r="N198" s="916">
        <v>226.94</v>
      </c>
      <c r="O198" s="916">
        <v>236.05</v>
      </c>
      <c r="P198" s="916">
        <v>245.65</v>
      </c>
      <c r="Q198" s="916">
        <v>255.58</v>
      </c>
      <c r="R198" s="916">
        <v>265.91000000000003</v>
      </c>
      <c r="S198" s="916">
        <v>275.66000000000003</v>
      </c>
      <c r="T198" s="916">
        <v>285.08999999999997</v>
      </c>
      <c r="U198" s="916">
        <v>296.79000000000002</v>
      </c>
      <c r="V198" s="916">
        <v>309.27</v>
      </c>
      <c r="W198" s="916">
        <v>322.77</v>
      </c>
      <c r="X198" s="916">
        <v>338.69</v>
      </c>
      <c r="Y198" s="916">
        <v>354.37</v>
      </c>
      <c r="Z198" s="916">
        <v>371.75</v>
      </c>
      <c r="AA198" s="916">
        <v>388.64</v>
      </c>
      <c r="AB198" s="916">
        <v>403.84</v>
      </c>
      <c r="AC198" s="916">
        <v>421.34</v>
      </c>
      <c r="AD198" s="916">
        <v>438.74</v>
      </c>
      <c r="AE198" s="955">
        <v>3.1E-2</v>
      </c>
      <c r="AF198" s="916"/>
      <c r="AG198" s="916"/>
      <c r="AH198" s="916"/>
      <c r="AI198" s="916"/>
      <c r="AJ198" s="916"/>
      <c r="AK198" s="916"/>
      <c r="AL198" s="916"/>
      <c r="AM198" s="916"/>
      <c r="AN198" s="916"/>
      <c r="AO198" s="916"/>
      <c r="AP198" s="916"/>
      <c r="AQ198" s="916"/>
      <c r="AR198" s="916"/>
      <c r="AS198" s="916"/>
      <c r="AT198" s="916"/>
      <c r="AU198" s="916"/>
      <c r="AV198" s="916"/>
      <c r="AW198" s="916"/>
      <c r="AX198" s="916"/>
      <c r="AY198" s="916"/>
      <c r="AZ198" s="916"/>
      <c r="BA198" s="916"/>
      <c r="BB198" s="916"/>
      <c r="BC198" s="916"/>
      <c r="BD198" s="916"/>
      <c r="BE198" s="916"/>
      <c r="BF198" s="916"/>
      <c r="BG198" s="916"/>
      <c r="BH198" s="916"/>
      <c r="BI198" s="916"/>
      <c r="BJ198" s="916"/>
      <c r="BK198" s="916"/>
      <c r="BL198" s="916"/>
      <c r="BM198" s="916"/>
      <c r="BN198" s="916"/>
      <c r="BO198" s="916"/>
      <c r="BP198" s="916"/>
      <c r="BQ198" s="916"/>
      <c r="BR198" s="916"/>
      <c r="BS198" s="916"/>
      <c r="BT198" s="916"/>
    </row>
    <row r="199" spans="1:72" x14ac:dyDescent="0.2">
      <c r="A199" s="916" t="s">
        <v>515</v>
      </c>
      <c r="B199" s="916">
        <v>214.89</v>
      </c>
      <c r="C199" s="916">
        <v>244.81</v>
      </c>
      <c r="D199" s="916">
        <v>178.09</v>
      </c>
      <c r="E199" s="916">
        <v>168.16</v>
      </c>
      <c r="F199" s="916">
        <v>181.07</v>
      </c>
      <c r="G199" s="916">
        <v>202.87</v>
      </c>
      <c r="H199" s="916">
        <v>217.07</v>
      </c>
      <c r="I199" s="916">
        <v>227.35</v>
      </c>
      <c r="J199" s="916">
        <v>237.51</v>
      </c>
      <c r="K199" s="916">
        <v>248.26</v>
      </c>
      <c r="L199" s="916">
        <v>257.8</v>
      </c>
      <c r="M199" s="916">
        <v>268.36</v>
      </c>
      <c r="N199" s="916">
        <v>277.25</v>
      </c>
      <c r="O199" s="916">
        <v>287.02999999999997</v>
      </c>
      <c r="P199" s="916">
        <v>295.06</v>
      </c>
      <c r="Q199" s="916">
        <v>303.12</v>
      </c>
      <c r="R199" s="916">
        <v>311.48</v>
      </c>
      <c r="S199" s="916">
        <v>319.60000000000002</v>
      </c>
      <c r="T199" s="916">
        <v>328.09</v>
      </c>
      <c r="U199" s="916">
        <v>336.58</v>
      </c>
      <c r="V199" s="916">
        <v>346.81</v>
      </c>
      <c r="W199" s="916">
        <v>357.93</v>
      </c>
      <c r="X199" s="916">
        <v>370.58</v>
      </c>
      <c r="Y199" s="916">
        <v>382.62</v>
      </c>
      <c r="Z199" s="916">
        <v>397.61</v>
      </c>
      <c r="AA199" s="916">
        <v>409.44</v>
      </c>
      <c r="AB199" s="916">
        <v>421.52</v>
      </c>
      <c r="AC199" s="916">
        <v>436.23</v>
      </c>
      <c r="AD199" s="916">
        <v>449</v>
      </c>
      <c r="AE199" s="955">
        <v>2.3E-2</v>
      </c>
      <c r="AF199" s="916"/>
      <c r="AG199" s="916"/>
      <c r="AH199" s="916"/>
      <c r="AI199" s="916"/>
      <c r="AJ199" s="916"/>
      <c r="AK199" s="916"/>
      <c r="AL199" s="916"/>
      <c r="AM199" s="916"/>
      <c r="AN199" s="916"/>
      <c r="AO199" s="916"/>
      <c r="AP199" s="916"/>
      <c r="AQ199" s="916"/>
      <c r="AR199" s="916"/>
      <c r="AS199" s="916"/>
      <c r="AT199" s="916"/>
      <c r="AU199" s="916"/>
      <c r="AV199" s="916"/>
      <c r="AW199" s="916"/>
      <c r="AX199" s="916"/>
      <c r="AY199" s="916"/>
      <c r="AZ199" s="916"/>
      <c r="BA199" s="916"/>
      <c r="BB199" s="916"/>
      <c r="BC199" s="916"/>
      <c r="BD199" s="916"/>
      <c r="BE199" s="916"/>
      <c r="BF199" s="916"/>
      <c r="BG199" s="916"/>
      <c r="BH199" s="916"/>
      <c r="BI199" s="916"/>
      <c r="BJ199" s="916"/>
      <c r="BK199" s="916"/>
      <c r="BL199" s="916"/>
      <c r="BM199" s="916"/>
      <c r="BN199" s="916"/>
      <c r="BO199" s="916"/>
      <c r="BP199" s="916"/>
      <c r="BQ199" s="916"/>
      <c r="BR199" s="916"/>
      <c r="BS199" s="916"/>
      <c r="BT199" s="916"/>
    </row>
    <row r="200" spans="1:72" x14ac:dyDescent="0.2">
      <c r="A200" s="916" t="s">
        <v>487</v>
      </c>
      <c r="B200" s="916">
        <v>599.94000000000005</v>
      </c>
      <c r="C200" s="916">
        <v>705.86</v>
      </c>
      <c r="D200" s="916">
        <v>472.76</v>
      </c>
      <c r="E200" s="916">
        <v>523.54</v>
      </c>
      <c r="F200" s="916">
        <v>551.54</v>
      </c>
      <c r="G200" s="916">
        <v>600.52</v>
      </c>
      <c r="H200" s="916">
        <v>663.3</v>
      </c>
      <c r="I200" s="916">
        <v>702.29</v>
      </c>
      <c r="J200" s="916">
        <v>730.78</v>
      </c>
      <c r="K200" s="916">
        <v>762.17</v>
      </c>
      <c r="L200" s="916">
        <v>797.53</v>
      </c>
      <c r="M200" s="916">
        <v>828.81</v>
      </c>
      <c r="N200" s="916">
        <v>859.4</v>
      </c>
      <c r="O200" s="916">
        <v>891.87</v>
      </c>
      <c r="P200" s="916">
        <v>920.68</v>
      </c>
      <c r="Q200" s="916">
        <v>948.26</v>
      </c>
      <c r="R200" s="916">
        <v>986.59</v>
      </c>
      <c r="S200" s="916">
        <v>1021.27</v>
      </c>
      <c r="T200" s="916">
        <v>1062.24</v>
      </c>
      <c r="U200" s="916">
        <v>1101.69</v>
      </c>
      <c r="V200" s="916">
        <v>1143.03</v>
      </c>
      <c r="W200" s="916">
        <v>1188</v>
      </c>
      <c r="X200" s="916">
        <v>1232.23</v>
      </c>
      <c r="Y200" s="916">
        <v>1277.8499999999999</v>
      </c>
      <c r="Z200" s="916">
        <v>1321.12</v>
      </c>
      <c r="AA200" s="916">
        <v>1371.03</v>
      </c>
      <c r="AB200" s="916">
        <v>1423.78</v>
      </c>
      <c r="AC200" s="916">
        <v>1471.43</v>
      </c>
      <c r="AD200" s="916">
        <v>1525.95</v>
      </c>
      <c r="AE200" s="955">
        <v>2.9000000000000001E-2</v>
      </c>
      <c r="AF200" s="916"/>
      <c r="AG200" s="916"/>
      <c r="AH200" s="916"/>
      <c r="AI200" s="916"/>
      <c r="AJ200" s="916"/>
      <c r="AK200" s="916"/>
      <c r="AL200" s="916"/>
      <c r="AM200" s="916"/>
      <c r="AN200" s="916"/>
      <c r="AO200" s="916"/>
      <c r="AP200" s="916"/>
      <c r="AQ200" s="916"/>
      <c r="AR200" s="916"/>
      <c r="AS200" s="916"/>
      <c r="AT200" s="916"/>
      <c r="AU200" s="916"/>
      <c r="AV200" s="916"/>
      <c r="AW200" s="916"/>
      <c r="AX200" s="916"/>
      <c r="AY200" s="916"/>
      <c r="AZ200" s="916"/>
      <c r="BA200" s="916"/>
      <c r="BB200" s="916"/>
      <c r="BC200" s="916"/>
      <c r="BD200" s="916"/>
      <c r="BE200" s="916"/>
      <c r="BF200" s="916"/>
      <c r="BG200" s="916"/>
      <c r="BH200" s="916"/>
      <c r="BI200" s="916"/>
      <c r="BJ200" s="916"/>
      <c r="BK200" s="916"/>
      <c r="BL200" s="916"/>
      <c r="BM200" s="916"/>
      <c r="BN200" s="916"/>
      <c r="BO200" s="916"/>
      <c r="BP200" s="916"/>
      <c r="BQ200" s="916"/>
      <c r="BR200" s="916"/>
      <c r="BS200" s="916"/>
      <c r="BT200" s="916"/>
    </row>
    <row r="201" spans="1:72" x14ac:dyDescent="0.2">
      <c r="A201" s="916" t="s">
        <v>516</v>
      </c>
      <c r="B201" s="916">
        <v>1223.96</v>
      </c>
      <c r="C201" s="916">
        <v>1396.52</v>
      </c>
      <c r="D201" s="916">
        <v>1057.29</v>
      </c>
      <c r="E201" s="916">
        <v>1090.58</v>
      </c>
      <c r="F201" s="916">
        <v>1135.76</v>
      </c>
      <c r="G201" s="916">
        <v>1230.25</v>
      </c>
      <c r="H201" s="916">
        <v>1314.19</v>
      </c>
      <c r="I201" s="916">
        <v>1371.86</v>
      </c>
      <c r="J201" s="916">
        <v>1422.72</v>
      </c>
      <c r="K201" s="916">
        <v>1481.57</v>
      </c>
      <c r="L201" s="916">
        <v>1541.56</v>
      </c>
      <c r="M201" s="916">
        <v>1598.45</v>
      </c>
      <c r="N201" s="916">
        <v>1652.86</v>
      </c>
      <c r="O201" s="916">
        <v>1714.54</v>
      </c>
      <c r="P201" s="916">
        <v>1770.84</v>
      </c>
      <c r="Q201" s="916">
        <v>1827.25</v>
      </c>
      <c r="R201" s="916">
        <v>1894.81</v>
      </c>
      <c r="S201" s="916">
        <v>1957.89</v>
      </c>
      <c r="T201" s="916">
        <v>2026.51</v>
      </c>
      <c r="U201" s="916">
        <v>2098.7800000000002</v>
      </c>
      <c r="V201" s="916">
        <v>2176.1999999999998</v>
      </c>
      <c r="W201" s="916">
        <v>2260.73</v>
      </c>
      <c r="X201" s="916">
        <v>2348.7600000000002</v>
      </c>
      <c r="Y201" s="916">
        <v>2438.06</v>
      </c>
      <c r="Z201" s="916">
        <v>2531.5</v>
      </c>
      <c r="AA201" s="916">
        <v>2627.51</v>
      </c>
      <c r="AB201" s="916">
        <v>2721.14</v>
      </c>
      <c r="AC201" s="916">
        <v>2818.06</v>
      </c>
      <c r="AD201" s="916">
        <v>2919.72</v>
      </c>
      <c r="AE201" s="955">
        <v>2.8000000000000001E-2</v>
      </c>
      <c r="AF201" s="916"/>
      <c r="AG201" s="916"/>
      <c r="AH201" s="916"/>
      <c r="AI201" s="916"/>
      <c r="AJ201" s="916"/>
      <c r="AK201" s="916"/>
      <c r="AL201" s="916"/>
      <c r="AM201" s="916"/>
      <c r="AN201" s="916"/>
      <c r="AO201" s="916"/>
      <c r="AP201" s="916"/>
      <c r="AQ201" s="916"/>
      <c r="AR201" s="916"/>
      <c r="AS201" s="916"/>
      <c r="AT201" s="916"/>
      <c r="AU201" s="916"/>
      <c r="AV201" s="916"/>
      <c r="AW201" s="916"/>
      <c r="AX201" s="916"/>
      <c r="AY201" s="916"/>
      <c r="AZ201" s="916"/>
      <c r="BA201" s="916"/>
      <c r="BB201" s="916"/>
      <c r="BC201" s="916"/>
      <c r="BD201" s="916"/>
      <c r="BE201" s="916"/>
      <c r="BF201" s="916"/>
      <c r="BG201" s="916"/>
      <c r="BH201" s="916"/>
      <c r="BI201" s="916"/>
      <c r="BJ201" s="916"/>
      <c r="BK201" s="916"/>
      <c r="BL201" s="916"/>
      <c r="BM201" s="916"/>
      <c r="BN201" s="916"/>
      <c r="BO201" s="916"/>
      <c r="BP201" s="916"/>
      <c r="BQ201" s="916"/>
      <c r="BR201" s="916"/>
      <c r="BS201" s="916"/>
      <c r="BT201" s="916"/>
    </row>
    <row r="202" spans="1:72" x14ac:dyDescent="0.2">
      <c r="A202" s="916" t="s">
        <v>629</v>
      </c>
      <c r="B202" s="916">
        <v>0.04</v>
      </c>
      <c r="C202" s="916">
        <v>0.17</v>
      </c>
      <c r="D202" s="916">
        <v>0.04</v>
      </c>
      <c r="E202" s="916">
        <v>0.09</v>
      </c>
      <c r="F202" s="916">
        <v>0.11</v>
      </c>
      <c r="G202" s="916">
        <v>0.13</v>
      </c>
      <c r="H202" s="916">
        <v>0.16</v>
      </c>
      <c r="I202" s="916">
        <v>0.18</v>
      </c>
      <c r="J202" s="916">
        <v>0.24</v>
      </c>
      <c r="K202" s="916">
        <v>2.65</v>
      </c>
      <c r="L202" s="916">
        <v>3.64</v>
      </c>
      <c r="M202" s="916">
        <v>4.71</v>
      </c>
      <c r="N202" s="916">
        <v>6.36</v>
      </c>
      <c r="O202" s="916">
        <v>8.6999999999999993</v>
      </c>
      <c r="P202" s="916">
        <v>11.96</v>
      </c>
      <c r="Q202" s="916">
        <v>22.18</v>
      </c>
      <c r="R202" s="916">
        <v>20.28</v>
      </c>
      <c r="S202" s="916">
        <v>19.329999999999998</v>
      </c>
      <c r="T202" s="916">
        <v>20.440000000000001</v>
      </c>
      <c r="U202" s="916">
        <v>23.52</v>
      </c>
      <c r="V202" s="916">
        <v>26.81</v>
      </c>
      <c r="W202" s="916">
        <v>29.72</v>
      </c>
      <c r="X202" s="916">
        <v>34.94</v>
      </c>
      <c r="Y202" s="916">
        <v>37.81</v>
      </c>
      <c r="Z202" s="916">
        <v>49.23</v>
      </c>
      <c r="AA202" s="916">
        <v>57.96</v>
      </c>
      <c r="AB202" s="916">
        <v>65.66</v>
      </c>
      <c r="AC202" s="916">
        <v>79.569999999999993</v>
      </c>
      <c r="AD202" s="916">
        <v>94.81</v>
      </c>
      <c r="AE202" s="955">
        <v>0.26500000000000001</v>
      </c>
      <c r="AF202" s="916"/>
      <c r="AG202" s="916"/>
      <c r="AH202" s="916"/>
      <c r="AI202" s="916"/>
      <c r="AJ202" s="916"/>
      <c r="AK202" s="916"/>
      <c r="AL202" s="916"/>
      <c r="AM202" s="916"/>
      <c r="AN202" s="916"/>
      <c r="AO202" s="916"/>
      <c r="AP202" s="916"/>
      <c r="AQ202" s="916"/>
      <c r="AR202" s="916"/>
      <c r="AS202" s="916"/>
      <c r="AT202" s="916"/>
      <c r="AU202" s="916"/>
      <c r="AV202" s="916"/>
      <c r="AW202" s="916"/>
      <c r="AX202" s="916"/>
      <c r="AY202" s="916"/>
      <c r="AZ202" s="916"/>
      <c r="BA202" s="916"/>
      <c r="BB202" s="916"/>
      <c r="BC202" s="916"/>
      <c r="BD202" s="916"/>
      <c r="BE202" s="916"/>
      <c r="BF202" s="916"/>
      <c r="BG202" s="916"/>
      <c r="BH202" s="916"/>
      <c r="BI202" s="916"/>
      <c r="BJ202" s="916"/>
      <c r="BK202" s="916"/>
      <c r="BL202" s="916"/>
      <c r="BM202" s="916"/>
      <c r="BN202" s="916"/>
      <c r="BO202" s="916"/>
      <c r="BP202" s="916"/>
      <c r="BQ202" s="916"/>
      <c r="BR202" s="916"/>
      <c r="BS202" s="916"/>
      <c r="BT202" s="916"/>
    </row>
    <row r="203" spans="1:72" x14ac:dyDescent="0.2">
      <c r="A203" s="916" t="s">
        <v>518</v>
      </c>
      <c r="B203" s="916">
        <v>1224</v>
      </c>
      <c r="C203" s="916">
        <v>1396.69</v>
      </c>
      <c r="D203" s="916">
        <v>1057.33</v>
      </c>
      <c r="E203" s="916">
        <v>1090.67</v>
      </c>
      <c r="F203" s="916">
        <v>1135.8699999999999</v>
      </c>
      <c r="G203" s="916">
        <v>1230.3800000000001</v>
      </c>
      <c r="H203" s="916">
        <v>1314.36</v>
      </c>
      <c r="I203" s="916">
        <v>1372.05</v>
      </c>
      <c r="J203" s="916">
        <v>1422.95</v>
      </c>
      <c r="K203" s="916">
        <v>1484.22</v>
      </c>
      <c r="L203" s="916">
        <v>1545.2</v>
      </c>
      <c r="M203" s="916">
        <v>1603.16</v>
      </c>
      <c r="N203" s="916">
        <v>1659.22</v>
      </c>
      <c r="O203" s="916">
        <v>1723.24</v>
      </c>
      <c r="P203" s="916">
        <v>1782.8</v>
      </c>
      <c r="Q203" s="916">
        <v>1849.44</v>
      </c>
      <c r="R203" s="916">
        <v>1915.09</v>
      </c>
      <c r="S203" s="916">
        <v>1977.22</v>
      </c>
      <c r="T203" s="916">
        <v>2046.94</v>
      </c>
      <c r="U203" s="916">
        <v>2122.3000000000002</v>
      </c>
      <c r="V203" s="916">
        <v>2203.0100000000002</v>
      </c>
      <c r="W203" s="916">
        <v>2290.46</v>
      </c>
      <c r="X203" s="916">
        <v>2383.6999999999998</v>
      </c>
      <c r="Y203" s="916">
        <v>2475.87</v>
      </c>
      <c r="Z203" s="916">
        <v>2580.73</v>
      </c>
      <c r="AA203" s="916">
        <v>2685.47</v>
      </c>
      <c r="AB203" s="916">
        <v>2786.79</v>
      </c>
      <c r="AC203" s="916">
        <v>2897.63</v>
      </c>
      <c r="AD203" s="916">
        <v>3014.53</v>
      </c>
      <c r="AE203" s="955">
        <v>2.9000000000000001E-2</v>
      </c>
      <c r="AF203" s="916"/>
      <c r="AG203" s="916"/>
      <c r="AH203" s="916"/>
      <c r="AI203" s="916"/>
      <c r="AJ203" s="916"/>
      <c r="AK203" s="916"/>
      <c r="AL203" s="916"/>
      <c r="AM203" s="916"/>
      <c r="AN203" s="916"/>
      <c r="AO203" s="916"/>
      <c r="AP203" s="916"/>
      <c r="AQ203" s="916"/>
      <c r="AR203" s="916"/>
      <c r="AS203" s="916"/>
      <c r="AT203" s="916"/>
      <c r="AU203" s="916"/>
      <c r="AV203" s="916"/>
      <c r="AW203" s="916"/>
      <c r="AX203" s="916"/>
      <c r="AY203" s="916"/>
      <c r="AZ203" s="916"/>
      <c r="BA203" s="916"/>
      <c r="BB203" s="916"/>
      <c r="BC203" s="916"/>
      <c r="BD203" s="916"/>
      <c r="BE203" s="916"/>
      <c r="BF203" s="916"/>
      <c r="BG203" s="916"/>
      <c r="BH203" s="916"/>
      <c r="BI203" s="916"/>
      <c r="BJ203" s="916"/>
      <c r="BK203" s="916"/>
      <c r="BL203" s="916"/>
      <c r="BM203" s="916"/>
      <c r="BN203" s="916"/>
      <c r="BO203" s="916"/>
      <c r="BP203" s="916"/>
      <c r="BQ203" s="916"/>
      <c r="BR203" s="916"/>
      <c r="BS203" s="916"/>
      <c r="BT203" s="916"/>
    </row>
    <row r="204" spans="1:72" x14ac:dyDescent="0.2">
      <c r="A204" s="916"/>
      <c r="B204" s="916"/>
      <c r="C204" s="916"/>
      <c r="D204" s="916"/>
      <c r="E204" s="916"/>
      <c r="F204" s="916"/>
      <c r="G204" s="916"/>
      <c r="H204" s="916"/>
      <c r="I204" s="916"/>
      <c r="J204" s="916"/>
      <c r="K204" s="916"/>
      <c r="L204" s="916"/>
      <c r="M204" s="916"/>
      <c r="N204" s="916"/>
      <c r="O204" s="916"/>
      <c r="P204" s="916"/>
      <c r="Q204" s="916"/>
      <c r="R204" s="916"/>
      <c r="S204" s="916"/>
      <c r="T204" s="916"/>
      <c r="U204" s="916"/>
      <c r="V204" s="916"/>
      <c r="W204" s="916"/>
      <c r="X204" s="916"/>
      <c r="Y204" s="916"/>
      <c r="Z204" s="916"/>
      <c r="AA204" s="916"/>
      <c r="AB204" s="916"/>
      <c r="AC204" s="916"/>
      <c r="AD204" s="916"/>
      <c r="AE204" s="916"/>
      <c r="AF204" s="916"/>
      <c r="AG204" s="916"/>
      <c r="AH204" s="916"/>
      <c r="AI204" s="916"/>
      <c r="AJ204" s="916"/>
      <c r="AK204" s="916"/>
      <c r="AL204" s="916"/>
      <c r="AM204" s="916"/>
      <c r="AN204" s="916"/>
      <c r="AO204" s="916"/>
      <c r="AP204" s="916"/>
      <c r="AQ204" s="916"/>
      <c r="AR204" s="916"/>
      <c r="AS204" s="916"/>
      <c r="AT204" s="916"/>
      <c r="AU204" s="916"/>
      <c r="AV204" s="916"/>
      <c r="AW204" s="916"/>
      <c r="AX204" s="916"/>
      <c r="AY204" s="916"/>
      <c r="AZ204" s="916"/>
      <c r="BA204" s="916"/>
      <c r="BB204" s="916"/>
      <c r="BC204" s="916"/>
      <c r="BD204" s="916"/>
      <c r="BE204" s="916"/>
      <c r="BF204" s="916"/>
      <c r="BG204" s="916"/>
      <c r="BH204" s="916"/>
      <c r="BI204" s="916"/>
      <c r="BJ204" s="916"/>
      <c r="BK204" s="916"/>
      <c r="BL204" s="916"/>
      <c r="BM204" s="916"/>
      <c r="BN204" s="916"/>
      <c r="BO204" s="916"/>
      <c r="BP204" s="916"/>
      <c r="BQ204" s="916"/>
      <c r="BR204" s="916"/>
      <c r="BS204" s="916"/>
      <c r="BT204" s="916"/>
    </row>
    <row r="205" spans="1:72" x14ac:dyDescent="0.2">
      <c r="A205" s="916"/>
      <c r="B205" s="916"/>
      <c r="C205" s="916"/>
      <c r="D205" s="916"/>
      <c r="E205" s="916"/>
      <c r="F205" s="916"/>
      <c r="G205" s="916"/>
      <c r="H205" s="916"/>
      <c r="I205" s="916"/>
      <c r="J205" s="916"/>
      <c r="K205" s="916"/>
      <c r="L205" s="916"/>
      <c r="M205" s="916"/>
      <c r="N205" s="916"/>
      <c r="O205" s="916"/>
      <c r="P205" s="916"/>
      <c r="Q205" s="916"/>
      <c r="R205" s="916"/>
      <c r="S205" s="916"/>
      <c r="T205" s="916"/>
      <c r="U205" s="916"/>
      <c r="V205" s="916"/>
      <c r="W205" s="916"/>
      <c r="X205" s="916"/>
      <c r="Y205" s="916"/>
      <c r="Z205" s="916"/>
      <c r="AA205" s="916"/>
      <c r="AB205" s="916"/>
      <c r="AC205" s="916"/>
      <c r="AD205" s="916"/>
      <c r="AE205" s="916"/>
      <c r="AF205" s="916"/>
      <c r="AG205" s="916"/>
      <c r="AH205" s="916"/>
      <c r="AI205" s="916"/>
      <c r="AJ205" s="916"/>
      <c r="AK205" s="916"/>
      <c r="AL205" s="916"/>
      <c r="AM205" s="916"/>
      <c r="AN205" s="916"/>
      <c r="AO205" s="916"/>
      <c r="AP205" s="916"/>
      <c r="AQ205" s="916"/>
      <c r="AR205" s="916"/>
      <c r="AS205" s="916"/>
      <c r="AT205" s="916"/>
      <c r="AU205" s="916"/>
      <c r="AV205" s="916"/>
      <c r="AW205" s="916"/>
      <c r="AX205" s="916"/>
      <c r="AY205" s="916"/>
      <c r="AZ205" s="916"/>
      <c r="BA205" s="916"/>
      <c r="BB205" s="916"/>
      <c r="BC205" s="916"/>
      <c r="BD205" s="916"/>
      <c r="BE205" s="916"/>
      <c r="BF205" s="916"/>
      <c r="BG205" s="916"/>
      <c r="BH205" s="916"/>
      <c r="BI205" s="916"/>
      <c r="BJ205" s="916"/>
      <c r="BK205" s="916"/>
      <c r="BL205" s="916"/>
      <c r="BM205" s="916"/>
      <c r="BN205" s="916"/>
      <c r="BO205" s="916"/>
      <c r="BP205" s="916"/>
      <c r="BQ205" s="916"/>
      <c r="BR205" s="916"/>
      <c r="BS205" s="916"/>
      <c r="BT205" s="916"/>
    </row>
    <row r="206" spans="1:72" x14ac:dyDescent="0.2">
      <c r="A206" s="916"/>
      <c r="B206" s="916"/>
      <c r="C206" s="916"/>
      <c r="D206" s="916"/>
      <c r="E206" s="916"/>
      <c r="F206" s="916"/>
      <c r="G206" s="916"/>
      <c r="H206" s="916"/>
      <c r="I206" s="916"/>
      <c r="J206" s="916"/>
      <c r="K206" s="916"/>
      <c r="L206" s="916"/>
      <c r="M206" s="916"/>
      <c r="N206" s="916"/>
      <c r="O206" s="916"/>
      <c r="P206" s="916"/>
      <c r="Q206" s="916"/>
      <c r="R206" s="916"/>
      <c r="S206" s="916"/>
      <c r="T206" s="916"/>
      <c r="U206" s="916"/>
      <c r="V206" s="916"/>
      <c r="W206" s="916"/>
      <c r="X206" s="916"/>
      <c r="Y206" s="916"/>
      <c r="Z206" s="916"/>
      <c r="AA206" s="916"/>
      <c r="AB206" s="916"/>
      <c r="AC206" s="916"/>
      <c r="AD206" s="916"/>
      <c r="AE206" s="916"/>
      <c r="AF206" s="916"/>
      <c r="AG206" s="916"/>
      <c r="AH206" s="916"/>
      <c r="AI206" s="916"/>
      <c r="AJ206" s="916"/>
      <c r="AK206" s="916"/>
      <c r="AL206" s="916"/>
      <c r="AM206" s="916"/>
      <c r="AN206" s="916"/>
      <c r="AO206" s="916"/>
      <c r="AP206" s="916"/>
      <c r="AQ206" s="916"/>
      <c r="AR206" s="916"/>
      <c r="AS206" s="916"/>
      <c r="AT206" s="916"/>
      <c r="AU206" s="916"/>
      <c r="AV206" s="916"/>
      <c r="AW206" s="916"/>
      <c r="AX206" s="916"/>
      <c r="AY206" s="916"/>
      <c r="AZ206" s="916"/>
      <c r="BA206" s="916"/>
      <c r="BB206" s="916"/>
      <c r="BC206" s="916"/>
      <c r="BD206" s="916"/>
      <c r="BE206" s="916"/>
      <c r="BF206" s="916"/>
      <c r="BG206" s="916"/>
      <c r="BH206" s="916"/>
      <c r="BI206" s="916"/>
      <c r="BJ206" s="916"/>
      <c r="BK206" s="916"/>
      <c r="BL206" s="916"/>
      <c r="BM206" s="916"/>
      <c r="BN206" s="916"/>
      <c r="BO206" s="916"/>
      <c r="BP206" s="916"/>
      <c r="BQ206" s="916"/>
      <c r="BR206" s="916"/>
      <c r="BS206" s="916"/>
      <c r="BT206" s="916"/>
    </row>
    <row r="207" spans="1:72" x14ac:dyDescent="0.2">
      <c r="A207" s="916" t="s">
        <v>630</v>
      </c>
      <c r="B207" s="916"/>
      <c r="C207" s="916"/>
      <c r="D207" s="916"/>
      <c r="E207" s="916"/>
      <c r="F207" s="916"/>
      <c r="G207" s="916"/>
      <c r="H207" s="916"/>
      <c r="I207" s="916"/>
      <c r="J207" s="916"/>
      <c r="K207" s="916"/>
      <c r="L207" s="916"/>
      <c r="M207" s="916"/>
      <c r="N207" s="916"/>
      <c r="O207" s="916"/>
      <c r="P207" s="916"/>
      <c r="Q207" s="916"/>
      <c r="R207" s="916"/>
      <c r="S207" s="916"/>
      <c r="T207" s="916"/>
      <c r="U207" s="916"/>
      <c r="V207" s="916"/>
      <c r="W207" s="916"/>
      <c r="X207" s="916"/>
      <c r="Y207" s="916"/>
      <c r="Z207" s="916"/>
      <c r="AA207" s="916"/>
      <c r="AB207" s="916"/>
      <c r="AC207" s="916"/>
      <c r="AD207" s="916"/>
      <c r="AE207" s="916"/>
      <c r="AF207" s="916"/>
      <c r="AG207" s="916"/>
      <c r="AH207" s="916"/>
      <c r="AI207" s="916"/>
      <c r="AJ207" s="916"/>
      <c r="AK207" s="916"/>
      <c r="AL207" s="916"/>
      <c r="AM207" s="916"/>
      <c r="AN207" s="916"/>
      <c r="AO207" s="916"/>
      <c r="AP207" s="916"/>
      <c r="AQ207" s="916"/>
      <c r="AR207" s="916"/>
      <c r="AS207" s="916"/>
      <c r="AT207" s="916"/>
      <c r="AU207" s="916"/>
      <c r="AV207" s="916"/>
      <c r="AW207" s="916"/>
      <c r="AX207" s="916"/>
      <c r="AY207" s="916"/>
      <c r="AZ207" s="916"/>
      <c r="BA207" s="916"/>
      <c r="BB207" s="916"/>
      <c r="BC207" s="916"/>
      <c r="BD207" s="916"/>
      <c r="BE207" s="916"/>
      <c r="BF207" s="916"/>
      <c r="BG207" s="916"/>
      <c r="BH207" s="916"/>
      <c r="BI207" s="916"/>
      <c r="BJ207" s="916"/>
      <c r="BK207" s="916"/>
      <c r="BL207" s="916"/>
      <c r="BM207" s="916"/>
      <c r="BN207" s="916"/>
      <c r="BO207" s="916"/>
      <c r="BP207" s="916"/>
      <c r="BQ207" s="916"/>
      <c r="BR207" s="916"/>
      <c r="BS207" s="916"/>
      <c r="BT207" s="916"/>
    </row>
    <row r="208" spans="1:72" x14ac:dyDescent="0.2">
      <c r="A208" s="916" t="s">
        <v>631</v>
      </c>
      <c r="B208" s="916"/>
      <c r="C208" s="916"/>
      <c r="D208" s="916"/>
      <c r="E208" s="916"/>
      <c r="F208" s="916"/>
      <c r="G208" s="916"/>
      <c r="H208" s="916"/>
      <c r="I208" s="916"/>
      <c r="J208" s="916"/>
      <c r="K208" s="916"/>
      <c r="L208" s="916"/>
      <c r="M208" s="916"/>
      <c r="N208" s="916"/>
      <c r="O208" s="916"/>
      <c r="P208" s="916"/>
      <c r="Q208" s="916"/>
      <c r="R208" s="916"/>
      <c r="S208" s="916"/>
      <c r="T208" s="916"/>
      <c r="U208" s="916"/>
      <c r="V208" s="916"/>
      <c r="W208" s="916"/>
      <c r="X208" s="916"/>
      <c r="Y208" s="916"/>
      <c r="Z208" s="916"/>
      <c r="AA208" s="916"/>
      <c r="AB208" s="916"/>
      <c r="AC208" s="916"/>
      <c r="AD208" s="916"/>
      <c r="AE208" s="916"/>
      <c r="AF208" s="916"/>
      <c r="AG208" s="916"/>
      <c r="AH208" s="916"/>
      <c r="AI208" s="916"/>
      <c r="AJ208" s="916"/>
      <c r="AK208" s="916"/>
      <c r="AL208" s="916"/>
      <c r="AM208" s="916"/>
      <c r="AN208" s="916"/>
      <c r="AO208" s="916"/>
      <c r="AP208" s="916"/>
      <c r="AQ208" s="916"/>
      <c r="AR208" s="916"/>
      <c r="AS208" s="916"/>
      <c r="AT208" s="916"/>
      <c r="AU208" s="916"/>
      <c r="AV208" s="916"/>
      <c r="AW208" s="916"/>
      <c r="AX208" s="916"/>
      <c r="AY208" s="916"/>
      <c r="AZ208" s="916"/>
      <c r="BA208" s="916"/>
      <c r="BB208" s="916"/>
      <c r="BC208" s="916"/>
      <c r="BD208" s="916"/>
      <c r="BE208" s="916"/>
      <c r="BF208" s="916"/>
      <c r="BG208" s="916"/>
      <c r="BH208" s="916"/>
      <c r="BI208" s="916"/>
      <c r="BJ208" s="916"/>
      <c r="BK208" s="916"/>
      <c r="BL208" s="916"/>
      <c r="BM208" s="916"/>
      <c r="BN208" s="916"/>
      <c r="BO208" s="916"/>
      <c r="BP208" s="916"/>
      <c r="BQ208" s="916"/>
      <c r="BR208" s="916"/>
      <c r="BS208" s="916"/>
      <c r="BT208" s="916"/>
    </row>
    <row r="209" spans="1:72" x14ac:dyDescent="0.2">
      <c r="A209" s="916" t="s">
        <v>632</v>
      </c>
      <c r="B209" s="916"/>
      <c r="C209" s="916"/>
      <c r="D209" s="916"/>
      <c r="E209" s="916"/>
      <c r="F209" s="916"/>
      <c r="G209" s="916"/>
      <c r="H209" s="916"/>
      <c r="I209" s="916"/>
      <c r="J209" s="916"/>
      <c r="K209" s="916"/>
      <c r="L209" s="916"/>
      <c r="M209" s="916"/>
      <c r="N209" s="916"/>
      <c r="O209" s="916"/>
      <c r="P209" s="916"/>
      <c r="Q209" s="916"/>
      <c r="R209" s="916"/>
      <c r="S209" s="916"/>
      <c r="T209" s="916"/>
      <c r="U209" s="916"/>
      <c r="V209" s="916"/>
      <c r="W209" s="916"/>
      <c r="X209" s="916"/>
      <c r="Y209" s="916"/>
      <c r="Z209" s="916"/>
      <c r="AA209" s="916"/>
      <c r="AB209" s="916"/>
      <c r="AC209" s="916"/>
      <c r="AD209" s="916"/>
      <c r="AE209" s="916"/>
      <c r="AF209" s="916"/>
      <c r="AG209" s="916"/>
      <c r="AH209" s="916"/>
      <c r="AI209" s="916"/>
      <c r="AJ209" s="916"/>
      <c r="AK209" s="916"/>
      <c r="AL209" s="916"/>
      <c r="AM209" s="916"/>
      <c r="AN209" s="916"/>
      <c r="AO209" s="916"/>
      <c r="AP209" s="916"/>
      <c r="AQ209" s="916"/>
      <c r="AR209" s="916"/>
      <c r="AS209" s="916"/>
      <c r="AT209" s="916"/>
      <c r="AU209" s="916"/>
      <c r="AV209" s="916"/>
      <c r="AW209" s="916"/>
      <c r="AX209" s="916"/>
      <c r="AY209" s="916"/>
      <c r="AZ209" s="916"/>
      <c r="BA209" s="916"/>
      <c r="BB209" s="916"/>
      <c r="BC209" s="916"/>
      <c r="BD209" s="916"/>
      <c r="BE209" s="916"/>
      <c r="BF209" s="916"/>
      <c r="BG209" s="916"/>
      <c r="BH209" s="916"/>
      <c r="BI209" s="916"/>
      <c r="BJ209" s="916"/>
      <c r="BK209" s="916"/>
      <c r="BL209" s="916"/>
      <c r="BM209" s="916"/>
      <c r="BN209" s="916"/>
      <c r="BO209" s="916"/>
      <c r="BP209" s="916"/>
      <c r="BQ209" s="916"/>
      <c r="BR209" s="916"/>
      <c r="BS209" s="916"/>
      <c r="BT209" s="916"/>
    </row>
    <row r="210" spans="1:72" x14ac:dyDescent="0.2">
      <c r="A210" s="916" t="s">
        <v>790</v>
      </c>
      <c r="B210" s="916"/>
      <c r="C210" s="916"/>
      <c r="D210" s="916"/>
      <c r="E210" s="916"/>
      <c r="F210" s="916"/>
      <c r="G210" s="916"/>
      <c r="H210" s="916"/>
      <c r="I210" s="916"/>
      <c r="J210" s="916"/>
      <c r="K210" s="916"/>
      <c r="L210" s="916"/>
      <c r="M210" s="916"/>
      <c r="N210" s="916"/>
      <c r="O210" s="916"/>
      <c r="P210" s="916"/>
      <c r="Q210" s="916"/>
      <c r="R210" s="916"/>
      <c r="S210" s="916"/>
      <c r="T210" s="916"/>
      <c r="U210" s="916"/>
      <c r="V210" s="916"/>
      <c r="W210" s="916"/>
      <c r="X210" s="916"/>
      <c r="Y210" s="916"/>
      <c r="Z210" s="916"/>
      <c r="AA210" s="916"/>
      <c r="AB210" s="916"/>
      <c r="AC210" s="916"/>
      <c r="AD210" s="916"/>
      <c r="AE210" s="916"/>
      <c r="AF210" s="916"/>
      <c r="AG210" s="916"/>
      <c r="AH210" s="916"/>
      <c r="AI210" s="916"/>
      <c r="AJ210" s="916"/>
      <c r="AK210" s="916"/>
      <c r="AL210" s="916"/>
      <c r="AM210" s="916"/>
      <c r="AN210" s="916"/>
      <c r="AO210" s="916"/>
      <c r="AP210" s="916"/>
      <c r="AQ210" s="916"/>
      <c r="AR210" s="916"/>
      <c r="AS210" s="916"/>
      <c r="AT210" s="916"/>
      <c r="AU210" s="916"/>
      <c r="AV210" s="916"/>
      <c r="AW210" s="916"/>
      <c r="AX210" s="916"/>
      <c r="AY210" s="916"/>
      <c r="AZ210" s="916"/>
      <c r="BA210" s="916"/>
      <c r="BB210" s="916"/>
      <c r="BC210" s="916"/>
      <c r="BD210" s="916"/>
      <c r="BE210" s="916"/>
      <c r="BF210" s="916"/>
      <c r="BG210" s="916"/>
      <c r="BH210" s="916"/>
      <c r="BI210" s="916"/>
      <c r="BJ210" s="916"/>
      <c r="BK210" s="916"/>
      <c r="BL210" s="916"/>
      <c r="BM210" s="916"/>
      <c r="BN210" s="916"/>
      <c r="BO210" s="916"/>
      <c r="BP210" s="916"/>
      <c r="BQ210" s="916"/>
      <c r="BR210" s="916"/>
      <c r="BS210" s="916"/>
      <c r="BT210" s="916"/>
    </row>
    <row r="211" spans="1:72" x14ac:dyDescent="0.2">
      <c r="A211" s="916" t="s">
        <v>791</v>
      </c>
      <c r="B211" s="916"/>
      <c r="C211" s="916"/>
      <c r="D211" s="916"/>
      <c r="E211" s="916"/>
      <c r="F211" s="916"/>
      <c r="G211" s="916"/>
      <c r="H211" s="916"/>
      <c r="I211" s="916"/>
      <c r="J211" s="916"/>
      <c r="K211" s="916"/>
      <c r="L211" s="916"/>
      <c r="M211" s="916"/>
      <c r="N211" s="916"/>
      <c r="O211" s="916"/>
      <c r="P211" s="916"/>
      <c r="Q211" s="916"/>
      <c r="R211" s="916"/>
      <c r="S211" s="916"/>
      <c r="T211" s="916"/>
      <c r="U211" s="916"/>
      <c r="V211" s="916"/>
      <c r="W211" s="916"/>
      <c r="X211" s="916"/>
      <c r="Y211" s="916"/>
      <c r="Z211" s="916"/>
      <c r="AA211" s="916"/>
      <c r="AB211" s="916"/>
      <c r="AC211" s="916"/>
      <c r="AD211" s="916"/>
      <c r="AE211" s="916"/>
      <c r="AF211" s="916"/>
      <c r="AG211" s="916"/>
      <c r="AH211" s="916"/>
      <c r="AI211" s="916"/>
      <c r="AJ211" s="916"/>
      <c r="AK211" s="916"/>
      <c r="AL211" s="916"/>
      <c r="AM211" s="916"/>
      <c r="AN211" s="916"/>
      <c r="AO211" s="916"/>
      <c r="AP211" s="916"/>
      <c r="AQ211" s="916"/>
      <c r="AR211" s="916"/>
      <c r="AS211" s="916"/>
      <c r="AT211" s="916"/>
      <c r="AU211" s="916"/>
      <c r="AV211" s="916"/>
      <c r="AW211" s="916"/>
      <c r="AX211" s="916"/>
      <c r="AY211" s="916"/>
      <c r="AZ211" s="916"/>
      <c r="BA211" s="916"/>
      <c r="BB211" s="916"/>
      <c r="BC211" s="916"/>
      <c r="BD211" s="916"/>
      <c r="BE211" s="916"/>
      <c r="BF211" s="916"/>
      <c r="BG211" s="916"/>
      <c r="BH211" s="916"/>
      <c r="BI211" s="916"/>
      <c r="BJ211" s="916"/>
      <c r="BK211" s="916"/>
      <c r="BL211" s="916"/>
      <c r="BM211" s="916"/>
      <c r="BN211" s="916"/>
      <c r="BO211" s="916"/>
      <c r="BP211" s="916"/>
      <c r="BQ211" s="916"/>
      <c r="BR211" s="916"/>
      <c r="BS211" s="916"/>
      <c r="BT211" s="916"/>
    </row>
    <row r="212" spans="1:72" x14ac:dyDescent="0.2">
      <c r="A212" s="916" t="s">
        <v>649</v>
      </c>
      <c r="B212" s="916"/>
      <c r="C212" s="916"/>
      <c r="D212" s="916"/>
      <c r="E212" s="916"/>
      <c r="F212" s="916"/>
      <c r="G212" s="916"/>
      <c r="H212" s="916"/>
      <c r="I212" s="916"/>
      <c r="J212" s="916"/>
      <c r="K212" s="916"/>
      <c r="L212" s="916"/>
      <c r="M212" s="916"/>
      <c r="N212" s="916"/>
      <c r="O212" s="916"/>
      <c r="P212" s="916"/>
      <c r="Q212" s="916"/>
      <c r="R212" s="916"/>
      <c r="S212" s="916"/>
      <c r="T212" s="916"/>
      <c r="U212" s="916"/>
      <c r="V212" s="916"/>
      <c r="W212" s="916"/>
      <c r="X212" s="916"/>
      <c r="Y212" s="916"/>
      <c r="Z212" s="916"/>
      <c r="AA212" s="916"/>
      <c r="AB212" s="916"/>
      <c r="AC212" s="916"/>
      <c r="AD212" s="916"/>
      <c r="AE212" s="916"/>
      <c r="AF212" s="916"/>
      <c r="AG212" s="916"/>
      <c r="AH212" s="916"/>
      <c r="AI212" s="916"/>
      <c r="AJ212" s="916"/>
      <c r="AK212" s="916"/>
      <c r="AL212" s="916"/>
      <c r="AM212" s="916"/>
      <c r="AN212" s="916"/>
      <c r="AO212" s="916"/>
      <c r="AP212" s="916"/>
      <c r="AQ212" s="916"/>
      <c r="AR212" s="916"/>
      <c r="AS212" s="916"/>
      <c r="AT212" s="916"/>
      <c r="AU212" s="916"/>
      <c r="AV212" s="916"/>
      <c r="AW212" s="916"/>
      <c r="AX212" s="916"/>
      <c r="AY212" s="916"/>
      <c r="AZ212" s="916"/>
      <c r="BA212" s="916"/>
      <c r="BB212" s="916"/>
      <c r="BC212" s="916"/>
      <c r="BD212" s="916"/>
      <c r="BE212" s="916"/>
      <c r="BF212" s="916"/>
      <c r="BG212" s="916"/>
      <c r="BH212" s="916"/>
      <c r="BI212" s="916"/>
      <c r="BJ212" s="916"/>
      <c r="BK212" s="916"/>
      <c r="BL212" s="916"/>
      <c r="BM212" s="916"/>
      <c r="BN212" s="916"/>
      <c r="BO212" s="916"/>
      <c r="BP212" s="916"/>
      <c r="BQ212" s="916"/>
      <c r="BR212" s="916"/>
      <c r="BS212" s="916"/>
      <c r="BT212" s="916"/>
    </row>
    <row r="213" spans="1:72" x14ac:dyDescent="0.2">
      <c r="A213" s="916" t="s">
        <v>650</v>
      </c>
      <c r="B213" s="916"/>
      <c r="C213" s="916"/>
      <c r="D213" s="916"/>
      <c r="E213" s="916"/>
      <c r="F213" s="916"/>
      <c r="G213" s="916"/>
      <c r="H213" s="916"/>
      <c r="I213" s="916"/>
      <c r="J213" s="916"/>
      <c r="K213" s="916"/>
      <c r="L213" s="916"/>
      <c r="M213" s="916"/>
      <c r="N213" s="916"/>
      <c r="O213" s="916"/>
      <c r="P213" s="916"/>
      <c r="Q213" s="916"/>
      <c r="R213" s="916"/>
      <c r="S213" s="916"/>
      <c r="T213" s="916"/>
      <c r="U213" s="916"/>
      <c r="V213" s="916"/>
      <c r="W213" s="916"/>
      <c r="X213" s="916"/>
      <c r="Y213" s="916"/>
      <c r="Z213" s="916"/>
      <c r="AA213" s="916"/>
      <c r="AB213" s="916"/>
      <c r="AC213" s="916"/>
      <c r="AD213" s="916"/>
      <c r="AE213" s="916"/>
      <c r="AF213" s="916"/>
      <c r="AG213" s="916"/>
      <c r="AH213" s="916"/>
      <c r="AI213" s="916"/>
      <c r="AJ213" s="916"/>
      <c r="AK213" s="916"/>
      <c r="AL213" s="916"/>
      <c r="AM213" s="916"/>
      <c r="AN213" s="916"/>
      <c r="AO213" s="916"/>
      <c r="AP213" s="916"/>
      <c r="AQ213" s="916"/>
      <c r="AR213" s="916"/>
      <c r="AS213" s="916"/>
      <c r="AT213" s="916"/>
      <c r="AU213" s="916"/>
      <c r="AV213" s="916"/>
      <c r="AW213" s="916"/>
      <c r="AX213" s="916"/>
      <c r="AY213" s="916"/>
      <c r="AZ213" s="916"/>
      <c r="BA213" s="916"/>
      <c r="BB213" s="916"/>
      <c r="BC213" s="916"/>
      <c r="BD213" s="916"/>
      <c r="BE213" s="916"/>
      <c r="BF213" s="916"/>
      <c r="BG213" s="916"/>
      <c r="BH213" s="916"/>
      <c r="BI213" s="916"/>
      <c r="BJ213" s="916"/>
      <c r="BK213" s="916"/>
      <c r="BL213" s="916"/>
      <c r="BM213" s="916"/>
      <c r="BN213" s="916"/>
      <c r="BO213" s="916"/>
      <c r="BP213" s="916"/>
      <c r="BQ213" s="916"/>
      <c r="BR213" s="916"/>
      <c r="BS213" s="916"/>
      <c r="BT213" s="916"/>
    </row>
    <row r="214" spans="1:72" x14ac:dyDescent="0.2">
      <c r="A214" s="916" t="s">
        <v>651</v>
      </c>
      <c r="B214" s="916"/>
      <c r="C214" s="916"/>
      <c r="D214" s="916"/>
      <c r="E214" s="916"/>
      <c r="F214" s="916"/>
      <c r="G214" s="916"/>
      <c r="H214" s="916"/>
      <c r="I214" s="916"/>
      <c r="J214" s="916"/>
      <c r="K214" s="916"/>
      <c r="L214" s="916"/>
      <c r="M214" s="916"/>
      <c r="N214" s="916"/>
      <c r="O214" s="916"/>
      <c r="P214" s="916"/>
      <c r="Q214" s="916"/>
      <c r="R214" s="916"/>
      <c r="S214" s="916"/>
      <c r="T214" s="916"/>
      <c r="U214" s="916"/>
      <c r="V214" s="916"/>
      <c r="W214" s="916"/>
      <c r="X214" s="916"/>
      <c r="Y214" s="916"/>
      <c r="Z214" s="916"/>
      <c r="AA214" s="916"/>
      <c r="AB214" s="916"/>
      <c r="AC214" s="916"/>
      <c r="AD214" s="916"/>
      <c r="AE214" s="916"/>
      <c r="AF214" s="916"/>
      <c r="AG214" s="916"/>
      <c r="AH214" s="916"/>
      <c r="AI214" s="916"/>
      <c r="AJ214" s="916"/>
      <c r="AK214" s="916"/>
      <c r="AL214" s="916"/>
      <c r="AM214" s="916"/>
      <c r="AN214" s="916"/>
      <c r="AO214" s="916"/>
      <c r="AP214" s="916"/>
      <c r="AQ214" s="916"/>
      <c r="AR214" s="916"/>
      <c r="AS214" s="916"/>
      <c r="AT214" s="916"/>
      <c r="AU214" s="916"/>
      <c r="AV214" s="916"/>
      <c r="AW214" s="916"/>
      <c r="AX214" s="916"/>
      <c r="AY214" s="916"/>
      <c r="AZ214" s="916"/>
      <c r="BA214" s="916"/>
      <c r="BB214" s="916"/>
      <c r="BC214" s="916"/>
      <c r="BD214" s="916"/>
      <c r="BE214" s="916"/>
      <c r="BF214" s="916"/>
      <c r="BG214" s="916"/>
      <c r="BH214" s="916"/>
      <c r="BI214" s="916"/>
      <c r="BJ214" s="916"/>
      <c r="BK214" s="916"/>
      <c r="BL214" s="916"/>
      <c r="BM214" s="916"/>
      <c r="BN214" s="916"/>
      <c r="BO214" s="916"/>
      <c r="BP214" s="916"/>
      <c r="BQ214" s="916"/>
      <c r="BR214" s="916"/>
      <c r="BS214" s="916"/>
      <c r="BT214" s="916"/>
    </row>
    <row r="215" spans="1:72" x14ac:dyDescent="0.2">
      <c r="A215" s="916" t="s">
        <v>652</v>
      </c>
      <c r="B215" s="916"/>
      <c r="C215" s="916"/>
      <c r="D215" s="916"/>
      <c r="E215" s="916"/>
      <c r="F215" s="916"/>
      <c r="G215" s="916"/>
      <c r="H215" s="916"/>
      <c r="I215" s="916"/>
      <c r="J215" s="916"/>
      <c r="K215" s="916"/>
      <c r="L215" s="916"/>
      <c r="M215" s="916"/>
      <c r="N215" s="916"/>
      <c r="O215" s="916"/>
      <c r="P215" s="916"/>
      <c r="Q215" s="916"/>
      <c r="R215" s="916"/>
      <c r="S215" s="916"/>
      <c r="T215" s="916"/>
      <c r="U215" s="916"/>
      <c r="V215" s="916"/>
      <c r="W215" s="916"/>
      <c r="X215" s="916"/>
      <c r="Y215" s="916"/>
      <c r="Z215" s="916"/>
      <c r="AA215" s="916"/>
      <c r="AB215" s="916"/>
      <c r="AC215" s="916"/>
      <c r="AD215" s="916"/>
      <c r="AE215" s="916"/>
      <c r="AF215" s="916"/>
      <c r="AG215" s="916"/>
      <c r="AH215" s="916"/>
      <c r="AI215" s="916"/>
      <c r="AJ215" s="916"/>
      <c r="AK215" s="916"/>
      <c r="AL215" s="916"/>
      <c r="AM215" s="916"/>
      <c r="AN215" s="916"/>
      <c r="AO215" s="916"/>
      <c r="AP215" s="916"/>
      <c r="AQ215" s="916"/>
      <c r="AR215" s="916"/>
      <c r="AS215" s="916"/>
      <c r="AT215" s="916"/>
      <c r="AU215" s="916"/>
      <c r="AV215" s="916"/>
      <c r="AW215" s="916"/>
      <c r="AX215" s="916"/>
      <c r="AY215" s="916"/>
      <c r="AZ215" s="916"/>
      <c r="BA215" s="916"/>
      <c r="BB215" s="916"/>
      <c r="BC215" s="916"/>
      <c r="BD215" s="916"/>
      <c r="BE215" s="916"/>
      <c r="BF215" s="916"/>
      <c r="BG215" s="916"/>
      <c r="BH215" s="916"/>
      <c r="BI215" s="916"/>
      <c r="BJ215" s="916"/>
      <c r="BK215" s="916"/>
      <c r="BL215" s="916"/>
      <c r="BM215" s="916"/>
      <c r="BN215" s="916"/>
      <c r="BO215" s="916"/>
      <c r="BP215" s="916"/>
      <c r="BQ215" s="916"/>
      <c r="BR215" s="916"/>
      <c r="BS215" s="916"/>
      <c r="BT215" s="916"/>
    </row>
    <row r="216" spans="1:72" x14ac:dyDescent="0.2">
      <c r="A216" s="916" t="s">
        <v>653</v>
      </c>
      <c r="B216" s="916"/>
      <c r="C216" s="916"/>
      <c r="D216" s="916"/>
      <c r="E216" s="916"/>
      <c r="F216" s="916"/>
      <c r="G216" s="916"/>
      <c r="H216" s="916"/>
      <c r="I216" s="916"/>
      <c r="J216" s="916"/>
      <c r="K216" s="916"/>
      <c r="L216" s="916"/>
      <c r="M216" s="916"/>
      <c r="N216" s="916"/>
      <c r="O216" s="916"/>
      <c r="P216" s="916"/>
      <c r="Q216" s="916"/>
      <c r="R216" s="916"/>
      <c r="S216" s="916"/>
      <c r="T216" s="916"/>
      <c r="U216" s="916"/>
      <c r="V216" s="916"/>
      <c r="W216" s="916"/>
      <c r="X216" s="916"/>
      <c r="Y216" s="916"/>
      <c r="Z216" s="916"/>
      <c r="AA216" s="916"/>
      <c r="AB216" s="916"/>
      <c r="AC216" s="916"/>
      <c r="AD216" s="916"/>
      <c r="AE216" s="916"/>
      <c r="AF216" s="916"/>
      <c r="AG216" s="916"/>
      <c r="AH216" s="916"/>
      <c r="AI216" s="916"/>
      <c r="AJ216" s="916"/>
      <c r="AK216" s="916"/>
      <c r="AL216" s="916"/>
      <c r="AM216" s="916"/>
      <c r="AN216" s="916"/>
      <c r="AO216" s="916"/>
      <c r="AP216" s="916"/>
      <c r="AQ216" s="916"/>
      <c r="AR216" s="916"/>
      <c r="AS216" s="916"/>
      <c r="AT216" s="916"/>
      <c r="AU216" s="916"/>
      <c r="AV216" s="916"/>
      <c r="AW216" s="916"/>
      <c r="AX216" s="916"/>
      <c r="AY216" s="916"/>
      <c r="AZ216" s="916"/>
      <c r="BA216" s="916"/>
      <c r="BB216" s="916"/>
      <c r="BC216" s="916"/>
      <c r="BD216" s="916"/>
      <c r="BE216" s="916"/>
      <c r="BF216" s="916"/>
      <c r="BG216" s="916"/>
      <c r="BH216" s="916"/>
      <c r="BI216" s="916"/>
      <c r="BJ216" s="916"/>
      <c r="BK216" s="916"/>
      <c r="BL216" s="916"/>
      <c r="BM216" s="916"/>
      <c r="BN216" s="916"/>
      <c r="BO216" s="916"/>
      <c r="BP216" s="916"/>
      <c r="BQ216" s="916"/>
      <c r="BR216" s="916"/>
      <c r="BS216" s="916"/>
      <c r="BT216" s="916"/>
    </row>
    <row r="217" spans="1:72" x14ac:dyDescent="0.2">
      <c r="A217" s="916" t="s">
        <v>654</v>
      </c>
      <c r="B217" s="916"/>
      <c r="C217" s="916"/>
      <c r="D217" s="916"/>
      <c r="E217" s="916"/>
      <c r="F217" s="916"/>
      <c r="G217" s="916"/>
      <c r="H217" s="916"/>
      <c r="I217" s="916"/>
      <c r="J217" s="916"/>
      <c r="K217" s="916"/>
      <c r="L217" s="916"/>
      <c r="M217" s="916"/>
      <c r="N217" s="916"/>
      <c r="O217" s="916"/>
      <c r="P217" s="916"/>
      <c r="Q217" s="916"/>
      <c r="R217" s="916"/>
      <c r="S217" s="916"/>
      <c r="T217" s="916"/>
      <c r="U217" s="916"/>
      <c r="V217" s="916"/>
      <c r="W217" s="916"/>
      <c r="X217" s="916"/>
      <c r="Y217" s="916"/>
      <c r="Z217" s="916"/>
      <c r="AA217" s="916"/>
      <c r="AB217" s="916"/>
      <c r="AC217" s="916"/>
      <c r="AD217" s="916"/>
      <c r="AE217" s="916"/>
      <c r="AF217" s="916"/>
      <c r="AG217" s="916"/>
      <c r="AH217" s="916"/>
      <c r="AI217" s="916"/>
      <c r="AJ217" s="916"/>
      <c r="AK217" s="916"/>
      <c r="AL217" s="916"/>
      <c r="AM217" s="916"/>
      <c r="AN217" s="916"/>
      <c r="AO217" s="916"/>
      <c r="AP217" s="916"/>
      <c r="AQ217" s="916"/>
      <c r="AR217" s="916"/>
      <c r="AS217" s="916"/>
      <c r="AT217" s="916"/>
      <c r="AU217" s="916"/>
      <c r="AV217" s="916"/>
      <c r="AW217" s="916"/>
      <c r="AX217" s="916"/>
      <c r="AY217" s="916"/>
      <c r="AZ217" s="916"/>
      <c r="BA217" s="916"/>
      <c r="BB217" s="916"/>
      <c r="BC217" s="916"/>
      <c r="BD217" s="916"/>
      <c r="BE217" s="916"/>
      <c r="BF217" s="916"/>
      <c r="BG217" s="916"/>
      <c r="BH217" s="916"/>
      <c r="BI217" s="916"/>
      <c r="BJ217" s="916"/>
      <c r="BK217" s="916"/>
      <c r="BL217" s="916"/>
      <c r="BM217" s="916"/>
      <c r="BN217" s="916"/>
      <c r="BO217" s="916"/>
      <c r="BP217" s="916"/>
      <c r="BQ217" s="916"/>
      <c r="BR217" s="916"/>
      <c r="BS217" s="916"/>
      <c r="BT217" s="916"/>
    </row>
    <row r="218" spans="1:72" x14ac:dyDescent="0.2">
      <c r="A218" s="916" t="s">
        <v>545</v>
      </c>
      <c r="B218" s="916"/>
      <c r="C218" s="916"/>
      <c r="D218" s="916"/>
      <c r="E218" s="916"/>
      <c r="F218" s="916"/>
      <c r="G218" s="916"/>
      <c r="H218" s="916"/>
      <c r="I218" s="916"/>
      <c r="J218" s="916"/>
      <c r="K218" s="916"/>
      <c r="L218" s="916"/>
      <c r="M218" s="916"/>
      <c r="N218" s="916"/>
      <c r="O218" s="916"/>
      <c r="P218" s="916"/>
      <c r="Q218" s="916"/>
      <c r="R218" s="916"/>
      <c r="S218" s="916"/>
      <c r="T218" s="916"/>
      <c r="U218" s="916"/>
      <c r="V218" s="916"/>
      <c r="W218" s="916"/>
      <c r="X218" s="916"/>
      <c r="Y218" s="916"/>
      <c r="Z218" s="916"/>
      <c r="AA218" s="916"/>
      <c r="AB218" s="916"/>
      <c r="AC218" s="916"/>
      <c r="AD218" s="916"/>
      <c r="AE218" s="916"/>
      <c r="AF218" s="916"/>
      <c r="AG218" s="916"/>
      <c r="AH218" s="916"/>
      <c r="AI218" s="916"/>
      <c r="AJ218" s="916"/>
      <c r="AK218" s="916"/>
      <c r="AL218" s="916"/>
      <c r="AM218" s="916"/>
      <c r="AN218" s="916"/>
      <c r="AO218" s="916"/>
      <c r="AP218" s="916"/>
      <c r="AQ218" s="916"/>
      <c r="AR218" s="916"/>
      <c r="AS218" s="916"/>
      <c r="AT218" s="916"/>
      <c r="AU218" s="916"/>
      <c r="AV218" s="916"/>
      <c r="AW218" s="916"/>
      <c r="AX218" s="916"/>
      <c r="AY218" s="916"/>
      <c r="AZ218" s="916"/>
      <c r="BA218" s="916"/>
      <c r="BB218" s="916"/>
      <c r="BC218" s="916"/>
      <c r="BD218" s="916"/>
      <c r="BE218" s="916"/>
      <c r="BF218" s="916"/>
      <c r="BG218" s="916"/>
      <c r="BH218" s="916"/>
      <c r="BI218" s="916"/>
      <c r="BJ218" s="916"/>
      <c r="BK218" s="916"/>
      <c r="BL218" s="916"/>
      <c r="BM218" s="916"/>
      <c r="BN218" s="916"/>
      <c r="BO218" s="916"/>
      <c r="BP218" s="916"/>
      <c r="BQ218" s="916"/>
      <c r="BR218" s="916"/>
      <c r="BS218" s="916"/>
      <c r="BT218" s="916"/>
    </row>
    <row r="219" spans="1:72" x14ac:dyDescent="0.2">
      <c r="A219" s="916" t="s">
        <v>730</v>
      </c>
      <c r="B219" s="916"/>
      <c r="C219" s="916"/>
      <c r="D219" s="916"/>
      <c r="E219" s="916"/>
      <c r="F219" s="916"/>
      <c r="G219" s="916"/>
      <c r="H219" s="916"/>
      <c r="I219" s="916"/>
      <c r="J219" s="916"/>
      <c r="K219" s="916"/>
      <c r="L219" s="916"/>
      <c r="M219" s="916"/>
      <c r="N219" s="916"/>
      <c r="O219" s="916"/>
      <c r="P219" s="916"/>
      <c r="Q219" s="916"/>
      <c r="R219" s="916"/>
      <c r="S219" s="916"/>
      <c r="T219" s="916"/>
      <c r="U219" s="916"/>
      <c r="V219" s="916"/>
      <c r="W219" s="916"/>
      <c r="X219" s="916"/>
      <c r="Y219" s="916"/>
      <c r="Z219" s="916"/>
      <c r="AA219" s="916"/>
      <c r="AB219" s="916"/>
      <c r="AC219" s="916"/>
      <c r="AD219" s="916"/>
      <c r="AE219" s="916"/>
      <c r="AF219" s="916"/>
      <c r="AG219" s="916"/>
      <c r="AH219" s="916"/>
      <c r="AI219" s="916"/>
      <c r="AJ219" s="916"/>
      <c r="AK219" s="916"/>
      <c r="AL219" s="916"/>
      <c r="AM219" s="916"/>
      <c r="AN219" s="916"/>
      <c r="AO219" s="916"/>
      <c r="AP219" s="916"/>
      <c r="AQ219" s="916"/>
      <c r="AR219" s="916"/>
      <c r="AS219" s="916"/>
      <c r="AT219" s="916"/>
      <c r="AU219" s="916"/>
      <c r="AV219" s="916"/>
      <c r="AW219" s="916"/>
      <c r="AX219" s="916"/>
      <c r="AY219" s="916"/>
      <c r="AZ219" s="916"/>
      <c r="BA219" s="916"/>
      <c r="BB219" s="916"/>
      <c r="BC219" s="916"/>
      <c r="BD219" s="916"/>
      <c r="BE219" s="916"/>
      <c r="BF219" s="916"/>
      <c r="BG219" s="916"/>
      <c r="BH219" s="916"/>
      <c r="BI219" s="916"/>
      <c r="BJ219" s="916"/>
      <c r="BK219" s="916"/>
      <c r="BL219" s="916"/>
      <c r="BM219" s="916"/>
      <c r="BN219" s="916"/>
      <c r="BO219" s="916"/>
      <c r="BP219" s="916"/>
      <c r="BQ219" s="916"/>
      <c r="BR219" s="916"/>
      <c r="BS219" s="916"/>
      <c r="BT219" s="916"/>
    </row>
    <row r="220" spans="1:72" x14ac:dyDescent="0.2">
      <c r="A220" s="916" t="s">
        <v>792</v>
      </c>
      <c r="B220" s="916"/>
      <c r="C220" s="916"/>
      <c r="D220" s="916"/>
      <c r="E220" s="916"/>
      <c r="F220" s="916"/>
      <c r="G220" s="916"/>
      <c r="H220" s="916"/>
      <c r="I220" s="916"/>
      <c r="J220" s="916"/>
      <c r="K220" s="916"/>
      <c r="L220" s="916"/>
      <c r="M220" s="916"/>
      <c r="N220" s="916"/>
      <c r="O220" s="916"/>
      <c r="P220" s="916"/>
      <c r="Q220" s="916"/>
      <c r="R220" s="916"/>
      <c r="S220" s="916"/>
      <c r="T220" s="916"/>
      <c r="U220" s="916"/>
      <c r="V220" s="916"/>
      <c r="W220" s="916"/>
      <c r="X220" s="916"/>
      <c r="Y220" s="916"/>
      <c r="Z220" s="916"/>
      <c r="AA220" s="916"/>
      <c r="AB220" s="916"/>
      <c r="AC220" s="916"/>
      <c r="AD220" s="916"/>
      <c r="AE220" s="916"/>
      <c r="AF220" s="916"/>
      <c r="AG220" s="916"/>
      <c r="AH220" s="916"/>
      <c r="AI220" s="916"/>
      <c r="AJ220" s="916"/>
      <c r="AK220" s="916"/>
      <c r="AL220" s="916"/>
      <c r="AM220" s="916"/>
      <c r="AN220" s="916"/>
      <c r="AO220" s="916"/>
      <c r="AP220" s="916"/>
      <c r="AQ220" s="916"/>
      <c r="AR220" s="916"/>
      <c r="AS220" s="916"/>
      <c r="AT220" s="916"/>
      <c r="AU220" s="916"/>
      <c r="AV220" s="916"/>
      <c r="AW220" s="916"/>
      <c r="AX220" s="916"/>
      <c r="AY220" s="916"/>
      <c r="AZ220" s="916"/>
      <c r="BA220" s="916"/>
      <c r="BB220" s="916"/>
      <c r="BC220" s="916"/>
      <c r="BD220" s="916"/>
      <c r="BE220" s="916"/>
      <c r="BF220" s="916"/>
      <c r="BG220" s="916"/>
      <c r="BH220" s="916"/>
      <c r="BI220" s="916"/>
      <c r="BJ220" s="916"/>
      <c r="BK220" s="916"/>
      <c r="BL220" s="916"/>
      <c r="BM220" s="916"/>
      <c r="BN220" s="916"/>
      <c r="BO220" s="916"/>
      <c r="BP220" s="916"/>
      <c r="BQ220" s="916"/>
      <c r="BR220" s="916"/>
      <c r="BS220" s="916"/>
      <c r="BT220" s="916"/>
    </row>
    <row r="221" spans="1:72" x14ac:dyDescent="0.2">
      <c r="A221" s="916" t="s">
        <v>793</v>
      </c>
      <c r="B221" s="916"/>
      <c r="C221" s="916"/>
      <c r="D221" s="916"/>
      <c r="E221" s="916"/>
      <c r="F221" s="916"/>
      <c r="G221" s="916"/>
      <c r="H221" s="916"/>
      <c r="I221" s="916"/>
      <c r="J221" s="916"/>
      <c r="K221" s="916"/>
      <c r="L221" s="916"/>
      <c r="M221" s="916"/>
      <c r="N221" s="916"/>
      <c r="O221" s="916"/>
      <c r="P221" s="916"/>
      <c r="Q221" s="916"/>
      <c r="R221" s="916"/>
      <c r="S221" s="916"/>
      <c r="T221" s="916"/>
      <c r="U221" s="916"/>
      <c r="V221" s="916"/>
      <c r="W221" s="916"/>
      <c r="X221" s="916"/>
      <c r="Y221" s="916"/>
      <c r="Z221" s="916"/>
      <c r="AA221" s="916"/>
      <c r="AB221" s="916"/>
      <c r="AC221" s="916"/>
      <c r="AD221" s="916"/>
      <c r="AE221" s="916"/>
      <c r="AF221" s="916"/>
      <c r="AG221" s="916"/>
      <c r="AH221" s="916"/>
      <c r="AI221" s="916"/>
      <c r="AJ221" s="916"/>
      <c r="AK221" s="916"/>
      <c r="AL221" s="916"/>
      <c r="AM221" s="916"/>
      <c r="AN221" s="916"/>
      <c r="AO221" s="916"/>
      <c r="AP221" s="916"/>
      <c r="AQ221" s="916"/>
      <c r="AR221" s="916"/>
      <c r="AS221" s="916"/>
      <c r="AT221" s="916"/>
      <c r="AU221" s="916"/>
      <c r="AV221" s="916"/>
      <c r="AW221" s="916"/>
      <c r="AX221" s="916"/>
      <c r="AY221" s="916"/>
      <c r="AZ221" s="916"/>
      <c r="BA221" s="916"/>
      <c r="BB221" s="916"/>
      <c r="BC221" s="916"/>
      <c r="BD221" s="916"/>
      <c r="BE221" s="916"/>
      <c r="BF221" s="916"/>
      <c r="BG221" s="916"/>
      <c r="BH221" s="916"/>
      <c r="BI221" s="916"/>
      <c r="BJ221" s="916"/>
      <c r="BK221" s="916"/>
      <c r="BL221" s="916"/>
      <c r="BM221" s="916"/>
      <c r="BN221" s="916"/>
      <c r="BO221" s="916"/>
      <c r="BP221" s="916"/>
      <c r="BQ221" s="916"/>
      <c r="BR221" s="916"/>
      <c r="BS221" s="916"/>
      <c r="BT221" s="916"/>
    </row>
    <row r="222" spans="1:72" x14ac:dyDescent="0.2">
      <c r="A222" s="916" t="s">
        <v>794</v>
      </c>
      <c r="B222" s="916"/>
      <c r="C222" s="916"/>
      <c r="D222" s="916"/>
      <c r="E222" s="916"/>
      <c r="F222" s="916"/>
      <c r="G222" s="916"/>
      <c r="H222" s="916"/>
      <c r="I222" s="916"/>
      <c r="J222" s="916"/>
      <c r="K222" s="916"/>
      <c r="L222" s="916"/>
      <c r="M222" s="916"/>
      <c r="N222" s="916"/>
      <c r="O222" s="916"/>
      <c r="P222" s="916"/>
      <c r="Q222" s="916"/>
      <c r="R222" s="916"/>
      <c r="S222" s="916"/>
      <c r="T222" s="916"/>
      <c r="U222" s="916"/>
      <c r="V222" s="916"/>
      <c r="W222" s="916"/>
      <c r="X222" s="916"/>
      <c r="Y222" s="916"/>
      <c r="Z222" s="916"/>
      <c r="AA222" s="916"/>
      <c r="AB222" s="916"/>
      <c r="AC222" s="916"/>
      <c r="AD222" s="916"/>
      <c r="AE222" s="916"/>
      <c r="AF222" s="916"/>
      <c r="AG222" s="916"/>
      <c r="AH222" s="916"/>
      <c r="AI222" s="916"/>
      <c r="AJ222" s="916"/>
      <c r="AK222" s="916"/>
      <c r="AL222" s="916"/>
      <c r="AM222" s="916"/>
      <c r="AN222" s="916"/>
      <c r="AO222" s="916"/>
      <c r="AP222" s="916"/>
      <c r="AQ222" s="916"/>
      <c r="AR222" s="916"/>
      <c r="AS222" s="916"/>
      <c r="AT222" s="916"/>
      <c r="AU222" s="916"/>
      <c r="AV222" s="916"/>
      <c r="AW222" s="916"/>
      <c r="AX222" s="916"/>
      <c r="AY222" s="916"/>
      <c r="AZ222" s="916"/>
      <c r="BA222" s="916"/>
      <c r="BB222" s="916"/>
      <c r="BC222" s="916"/>
      <c r="BD222" s="916"/>
      <c r="BE222" s="916"/>
      <c r="BF222" s="916"/>
      <c r="BG222" s="916"/>
      <c r="BH222" s="916"/>
      <c r="BI222" s="916"/>
      <c r="BJ222" s="916"/>
      <c r="BK222" s="916"/>
      <c r="BL222" s="916"/>
      <c r="BM222" s="916"/>
      <c r="BN222" s="916"/>
      <c r="BO222" s="916"/>
      <c r="BP222" s="916"/>
      <c r="BQ222" s="916"/>
      <c r="BR222" s="916"/>
      <c r="BS222" s="916"/>
      <c r="BT222" s="916"/>
    </row>
    <row r="223" spans="1:72" x14ac:dyDescent="0.2">
      <c r="A223" s="916" t="s">
        <v>795</v>
      </c>
      <c r="B223" s="916"/>
      <c r="C223" s="916"/>
      <c r="D223" s="916"/>
      <c r="E223" s="916"/>
      <c r="F223" s="916"/>
      <c r="G223" s="916"/>
      <c r="H223" s="916"/>
      <c r="I223" s="916"/>
      <c r="J223" s="916"/>
      <c r="K223" s="916"/>
      <c r="L223" s="916"/>
      <c r="M223" s="916"/>
      <c r="N223" s="916"/>
      <c r="O223" s="916"/>
      <c r="P223" s="916"/>
      <c r="Q223" s="916"/>
      <c r="R223" s="916"/>
      <c r="S223" s="916"/>
      <c r="T223" s="916"/>
      <c r="U223" s="916"/>
      <c r="V223" s="916"/>
      <c r="W223" s="916"/>
      <c r="X223" s="916"/>
      <c r="Y223" s="916"/>
      <c r="Z223" s="916"/>
      <c r="AA223" s="916"/>
      <c r="AB223" s="916"/>
      <c r="AC223" s="916"/>
      <c r="AD223" s="916"/>
      <c r="AE223" s="916"/>
      <c r="AF223" s="916"/>
      <c r="AG223" s="916"/>
      <c r="AH223" s="916"/>
      <c r="AI223" s="916"/>
      <c r="AJ223" s="916"/>
      <c r="AK223" s="916"/>
      <c r="AL223" s="916"/>
      <c r="AM223" s="916"/>
      <c r="AN223" s="916"/>
      <c r="AO223" s="916"/>
      <c r="AP223" s="916"/>
      <c r="AQ223" s="916"/>
      <c r="AR223" s="916"/>
      <c r="AS223" s="916"/>
      <c r="AT223" s="916"/>
      <c r="AU223" s="916"/>
      <c r="AV223" s="916"/>
      <c r="AW223" s="916"/>
      <c r="AX223" s="916"/>
      <c r="AY223" s="916"/>
      <c r="AZ223" s="916"/>
      <c r="BA223" s="916"/>
      <c r="BB223" s="916"/>
      <c r="BC223" s="916"/>
      <c r="BD223" s="916"/>
      <c r="BE223" s="916"/>
      <c r="BF223" s="916"/>
      <c r="BG223" s="916"/>
      <c r="BH223" s="916"/>
      <c r="BI223" s="916"/>
      <c r="BJ223" s="916"/>
      <c r="BK223" s="916"/>
      <c r="BL223" s="916"/>
      <c r="BM223" s="916"/>
      <c r="BN223" s="916"/>
      <c r="BO223" s="916"/>
      <c r="BP223" s="916"/>
      <c r="BQ223" s="916"/>
      <c r="BR223" s="916"/>
      <c r="BS223" s="916"/>
      <c r="BT223" s="916"/>
    </row>
    <row r="224" spans="1:72" x14ac:dyDescent="0.2">
      <c r="A224" s="916" t="s">
        <v>796</v>
      </c>
      <c r="B224" s="916"/>
      <c r="C224" s="916"/>
      <c r="D224" s="916"/>
      <c r="E224" s="916"/>
      <c r="F224" s="916"/>
      <c r="G224" s="916"/>
      <c r="H224" s="916"/>
      <c r="I224" s="916"/>
      <c r="J224" s="916"/>
      <c r="K224" s="916"/>
      <c r="L224" s="916"/>
      <c r="M224" s="916"/>
      <c r="N224" s="916"/>
      <c r="O224" s="916"/>
      <c r="P224" s="916"/>
      <c r="Q224" s="916"/>
      <c r="R224" s="916"/>
      <c r="S224" s="916"/>
      <c r="T224" s="916"/>
      <c r="U224" s="916"/>
      <c r="V224" s="916"/>
      <c r="W224" s="916"/>
      <c r="X224" s="916"/>
      <c r="Y224" s="916"/>
      <c r="Z224" s="916"/>
      <c r="AA224" s="916"/>
      <c r="AB224" s="916"/>
      <c r="AC224" s="916"/>
      <c r="AD224" s="916"/>
      <c r="AE224" s="916"/>
      <c r="AF224" s="916"/>
      <c r="AG224" s="916"/>
      <c r="AH224" s="916"/>
      <c r="AI224" s="916"/>
      <c r="AJ224" s="916"/>
      <c r="AK224" s="916"/>
      <c r="AL224" s="916"/>
      <c r="AM224" s="916"/>
      <c r="AN224" s="916"/>
      <c r="AO224" s="916"/>
      <c r="AP224" s="916"/>
      <c r="AQ224" s="916"/>
      <c r="AR224" s="916"/>
      <c r="AS224" s="916"/>
      <c r="AT224" s="916"/>
      <c r="AU224" s="916"/>
      <c r="AV224" s="916"/>
      <c r="AW224" s="916"/>
      <c r="AX224" s="916"/>
      <c r="AY224" s="916"/>
      <c r="AZ224" s="916"/>
      <c r="BA224" s="916"/>
      <c r="BB224" s="916"/>
      <c r="BC224" s="916"/>
      <c r="BD224" s="916"/>
      <c r="BE224" s="916"/>
      <c r="BF224" s="916"/>
      <c r="BG224" s="916"/>
      <c r="BH224" s="916"/>
      <c r="BI224" s="916"/>
      <c r="BJ224" s="916"/>
      <c r="BK224" s="916"/>
      <c r="BL224" s="916"/>
      <c r="BM224" s="916"/>
      <c r="BN224" s="916"/>
      <c r="BO224" s="916"/>
      <c r="BP224" s="916"/>
      <c r="BQ224" s="916"/>
      <c r="BR224" s="916"/>
      <c r="BS224" s="916"/>
      <c r="BT224" s="916"/>
    </row>
    <row r="225" spans="1:72" x14ac:dyDescent="0.2">
      <c r="A225" s="916" t="s">
        <v>797</v>
      </c>
      <c r="B225" s="916"/>
      <c r="C225" s="916"/>
      <c r="D225" s="916"/>
      <c r="E225" s="916"/>
      <c r="F225" s="916"/>
      <c r="G225" s="916"/>
      <c r="H225" s="916"/>
      <c r="I225" s="916"/>
      <c r="J225" s="916"/>
      <c r="K225" s="916"/>
      <c r="L225" s="916"/>
      <c r="M225" s="916"/>
      <c r="N225" s="916"/>
      <c r="O225" s="916"/>
      <c r="P225" s="916"/>
      <c r="Q225" s="916"/>
      <c r="R225" s="916"/>
      <c r="S225" s="916"/>
      <c r="T225" s="916"/>
      <c r="U225" s="916"/>
      <c r="V225" s="916"/>
      <c r="W225" s="916"/>
      <c r="X225" s="916"/>
      <c r="Y225" s="916"/>
      <c r="Z225" s="916"/>
      <c r="AA225" s="916"/>
      <c r="AB225" s="916"/>
      <c r="AC225" s="916"/>
      <c r="AD225" s="916"/>
      <c r="AE225" s="916"/>
      <c r="AF225" s="916"/>
      <c r="AG225" s="916"/>
      <c r="AH225" s="916"/>
      <c r="AI225" s="916"/>
      <c r="AJ225" s="916"/>
      <c r="AK225" s="916"/>
      <c r="AL225" s="916"/>
      <c r="AM225" s="916"/>
      <c r="AN225" s="916"/>
      <c r="AO225" s="916"/>
      <c r="AP225" s="916"/>
      <c r="AQ225" s="916"/>
      <c r="AR225" s="916"/>
      <c r="AS225" s="916"/>
      <c r="AT225" s="916"/>
      <c r="AU225" s="916"/>
      <c r="AV225" s="916"/>
      <c r="AW225" s="916"/>
      <c r="AX225" s="916"/>
      <c r="AY225" s="916"/>
      <c r="AZ225" s="916"/>
      <c r="BA225" s="916"/>
      <c r="BB225" s="916"/>
      <c r="BC225" s="916"/>
      <c r="BD225" s="916"/>
      <c r="BE225" s="916"/>
      <c r="BF225" s="916"/>
      <c r="BG225" s="916"/>
      <c r="BH225" s="916"/>
      <c r="BI225" s="916"/>
      <c r="BJ225" s="916"/>
      <c r="BK225" s="916"/>
      <c r="BL225" s="916"/>
      <c r="BM225" s="916"/>
      <c r="BN225" s="916"/>
      <c r="BO225" s="916"/>
      <c r="BP225" s="916"/>
      <c r="BQ225" s="916"/>
      <c r="BR225" s="916"/>
      <c r="BS225" s="916"/>
      <c r="BT225" s="916"/>
    </row>
    <row r="226" spans="1:72" x14ac:dyDescent="0.2">
      <c r="A226" s="916" t="s">
        <v>798</v>
      </c>
      <c r="B226" s="916"/>
      <c r="C226" s="916"/>
      <c r="D226" s="916"/>
      <c r="E226" s="916"/>
      <c r="F226" s="916"/>
      <c r="G226" s="916"/>
      <c r="H226" s="916"/>
      <c r="I226" s="916"/>
      <c r="J226" s="916"/>
      <c r="K226" s="916"/>
      <c r="L226" s="916"/>
      <c r="M226" s="916"/>
      <c r="N226" s="916"/>
      <c r="O226" s="916"/>
      <c r="P226" s="916"/>
      <c r="Q226" s="916"/>
      <c r="R226" s="916"/>
      <c r="S226" s="916"/>
      <c r="T226" s="916"/>
      <c r="U226" s="916"/>
      <c r="V226" s="916"/>
      <c r="W226" s="916"/>
      <c r="X226" s="916"/>
      <c r="Y226" s="916"/>
      <c r="Z226" s="916"/>
      <c r="AA226" s="916"/>
      <c r="AB226" s="916"/>
      <c r="AC226" s="916"/>
      <c r="AD226" s="916"/>
      <c r="AE226" s="916"/>
      <c r="AF226" s="916"/>
      <c r="AG226" s="916"/>
      <c r="AH226" s="916"/>
      <c r="AI226" s="916"/>
      <c r="AJ226" s="916"/>
      <c r="AK226" s="916"/>
      <c r="AL226" s="916"/>
      <c r="AM226" s="916"/>
      <c r="AN226" s="916"/>
      <c r="AO226" s="916"/>
      <c r="AP226" s="916"/>
      <c r="AQ226" s="916"/>
      <c r="AR226" s="916"/>
      <c r="AS226" s="916"/>
      <c r="AT226" s="916"/>
      <c r="AU226" s="916"/>
      <c r="AV226" s="916"/>
      <c r="AW226" s="916"/>
      <c r="AX226" s="916"/>
      <c r="AY226" s="916"/>
      <c r="AZ226" s="916"/>
      <c r="BA226" s="916"/>
      <c r="BB226" s="916"/>
      <c r="BC226" s="916"/>
      <c r="BD226" s="916"/>
      <c r="BE226" s="916"/>
      <c r="BF226" s="916"/>
      <c r="BG226" s="916"/>
      <c r="BH226" s="916"/>
      <c r="BI226" s="916"/>
      <c r="BJ226" s="916"/>
      <c r="BK226" s="916"/>
      <c r="BL226" s="916"/>
      <c r="BM226" s="916"/>
      <c r="BN226" s="916"/>
      <c r="BO226" s="916"/>
      <c r="BP226" s="916"/>
      <c r="BQ226" s="916"/>
      <c r="BR226" s="916"/>
      <c r="BS226" s="916"/>
      <c r="BT226" s="916"/>
    </row>
    <row r="227" spans="1:72" x14ac:dyDescent="0.2">
      <c r="A227" s="916" t="s">
        <v>799</v>
      </c>
      <c r="B227" s="916"/>
      <c r="C227" s="916"/>
      <c r="D227" s="916"/>
      <c r="E227" s="916"/>
      <c r="F227" s="916"/>
      <c r="G227" s="916"/>
      <c r="H227" s="916"/>
      <c r="I227" s="916"/>
      <c r="J227" s="916"/>
      <c r="K227" s="916"/>
      <c r="L227" s="916"/>
      <c r="M227" s="916"/>
      <c r="N227" s="916"/>
      <c r="O227" s="916"/>
      <c r="P227" s="916"/>
      <c r="Q227" s="916"/>
      <c r="R227" s="916"/>
      <c r="S227" s="916"/>
      <c r="T227" s="916"/>
      <c r="U227" s="916"/>
      <c r="V227" s="916"/>
      <c r="W227" s="916"/>
      <c r="X227" s="916"/>
      <c r="Y227" s="916"/>
      <c r="Z227" s="916"/>
      <c r="AA227" s="916"/>
      <c r="AB227" s="916"/>
      <c r="AC227" s="916"/>
      <c r="AD227" s="916"/>
      <c r="AE227" s="916"/>
      <c r="AF227" s="916"/>
      <c r="AG227" s="916"/>
      <c r="AH227" s="916"/>
      <c r="AI227" s="916"/>
      <c r="AJ227" s="916"/>
      <c r="AK227" s="916"/>
      <c r="AL227" s="916"/>
      <c r="AM227" s="916"/>
      <c r="AN227" s="916"/>
      <c r="AO227" s="916"/>
      <c r="AP227" s="916"/>
      <c r="AQ227" s="916"/>
      <c r="AR227" s="916"/>
      <c r="AS227" s="916"/>
      <c r="AT227" s="916"/>
      <c r="AU227" s="916"/>
      <c r="AV227" s="916"/>
      <c r="AW227" s="916"/>
      <c r="AX227" s="916"/>
      <c r="AY227" s="916"/>
      <c r="AZ227" s="916"/>
      <c r="BA227" s="916"/>
      <c r="BB227" s="916"/>
      <c r="BC227" s="916"/>
      <c r="BD227" s="916"/>
      <c r="BE227" s="916"/>
      <c r="BF227" s="916"/>
      <c r="BG227" s="916"/>
      <c r="BH227" s="916"/>
      <c r="BI227" s="916"/>
      <c r="BJ227" s="916"/>
      <c r="BK227" s="916"/>
      <c r="BL227" s="916"/>
      <c r="BM227" s="916"/>
      <c r="BN227" s="916"/>
      <c r="BO227" s="916"/>
      <c r="BP227" s="916"/>
      <c r="BQ227" s="916"/>
      <c r="BR227" s="916"/>
      <c r="BS227" s="916"/>
      <c r="BT227" s="916"/>
    </row>
    <row r="228" spans="1:72" x14ac:dyDescent="0.2">
      <c r="A228" s="916" t="s">
        <v>800</v>
      </c>
      <c r="B228" s="916"/>
      <c r="C228" s="916"/>
      <c r="D228" s="916"/>
      <c r="E228" s="916"/>
      <c r="F228" s="916"/>
      <c r="G228" s="916"/>
      <c r="H228" s="916"/>
      <c r="I228" s="916"/>
      <c r="J228" s="916"/>
      <c r="K228" s="916"/>
      <c r="L228" s="916"/>
      <c r="M228" s="916"/>
      <c r="N228" s="916"/>
      <c r="O228" s="916"/>
      <c r="P228" s="916"/>
      <c r="Q228" s="916"/>
      <c r="R228" s="916"/>
      <c r="S228" s="916"/>
      <c r="T228" s="916"/>
      <c r="U228" s="916"/>
      <c r="V228" s="916"/>
      <c r="W228" s="916"/>
      <c r="X228" s="916"/>
      <c r="Y228" s="916"/>
      <c r="Z228" s="916"/>
      <c r="AA228" s="916"/>
      <c r="AB228" s="916"/>
      <c r="AC228" s="916"/>
      <c r="AD228" s="916"/>
      <c r="AE228" s="916"/>
      <c r="AF228" s="916"/>
      <c r="AG228" s="916"/>
      <c r="AH228" s="916"/>
      <c r="AI228" s="916"/>
      <c r="AJ228" s="916"/>
      <c r="AK228" s="916"/>
      <c r="AL228" s="916"/>
      <c r="AM228" s="916"/>
      <c r="AN228" s="916"/>
      <c r="AO228" s="916"/>
      <c r="AP228" s="916"/>
      <c r="AQ228" s="916"/>
      <c r="AR228" s="916"/>
      <c r="AS228" s="916"/>
      <c r="AT228" s="916"/>
      <c r="AU228" s="916"/>
      <c r="AV228" s="916"/>
      <c r="AW228" s="916"/>
      <c r="AX228" s="916"/>
      <c r="AY228" s="916"/>
      <c r="AZ228" s="916"/>
      <c r="BA228" s="916"/>
      <c r="BB228" s="916"/>
      <c r="BC228" s="916"/>
      <c r="BD228" s="916"/>
      <c r="BE228" s="916"/>
      <c r="BF228" s="916"/>
      <c r="BG228" s="916"/>
      <c r="BH228" s="916"/>
      <c r="BI228" s="916"/>
      <c r="BJ228" s="916"/>
      <c r="BK228" s="916"/>
      <c r="BL228" s="916"/>
      <c r="BM228" s="916"/>
      <c r="BN228" s="916"/>
      <c r="BO228" s="916"/>
      <c r="BP228" s="916"/>
      <c r="BQ228" s="916"/>
      <c r="BR228" s="916"/>
      <c r="BS228" s="916"/>
      <c r="BT228" s="916"/>
    </row>
    <row r="229" spans="1:72" x14ac:dyDescent="0.2">
      <c r="A229" s="916" t="s">
        <v>801</v>
      </c>
      <c r="B229" s="916"/>
      <c r="C229" s="916"/>
      <c r="D229" s="916"/>
      <c r="E229" s="916"/>
      <c r="F229" s="916"/>
      <c r="G229" s="916"/>
      <c r="H229" s="916"/>
      <c r="I229" s="916"/>
      <c r="J229" s="916"/>
      <c r="K229" s="916"/>
      <c r="L229" s="916"/>
      <c r="M229" s="916"/>
      <c r="N229" s="916"/>
      <c r="O229" s="916"/>
      <c r="P229" s="916"/>
      <c r="Q229" s="916"/>
      <c r="R229" s="916"/>
      <c r="S229" s="916"/>
      <c r="T229" s="916"/>
      <c r="U229" s="916"/>
      <c r="V229" s="916"/>
      <c r="W229" s="916"/>
      <c r="X229" s="916"/>
      <c r="Y229" s="916"/>
      <c r="Z229" s="916"/>
      <c r="AA229" s="916"/>
      <c r="AB229" s="916"/>
      <c r="AC229" s="916"/>
      <c r="AD229" s="916"/>
      <c r="AE229" s="916"/>
      <c r="AF229" s="916"/>
      <c r="AG229" s="916"/>
      <c r="AH229" s="916"/>
      <c r="AI229" s="916"/>
      <c r="AJ229" s="916"/>
      <c r="AK229" s="916"/>
      <c r="AL229" s="916"/>
      <c r="AM229" s="916"/>
      <c r="AN229" s="916"/>
      <c r="AO229" s="916"/>
      <c r="AP229" s="916"/>
      <c r="AQ229" s="916"/>
      <c r="AR229" s="916"/>
      <c r="AS229" s="916"/>
      <c r="AT229" s="916"/>
      <c r="AU229" s="916"/>
      <c r="AV229" s="916"/>
      <c r="AW229" s="916"/>
      <c r="AX229" s="916"/>
      <c r="AY229" s="916"/>
      <c r="AZ229" s="916"/>
      <c r="BA229" s="916"/>
      <c r="BB229" s="916"/>
      <c r="BC229" s="916"/>
      <c r="BD229" s="916"/>
      <c r="BE229" s="916"/>
      <c r="BF229" s="916"/>
      <c r="BG229" s="916"/>
      <c r="BH229" s="916"/>
      <c r="BI229" s="916"/>
      <c r="BJ229" s="916"/>
      <c r="BK229" s="916"/>
      <c r="BL229" s="916"/>
      <c r="BM229" s="916"/>
      <c r="BN229" s="916"/>
      <c r="BO229" s="916"/>
      <c r="BP229" s="916"/>
      <c r="BQ229" s="916"/>
      <c r="BR229" s="916"/>
      <c r="BS229" s="916"/>
      <c r="BT229" s="916"/>
    </row>
    <row r="230" spans="1:72" x14ac:dyDescent="0.2">
      <c r="A230" s="916" t="s">
        <v>802</v>
      </c>
      <c r="B230" s="916"/>
      <c r="C230" s="916"/>
      <c r="D230" s="916"/>
      <c r="E230" s="916"/>
      <c r="F230" s="916"/>
      <c r="G230" s="916"/>
      <c r="H230" s="916"/>
      <c r="I230" s="916"/>
      <c r="J230" s="916"/>
      <c r="K230" s="916"/>
      <c r="L230" s="916"/>
      <c r="M230" s="916"/>
      <c r="N230" s="916"/>
      <c r="O230" s="916"/>
      <c r="P230" s="916"/>
      <c r="Q230" s="916"/>
      <c r="R230" s="916"/>
      <c r="S230" s="916"/>
      <c r="T230" s="916"/>
      <c r="U230" s="916"/>
      <c r="V230" s="916"/>
      <c r="W230" s="916"/>
      <c r="X230" s="916"/>
      <c r="Y230" s="916"/>
      <c r="Z230" s="916"/>
      <c r="AA230" s="916"/>
      <c r="AB230" s="916"/>
      <c r="AC230" s="916"/>
      <c r="AD230" s="916"/>
      <c r="AE230" s="916"/>
      <c r="AF230" s="916"/>
      <c r="AG230" s="916"/>
      <c r="AH230" s="916"/>
      <c r="AI230" s="916"/>
      <c r="AJ230" s="916"/>
      <c r="AK230" s="916"/>
      <c r="AL230" s="916"/>
      <c r="AM230" s="916"/>
      <c r="AN230" s="916"/>
      <c r="AO230" s="916"/>
      <c r="AP230" s="916"/>
      <c r="AQ230" s="916"/>
      <c r="AR230" s="916"/>
      <c r="AS230" s="916"/>
      <c r="AT230" s="916"/>
      <c r="AU230" s="916"/>
      <c r="AV230" s="916"/>
      <c r="AW230" s="916"/>
      <c r="AX230" s="916"/>
      <c r="AY230" s="916"/>
      <c r="AZ230" s="916"/>
      <c r="BA230" s="916"/>
      <c r="BB230" s="916"/>
      <c r="BC230" s="916"/>
      <c r="BD230" s="916"/>
      <c r="BE230" s="916"/>
      <c r="BF230" s="916"/>
      <c r="BG230" s="916"/>
      <c r="BH230" s="916"/>
      <c r="BI230" s="916"/>
      <c r="BJ230" s="916"/>
      <c r="BK230" s="916"/>
      <c r="BL230" s="916"/>
      <c r="BM230" s="916"/>
      <c r="BN230" s="916"/>
      <c r="BO230" s="916"/>
      <c r="BP230" s="916"/>
      <c r="BQ230" s="916"/>
      <c r="BR230" s="916"/>
      <c r="BS230" s="916"/>
      <c r="BT230" s="916"/>
    </row>
    <row r="231" spans="1:72" x14ac:dyDescent="0.2">
      <c r="A231" s="916" t="s">
        <v>803</v>
      </c>
      <c r="B231" s="916"/>
      <c r="C231" s="916"/>
      <c r="D231" s="916"/>
      <c r="E231" s="916"/>
      <c r="F231" s="916"/>
      <c r="G231" s="916"/>
      <c r="H231" s="916"/>
      <c r="I231" s="916"/>
      <c r="J231" s="916"/>
      <c r="K231" s="916"/>
      <c r="L231" s="916"/>
      <c r="M231" s="916"/>
      <c r="N231" s="916"/>
      <c r="O231" s="916"/>
      <c r="P231" s="916"/>
      <c r="Q231" s="916"/>
      <c r="R231" s="916"/>
      <c r="S231" s="916"/>
      <c r="T231" s="916"/>
      <c r="U231" s="916"/>
      <c r="V231" s="916"/>
      <c r="W231" s="916"/>
      <c r="X231" s="916"/>
      <c r="Y231" s="916"/>
      <c r="Z231" s="916"/>
      <c r="AA231" s="916"/>
      <c r="AB231" s="916"/>
      <c r="AC231" s="916"/>
      <c r="AD231" s="916"/>
      <c r="AE231" s="916"/>
      <c r="AF231" s="916"/>
      <c r="AG231" s="916"/>
      <c r="AH231" s="916"/>
      <c r="AI231" s="916"/>
      <c r="AJ231" s="916"/>
      <c r="AK231" s="916"/>
      <c r="AL231" s="916"/>
      <c r="AM231" s="916"/>
      <c r="AN231" s="916"/>
      <c r="AO231" s="916"/>
      <c r="AP231" s="916"/>
      <c r="AQ231" s="916"/>
      <c r="AR231" s="916"/>
      <c r="AS231" s="916"/>
      <c r="AT231" s="916"/>
      <c r="AU231" s="916"/>
      <c r="AV231" s="916"/>
      <c r="AW231" s="916"/>
      <c r="AX231" s="916"/>
      <c r="AY231" s="916"/>
      <c r="AZ231" s="916"/>
      <c r="BA231" s="916"/>
      <c r="BB231" s="916"/>
      <c r="BC231" s="916"/>
      <c r="BD231" s="916"/>
      <c r="BE231" s="916"/>
      <c r="BF231" s="916"/>
      <c r="BG231" s="916"/>
      <c r="BH231" s="916"/>
      <c r="BI231" s="916"/>
      <c r="BJ231" s="916"/>
      <c r="BK231" s="916"/>
      <c r="BL231" s="916"/>
      <c r="BM231" s="916"/>
      <c r="BN231" s="916"/>
      <c r="BO231" s="916"/>
      <c r="BP231" s="916"/>
      <c r="BQ231" s="916"/>
      <c r="BR231" s="916"/>
      <c r="BS231" s="916"/>
      <c r="BT231" s="916"/>
    </row>
    <row r="232" spans="1:72" x14ac:dyDescent="0.2">
      <c r="A232" s="916" t="s">
        <v>804</v>
      </c>
      <c r="B232" s="916"/>
      <c r="C232" s="916"/>
      <c r="D232" s="916"/>
      <c r="E232" s="916"/>
      <c r="F232" s="916"/>
      <c r="G232" s="916"/>
      <c r="H232" s="916"/>
      <c r="I232" s="916"/>
      <c r="J232" s="916"/>
      <c r="K232" s="916"/>
      <c r="L232" s="916"/>
      <c r="M232" s="916"/>
      <c r="N232" s="916"/>
      <c r="O232" s="916"/>
      <c r="P232" s="916"/>
      <c r="Q232" s="916"/>
      <c r="R232" s="916"/>
      <c r="S232" s="916"/>
      <c r="T232" s="916"/>
      <c r="U232" s="916"/>
      <c r="V232" s="916"/>
      <c r="W232" s="916"/>
      <c r="X232" s="916"/>
      <c r="Y232" s="916"/>
      <c r="Z232" s="916"/>
      <c r="AA232" s="916"/>
      <c r="AB232" s="916"/>
      <c r="AC232" s="916"/>
      <c r="AD232" s="916"/>
      <c r="AE232" s="916"/>
      <c r="AF232" s="916"/>
      <c r="AG232" s="916"/>
      <c r="AH232" s="916"/>
      <c r="AI232" s="916"/>
      <c r="AJ232" s="916"/>
      <c r="AK232" s="916"/>
      <c r="AL232" s="916"/>
      <c r="AM232" s="916"/>
      <c r="AN232" s="916"/>
      <c r="AO232" s="916"/>
      <c r="AP232" s="916"/>
      <c r="AQ232" s="916"/>
      <c r="AR232" s="916"/>
      <c r="AS232" s="916"/>
      <c r="AT232" s="916"/>
      <c r="AU232" s="916"/>
      <c r="AV232" s="916"/>
      <c r="AW232" s="916"/>
      <c r="AX232" s="916"/>
      <c r="AY232" s="916"/>
      <c r="AZ232" s="916"/>
      <c r="BA232" s="916"/>
      <c r="BB232" s="916"/>
      <c r="BC232" s="916"/>
      <c r="BD232" s="916"/>
      <c r="BE232" s="916"/>
      <c r="BF232" s="916"/>
      <c r="BG232" s="916"/>
      <c r="BH232" s="916"/>
      <c r="BI232" s="916"/>
      <c r="BJ232" s="916"/>
      <c r="BK232" s="916"/>
      <c r="BL232" s="916"/>
      <c r="BM232" s="916"/>
      <c r="BN232" s="916"/>
      <c r="BO232" s="916"/>
      <c r="BP232" s="916"/>
      <c r="BQ232" s="916"/>
      <c r="BR232" s="916"/>
      <c r="BS232" s="916"/>
      <c r="BT232" s="916"/>
    </row>
    <row r="233" spans="1:72" x14ac:dyDescent="0.2">
      <c r="A233" s="893" t="s">
        <v>805</v>
      </c>
      <c r="AA233" s="306"/>
      <c r="AB233" s="306"/>
      <c r="AC233" s="306"/>
      <c r="AD233" s="306"/>
    </row>
    <row r="234" spans="1:72" x14ac:dyDescent="0.2">
      <c r="A234" s="893" t="s">
        <v>806</v>
      </c>
      <c r="AA234" s="306"/>
      <c r="AB234" s="306"/>
      <c r="AC234" s="306"/>
      <c r="AD234" s="306"/>
    </row>
    <row r="235" spans="1:72" x14ac:dyDescent="0.2">
      <c r="A235" s="893" t="s">
        <v>718</v>
      </c>
      <c r="B235" t="s">
        <v>719</v>
      </c>
      <c r="C235" t="s">
        <v>720</v>
      </c>
      <c r="E235" t="s">
        <v>721</v>
      </c>
      <c r="AA235" s="306"/>
      <c r="AB235" s="306"/>
      <c r="AC235" s="306"/>
      <c r="AD235" s="306"/>
    </row>
    <row r="236" spans="1:72" x14ac:dyDescent="0.2">
      <c r="AA236" s="306"/>
      <c r="AB236" s="306"/>
      <c r="AC236" s="306"/>
      <c r="AD236" s="306"/>
    </row>
    <row r="237" spans="1:72" x14ac:dyDescent="0.2">
      <c r="A237" s="893" t="s">
        <v>447</v>
      </c>
      <c r="AA237" s="306"/>
      <c r="AB237" s="306"/>
      <c r="AC237" s="306"/>
      <c r="AD237" s="306"/>
    </row>
    <row r="238" spans="1:72" x14ac:dyDescent="0.2">
      <c r="A238" s="893" t="s">
        <v>722</v>
      </c>
      <c r="AA238" s="306"/>
      <c r="AB238" s="306"/>
      <c r="AC238" s="306"/>
      <c r="AD238" s="306"/>
    </row>
    <row r="239" spans="1:72" x14ac:dyDescent="0.2">
      <c r="AA239" s="306"/>
      <c r="AB239" s="306"/>
      <c r="AC239" s="306"/>
      <c r="AD239" s="306"/>
    </row>
    <row r="240" spans="1:72" x14ac:dyDescent="0.2">
      <c r="AA240" s="306"/>
      <c r="AB240" s="306"/>
      <c r="AC240" s="306"/>
      <c r="AD240" s="306"/>
    </row>
    <row r="241" spans="1:70" x14ac:dyDescent="0.2">
      <c r="AA241" s="306"/>
      <c r="AB241" s="306"/>
      <c r="AC241" s="306"/>
      <c r="AD241" s="306"/>
    </row>
    <row r="242" spans="1:70" x14ac:dyDescent="0.2">
      <c r="B242" s="894" t="s">
        <v>453</v>
      </c>
      <c r="C242" s="894" t="s">
        <v>454</v>
      </c>
      <c r="D242" s="894" t="s">
        <v>455</v>
      </c>
      <c r="E242" s="894" t="s">
        <v>456</v>
      </c>
      <c r="F242" s="894" t="s">
        <v>457</v>
      </c>
      <c r="G242" s="894" t="s">
        <v>458</v>
      </c>
      <c r="H242" s="894" t="s">
        <v>459</v>
      </c>
      <c r="I242" s="894" t="s">
        <v>460</v>
      </c>
      <c r="J242" s="894" t="s">
        <v>461</v>
      </c>
      <c r="K242" s="894" t="s">
        <v>462</v>
      </c>
      <c r="L242" s="894" t="s">
        <v>463</v>
      </c>
      <c r="M242" s="894" t="s">
        <v>464</v>
      </c>
      <c r="N242" s="894" t="s">
        <v>465</v>
      </c>
      <c r="O242" s="894" t="s">
        <v>466</v>
      </c>
      <c r="P242" s="894" t="s">
        <v>467</v>
      </c>
      <c r="Q242" s="894" t="s">
        <v>468</v>
      </c>
      <c r="R242" s="894" t="s">
        <v>469</v>
      </c>
      <c r="S242" s="894" t="s">
        <v>470</v>
      </c>
      <c r="T242" s="894" t="s">
        <v>471</v>
      </c>
      <c r="U242" s="894" t="s">
        <v>472</v>
      </c>
      <c r="V242" s="894" t="s">
        <v>604</v>
      </c>
      <c r="W242" s="894" t="s">
        <v>605</v>
      </c>
      <c r="X242" s="894" t="s">
        <v>606</v>
      </c>
      <c r="Y242" s="894" t="s">
        <v>607</v>
      </c>
      <c r="Z242" s="894" t="s">
        <v>608</v>
      </c>
      <c r="AA242" s="306" t="s">
        <v>605</v>
      </c>
      <c r="AB242" s="306" t="s">
        <v>606</v>
      </c>
      <c r="AC242" s="306" t="s">
        <v>607</v>
      </c>
      <c r="AD242" s="306" t="s">
        <v>608</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
      <c r="AA243" s="306"/>
      <c r="AB243" s="306"/>
      <c r="AC243" s="306"/>
      <c r="AD243" s="306"/>
    </row>
    <row r="244" spans="1:70" x14ac:dyDescent="0.2">
      <c r="AA244" s="306"/>
      <c r="AB244" s="306"/>
      <c r="AC244" s="306"/>
      <c r="AD244" s="306"/>
    </row>
    <row r="245" spans="1:70" x14ac:dyDescent="0.2">
      <c r="A245" s="893" t="s">
        <v>473</v>
      </c>
      <c r="AA245" s="306"/>
      <c r="AB245" s="306"/>
      <c r="AC245" s="306"/>
      <c r="AD245" s="306"/>
    </row>
    <row r="246" spans="1:70" x14ac:dyDescent="0.2">
      <c r="A246" s="893" t="s">
        <v>609</v>
      </c>
      <c r="B246" s="895">
        <v>23.882804870605501</v>
      </c>
      <c r="C246" s="895">
        <v>24.973464965820298</v>
      </c>
      <c r="D246" s="895">
        <v>28.470840454101602</v>
      </c>
      <c r="E246" s="895">
        <v>21.505495071411101</v>
      </c>
      <c r="F246" s="895">
        <v>20.697200775146499</v>
      </c>
      <c r="G246" s="895">
        <v>23.0020751953125</v>
      </c>
      <c r="H246" s="895">
        <v>24.980747222900401</v>
      </c>
      <c r="I246" s="895">
        <v>26.7403888702393</v>
      </c>
      <c r="J246" s="895">
        <v>28.254840850830099</v>
      </c>
      <c r="K246" s="895">
        <v>29.8807067871094</v>
      </c>
      <c r="L246" s="895">
        <v>30.930690765380898</v>
      </c>
      <c r="M246" s="895">
        <v>31.804765701293899</v>
      </c>
      <c r="N246" s="895">
        <v>32.682899475097699</v>
      </c>
      <c r="O246" s="895">
        <v>33.084945678710902</v>
      </c>
      <c r="P246" s="895">
        <v>33.339298248291001</v>
      </c>
      <c r="Q246" s="895">
        <v>33.569530487060497</v>
      </c>
      <c r="R246" s="895">
        <v>33.692008972167997</v>
      </c>
      <c r="S246" s="895">
        <v>34.029460906982401</v>
      </c>
      <c r="T246" s="895">
        <v>34.165733337402301</v>
      </c>
      <c r="U246" s="895">
        <v>33.722698211669901</v>
      </c>
      <c r="V246" s="895">
        <v>33.999015808105497</v>
      </c>
      <c r="W246" s="895">
        <v>34.276668548583999</v>
      </c>
      <c r="X246" s="895">
        <v>34.616855621337898</v>
      </c>
      <c r="Y246" s="895">
        <v>34.804977416992202</v>
      </c>
      <c r="Z246" s="895">
        <v>35.163482666015597</v>
      </c>
      <c r="AA246" s="306">
        <v>23.653226852416999</v>
      </c>
      <c r="AB246" s="306">
        <v>23.781959533691399</v>
      </c>
      <c r="AC246" s="306">
        <v>23.869001388549801</v>
      </c>
      <c r="AD246" s="306">
        <v>23.909082412719702</v>
      </c>
    </row>
    <row r="247" spans="1:70" x14ac:dyDescent="0.2">
      <c r="A247" s="893" t="s">
        <v>610</v>
      </c>
      <c r="B247" s="895">
        <v>18.4642543792725</v>
      </c>
      <c r="C247" s="895">
        <v>19.664405822753899</v>
      </c>
      <c r="D247" s="895">
        <v>23.940315246581999</v>
      </c>
      <c r="E247" s="895">
        <v>15.6857194900513</v>
      </c>
      <c r="F247" s="895">
        <v>13.3512983322144</v>
      </c>
      <c r="G247" s="895">
        <v>15.708171844482401</v>
      </c>
      <c r="H247" s="895">
        <v>17.491518020629901</v>
      </c>
      <c r="I247" s="895">
        <v>18.8044624328613</v>
      </c>
      <c r="J247" s="895">
        <v>20.071212768554702</v>
      </c>
      <c r="K247" s="895">
        <v>21.571735382080099</v>
      </c>
      <c r="L247" s="895">
        <v>22.444984436035199</v>
      </c>
      <c r="M247" s="895">
        <v>23.2645053863525</v>
      </c>
      <c r="N247" s="895">
        <v>23.975505828857401</v>
      </c>
      <c r="O247" s="895">
        <v>24.350082397460898</v>
      </c>
      <c r="P247" s="895">
        <v>24.6401481628418</v>
      </c>
      <c r="Q247" s="895">
        <v>24.7862453460693</v>
      </c>
      <c r="R247" s="895">
        <v>24.899822235107401</v>
      </c>
      <c r="S247" s="895">
        <v>25.1952934265137</v>
      </c>
      <c r="T247" s="895">
        <v>25.492937088012699</v>
      </c>
      <c r="U247" s="895">
        <v>25.134300231933601</v>
      </c>
      <c r="V247" s="895">
        <v>25.433099746704102</v>
      </c>
      <c r="W247" s="895">
        <v>25.7546691894531</v>
      </c>
      <c r="X247" s="895">
        <v>26.098386764526399</v>
      </c>
      <c r="Y247" s="895">
        <v>26.3820476531982</v>
      </c>
      <c r="Z247" s="895">
        <v>26.7700805664063</v>
      </c>
      <c r="AA247" s="306">
        <v>13.801754951477101</v>
      </c>
      <c r="AB247" s="306">
        <v>13.897899627685501</v>
      </c>
      <c r="AC247" s="306">
        <v>14.058331489563001</v>
      </c>
      <c r="AD247" s="306">
        <v>14.125551223754901</v>
      </c>
    </row>
    <row r="248" spans="1:70" x14ac:dyDescent="0.2">
      <c r="A248" s="893" t="s">
        <v>510</v>
      </c>
      <c r="B248" s="895">
        <v>13.7000589370728</v>
      </c>
      <c r="C248" s="895">
        <v>12.691158294677701</v>
      </c>
      <c r="D248" s="895">
        <v>12.9778490066528</v>
      </c>
      <c r="E248" s="895">
        <v>10.717614173889199</v>
      </c>
      <c r="F248" s="895">
        <v>11.192774772644</v>
      </c>
      <c r="G248" s="895">
        <v>11.487280845642101</v>
      </c>
      <c r="H248" s="895">
        <v>11.3991556167603</v>
      </c>
      <c r="I248" s="895">
        <v>11.307798385620099</v>
      </c>
      <c r="J248" s="895">
        <v>11.2896461486816</v>
      </c>
      <c r="K248" s="895">
        <v>11.345415115356399</v>
      </c>
      <c r="L248" s="895">
        <v>11.538298606872599</v>
      </c>
      <c r="M248" s="895">
        <v>11.7583208084106</v>
      </c>
      <c r="N248" s="895">
        <v>11.975100517272899</v>
      </c>
      <c r="O248" s="895">
        <v>12.23952293396</v>
      </c>
      <c r="P248" s="895">
        <v>12.557071685791</v>
      </c>
      <c r="Q248" s="895">
        <v>12.7957820892334</v>
      </c>
      <c r="R248" s="895">
        <v>12.871651649475099</v>
      </c>
      <c r="S248" s="895">
        <v>12.660281181335399</v>
      </c>
      <c r="T248" s="895">
        <v>12.6240320205688</v>
      </c>
      <c r="U248" s="895">
        <v>12.5992183685303</v>
      </c>
      <c r="V248" s="895">
        <v>12.7868556976318</v>
      </c>
      <c r="W248" s="895">
        <v>13.07555103302</v>
      </c>
      <c r="X248" s="895">
        <v>13.407883644104</v>
      </c>
      <c r="Y248" s="895">
        <v>13.6725673675537</v>
      </c>
      <c r="Z248" s="895">
        <v>13.962038993835399</v>
      </c>
      <c r="AA248" s="306">
        <v>11.116808891296399</v>
      </c>
      <c r="AB248" s="306">
        <v>11.2574377059937</v>
      </c>
      <c r="AC248" s="306">
        <v>11.3709173202515</v>
      </c>
      <c r="AD248" s="306">
        <v>11.426144599914601</v>
      </c>
    </row>
    <row r="249" spans="1:70" x14ac:dyDescent="0.2">
      <c r="A249" s="893" t="s">
        <v>479</v>
      </c>
      <c r="B249" s="895">
        <v>31.206779479980501</v>
      </c>
      <c r="C249" s="895">
        <v>31.181957244873001</v>
      </c>
      <c r="D249" s="895">
        <v>31.772819519043001</v>
      </c>
      <c r="E249" s="895">
        <v>30.736837387085</v>
      </c>
      <c r="F249" s="895">
        <v>28.616357803344702</v>
      </c>
      <c r="G249" s="895">
        <v>29.873619079589801</v>
      </c>
      <c r="H249" s="895">
        <v>30.101655960083001</v>
      </c>
      <c r="I249" s="895">
        <v>30.425390243530298</v>
      </c>
      <c r="J249" s="895">
        <v>30.7938537597656</v>
      </c>
      <c r="K249" s="895">
        <v>30.883028030395501</v>
      </c>
      <c r="L249" s="895">
        <v>31.149145126342798</v>
      </c>
      <c r="M249" s="895">
        <v>31.4898681640625</v>
      </c>
      <c r="N249" s="895">
        <v>31.815629959106399</v>
      </c>
      <c r="O249" s="895">
        <v>32.020698547363303</v>
      </c>
      <c r="P249" s="895">
        <v>32.4303588867188</v>
      </c>
      <c r="Q249" s="895">
        <v>32.7907905578613</v>
      </c>
      <c r="R249" s="895">
        <v>32.994007110595703</v>
      </c>
      <c r="S249" s="895">
        <v>32.923465728759801</v>
      </c>
      <c r="T249" s="895">
        <v>32.920154571533203</v>
      </c>
      <c r="U249" s="895">
        <v>32.902271270752003</v>
      </c>
      <c r="V249" s="895">
        <v>32.958240509033203</v>
      </c>
      <c r="W249" s="895">
        <v>33.321102142333999</v>
      </c>
      <c r="X249" s="895">
        <v>33.734363555908203</v>
      </c>
      <c r="Y249" s="895">
        <v>34.149539947509801</v>
      </c>
      <c r="Z249" s="895">
        <v>34.490489959716797</v>
      </c>
      <c r="AA249" s="306">
        <v>26.5695495605469</v>
      </c>
      <c r="AB249" s="306">
        <v>26.6057014465332</v>
      </c>
      <c r="AC249" s="306">
        <v>26.7373046875</v>
      </c>
      <c r="AD249" s="306">
        <v>26.757972717285199</v>
      </c>
    </row>
    <row r="250" spans="1:70" x14ac:dyDescent="0.2">
      <c r="AA250" s="306"/>
      <c r="AB250" s="306"/>
      <c r="AC250" s="306"/>
      <c r="AD250" s="306"/>
    </row>
    <row r="251" spans="1:70" x14ac:dyDescent="0.2">
      <c r="A251" s="893" t="s">
        <v>480</v>
      </c>
      <c r="AA251" s="306">
        <v>12.0537929534912</v>
      </c>
      <c r="AB251" s="306">
        <v>12.2529897689819</v>
      </c>
      <c r="AC251" s="306">
        <v>12.3258762359619</v>
      </c>
      <c r="AD251" s="306">
        <v>12.452996253967299</v>
      </c>
    </row>
    <row r="252" spans="1:70" ht="13.5" thickBot="1" x14ac:dyDescent="0.25">
      <c r="A252" s="893" t="s">
        <v>609</v>
      </c>
      <c r="B252" s="895">
        <v>21.1974983215332</v>
      </c>
      <c r="C252" s="895">
        <v>23.041419982910199</v>
      </c>
      <c r="D252" s="895">
        <v>23.540430068969702</v>
      </c>
      <c r="E252" s="895">
        <v>20.975297927856399</v>
      </c>
      <c r="F252" s="895">
        <v>17.540355682373001</v>
      </c>
      <c r="G252" s="895">
        <v>19.827720642089801</v>
      </c>
      <c r="H252" s="895">
        <v>21.7962131500244</v>
      </c>
      <c r="I252" s="895">
        <v>23.5440998077393</v>
      </c>
      <c r="J252" s="895">
        <v>25.047388076782202</v>
      </c>
      <c r="K252" s="895">
        <v>26.6623840332031</v>
      </c>
      <c r="L252" s="895">
        <v>27.701774597168001</v>
      </c>
      <c r="M252" s="895">
        <v>28.565574645996101</v>
      </c>
      <c r="N252" s="895">
        <v>29.4346523284912</v>
      </c>
      <c r="O252" s="895">
        <v>29.8274021148682</v>
      </c>
      <c r="P252" s="895">
        <v>30.0731811523438</v>
      </c>
      <c r="Q252" s="895">
        <v>30.2960014343262</v>
      </c>
      <c r="R252" s="895">
        <v>30.4115695953369</v>
      </c>
      <c r="S252" s="895">
        <v>30.7421360015869</v>
      </c>
      <c r="T252" s="895">
        <v>30.871879577636701</v>
      </c>
      <c r="U252" s="895">
        <v>30.422807693481399</v>
      </c>
      <c r="V252" s="895">
        <v>30.6932373046875</v>
      </c>
      <c r="W252" s="895">
        <v>30.965314865112301</v>
      </c>
      <c r="X252" s="895">
        <v>31.299940109252901</v>
      </c>
      <c r="Y252" s="895">
        <v>31.482862472534201</v>
      </c>
      <c r="Z252" s="895">
        <v>31.836189270019499</v>
      </c>
      <c r="AA252" s="306">
        <v>7.3951959609985396</v>
      </c>
      <c r="AB252" s="306">
        <v>7.4624595642089799</v>
      </c>
      <c r="AC252" s="306">
        <v>7.2386937141418501</v>
      </c>
      <c r="AD252" s="306">
        <v>7.3113985061645499</v>
      </c>
    </row>
    <row r="253" spans="1:70" ht="13.5" thickBot="1" x14ac:dyDescent="0.25">
      <c r="A253" s="893" t="s">
        <v>610</v>
      </c>
      <c r="B253" s="895">
        <v>15.019946098327599</v>
      </c>
      <c r="C253" s="895">
        <v>16.054100036621101</v>
      </c>
      <c r="D253" s="895">
        <v>20.9568576812744</v>
      </c>
      <c r="E253" s="895">
        <v>13.740292549133301</v>
      </c>
      <c r="F253" s="895">
        <v>10.759732246398899</v>
      </c>
      <c r="G253" s="895">
        <v>13.277551651001</v>
      </c>
      <c r="H253" s="895">
        <v>15.102119445800801</v>
      </c>
      <c r="I253" s="895">
        <v>16.819028854370099</v>
      </c>
      <c r="J253" s="895">
        <v>18.163129806518601</v>
      </c>
      <c r="K253" s="895">
        <v>19.404659271240199</v>
      </c>
      <c r="L253" s="895">
        <v>20.2805690765381</v>
      </c>
      <c r="M253" s="895">
        <v>21.141357421875</v>
      </c>
      <c r="N253" s="895">
        <v>21.870569229126001</v>
      </c>
      <c r="O253" s="895">
        <v>22.288406372070298</v>
      </c>
      <c r="P253" s="895">
        <v>22.606428146362301</v>
      </c>
      <c r="Q253" s="895">
        <v>22.643785476684599</v>
      </c>
      <c r="R253" s="895">
        <v>22.862098693847699</v>
      </c>
      <c r="S253" s="895">
        <v>23.111530303955099</v>
      </c>
      <c r="T253" s="895">
        <v>23.2818489074707</v>
      </c>
      <c r="U253" s="895">
        <v>23.1139316558838</v>
      </c>
      <c r="V253" s="895">
        <v>23.4434604644775</v>
      </c>
      <c r="W253" s="895">
        <v>23.529294967651399</v>
      </c>
      <c r="X253" s="895">
        <v>23.9437866210938</v>
      </c>
      <c r="Y253" s="895">
        <v>24.471529006958001</v>
      </c>
      <c r="Z253" s="895">
        <v>24.6476936340332</v>
      </c>
      <c r="AA253" s="306">
        <v>9.0512752532959002</v>
      </c>
      <c r="AB253" s="306">
        <v>9.1702537536621094</v>
      </c>
      <c r="AC253" s="306">
        <v>9.2454566955566406</v>
      </c>
      <c r="AD253" s="306">
        <v>9.3029346466064506</v>
      </c>
      <c r="AE253" s="283">
        <f>AD253+($AI$253-$AD$253)/5</f>
        <v>9.3577216364198588</v>
      </c>
      <c r="AF253" s="283">
        <f>AE253+($AI$253-$AD$253)/5</f>
        <v>9.4125086262332669</v>
      </c>
      <c r="AG253" s="283">
        <f>AF253+($AI$253-$AD$253)/5</f>
        <v>9.467295616046675</v>
      </c>
      <c r="AH253" s="283">
        <f>AG253+($AI$253-$AD$253)/5</f>
        <v>9.5220826058600831</v>
      </c>
      <c r="AI253" s="284">
        <f>T423*$E$742</f>
        <v>9.5768695956734877</v>
      </c>
      <c r="AJ253" s="283">
        <f>AI253+($AX$253-$AI$253)/15</f>
        <v>9.6852727225982509</v>
      </c>
      <c r="AK253" s="283">
        <f t="shared" ref="AK253:AW253" si="3">AJ253+($AX$253-$AI$253)/15</f>
        <v>9.7936758495230141</v>
      </c>
      <c r="AL253" s="283">
        <f t="shared" si="3"/>
        <v>9.9020789764477772</v>
      </c>
      <c r="AM253" s="283">
        <f t="shared" si="3"/>
        <v>10.01048210337254</v>
      </c>
      <c r="AN253" s="283">
        <f t="shared" si="3"/>
        <v>10.118885230297304</v>
      </c>
      <c r="AO253" s="283">
        <f t="shared" si="3"/>
        <v>10.227288357222067</v>
      </c>
      <c r="AP253" s="283">
        <f t="shared" si="3"/>
        <v>10.33569148414683</v>
      </c>
      <c r="AQ253" s="283">
        <f t="shared" si="3"/>
        <v>10.444094611071593</v>
      </c>
      <c r="AR253" s="283">
        <f t="shared" si="3"/>
        <v>10.552497737996356</v>
      </c>
      <c r="AS253" s="283">
        <f t="shared" si="3"/>
        <v>10.660900864921119</v>
      </c>
      <c r="AT253" s="283">
        <f t="shared" si="3"/>
        <v>10.769303991845883</v>
      </c>
      <c r="AU253" s="283">
        <f t="shared" si="3"/>
        <v>10.877707118770646</v>
      </c>
      <c r="AV253" s="283">
        <f t="shared" si="3"/>
        <v>10.986110245695409</v>
      </c>
      <c r="AW253" s="283">
        <f t="shared" si="3"/>
        <v>11.094513372620172</v>
      </c>
      <c r="AX253" s="284">
        <f>AI253*$B$742</f>
        <v>11.202916499544939</v>
      </c>
      <c r="AY253" s="283">
        <f>AX253+($BM$253-$AX$253)/15</f>
        <v>11.313845014700993</v>
      </c>
      <c r="AZ253" s="283">
        <f t="shared" ref="AZ253:BL253" si="4">AY253+($BM$253-$AX$253)/15</f>
        <v>11.424773529857047</v>
      </c>
      <c r="BA253" s="283">
        <f t="shared" si="4"/>
        <v>11.535702045013101</v>
      </c>
      <c r="BB253" s="283">
        <f t="shared" si="4"/>
        <v>11.646630560169156</v>
      </c>
      <c r="BC253" s="283">
        <f t="shared" si="4"/>
        <v>11.75755907532521</v>
      </c>
      <c r="BD253" s="283">
        <f t="shared" si="4"/>
        <v>11.868487590481264</v>
      </c>
      <c r="BE253" s="283">
        <f t="shared" si="4"/>
        <v>11.979416105637318</v>
      </c>
      <c r="BF253" s="283">
        <f t="shared" si="4"/>
        <v>12.090344620793372</v>
      </c>
      <c r="BG253" s="283">
        <f t="shared" si="4"/>
        <v>12.201273135949426</v>
      </c>
      <c r="BH253" s="283">
        <f t="shared" si="4"/>
        <v>12.312201651105481</v>
      </c>
      <c r="BI253" s="283">
        <f t="shared" si="4"/>
        <v>12.423130166261535</v>
      </c>
      <c r="BJ253" s="283">
        <f t="shared" si="4"/>
        <v>12.534058681417589</v>
      </c>
      <c r="BK253" s="283">
        <f t="shared" si="4"/>
        <v>12.644987196573643</v>
      </c>
      <c r="BL253" s="283">
        <f t="shared" si="4"/>
        <v>12.755915711729697</v>
      </c>
      <c r="BM253" s="284">
        <f>AX253*$C$742</f>
        <v>12.866844226885757</v>
      </c>
      <c r="BN253" s="283">
        <f>BM253+($BR$253-$BM$253)/5</f>
        <v>12.994248543867917</v>
      </c>
      <c r="BO253" s="283">
        <f>BN253+($BR$253-$BM$253)/5</f>
        <v>13.121652860850077</v>
      </c>
      <c r="BP253" s="283">
        <f>BO253+($BR$253-$BM$253)/5</f>
        <v>13.249057177832237</v>
      </c>
      <c r="BQ253" s="283">
        <f>BP253+($BR$253-$BM$253)/5</f>
        <v>13.376461494814397</v>
      </c>
      <c r="BR253" s="284">
        <f>BM253*$D$742</f>
        <v>13.503865811796555</v>
      </c>
    </row>
    <row r="254" spans="1:70" ht="13.5" thickBot="1" x14ac:dyDescent="0.25">
      <c r="A254" s="893" t="s">
        <v>723</v>
      </c>
      <c r="B254" s="895">
        <v>8.8815975189209002</v>
      </c>
      <c r="C254" s="895">
        <v>10.3074436187744</v>
      </c>
      <c r="D254" s="895">
        <v>13.411918640136699</v>
      </c>
      <c r="E254" s="895">
        <v>6.6991925239562997</v>
      </c>
      <c r="F254" s="895">
        <v>5.8016228675842303</v>
      </c>
      <c r="G254" s="895">
        <v>8.5975322723388707</v>
      </c>
      <c r="H254" s="895">
        <v>10.1285858154297</v>
      </c>
      <c r="I254" s="895">
        <v>11.654000282287599</v>
      </c>
      <c r="J254" s="895">
        <v>12.9474182128906</v>
      </c>
      <c r="K254" s="895">
        <v>14.400235176086399</v>
      </c>
      <c r="L254" s="895">
        <v>15.2041673660278</v>
      </c>
      <c r="M254" s="895">
        <v>15.658245086669901</v>
      </c>
      <c r="N254" s="895">
        <v>16.352220535278299</v>
      </c>
      <c r="O254" s="895">
        <v>16.605510711669901</v>
      </c>
      <c r="P254" s="895">
        <v>16.856744766235401</v>
      </c>
      <c r="Q254" s="895">
        <v>17.043632507324201</v>
      </c>
      <c r="R254" s="895">
        <v>17.1953125</v>
      </c>
      <c r="S254" s="895">
        <v>17.403110504150401</v>
      </c>
      <c r="T254" s="895">
        <v>17.4520969390869</v>
      </c>
      <c r="U254" s="895">
        <v>17.016120910644499</v>
      </c>
      <c r="V254" s="895">
        <v>17.163618087768601</v>
      </c>
      <c r="W254" s="895">
        <v>17.311967849731399</v>
      </c>
      <c r="X254" s="895">
        <v>17.516565322876001</v>
      </c>
      <c r="Y254" s="895">
        <v>17.704761505126999</v>
      </c>
      <c r="Z254" s="895">
        <v>17.873653411865199</v>
      </c>
      <c r="AA254" s="306">
        <v>24.1571254730225</v>
      </c>
      <c r="AB254" s="306">
        <v>24.207300186157202</v>
      </c>
      <c r="AC254" s="306">
        <v>24.2876873016357</v>
      </c>
      <c r="AD254" s="306">
        <v>24.267208099365199</v>
      </c>
      <c r="AE254" s="285">
        <f>AD254+($AI$254-$AD$254)/5</f>
        <v>24.075703794494256</v>
      </c>
      <c r="AF254" s="285">
        <f>AE254+($AI$254-$AD$254)/5</f>
        <v>23.884199489623313</v>
      </c>
      <c r="AG254" s="285">
        <f>AF254+($AI$254-$AD$254)/5</f>
        <v>23.69269518475237</v>
      </c>
      <c r="AH254" s="285">
        <f>AG254+($AI$254-$AD$254)/5</f>
        <v>23.501190879881428</v>
      </c>
      <c r="AI254" s="286">
        <f>T424*$E$745</f>
        <v>23.309686575010492</v>
      </c>
      <c r="AJ254" s="285">
        <f>AI254+($AX$254-$AI$254)/15</f>
        <v>23.300523054015734</v>
      </c>
      <c r="AK254" s="285">
        <f t="shared" ref="AK254:AW254" si="5">AJ254+($AX$254-$AI$254)/15</f>
        <v>23.291359533020977</v>
      </c>
      <c r="AL254" s="285">
        <f t="shared" si="5"/>
        <v>23.282196012026219</v>
      </c>
      <c r="AM254" s="285">
        <f t="shared" si="5"/>
        <v>23.273032491031461</v>
      </c>
      <c r="AN254" s="285">
        <f t="shared" si="5"/>
        <v>23.263868970036704</v>
      </c>
      <c r="AO254" s="285">
        <f t="shared" si="5"/>
        <v>23.254705449041946</v>
      </c>
      <c r="AP254" s="285">
        <f t="shared" si="5"/>
        <v>23.245541928047189</v>
      </c>
      <c r="AQ254" s="285">
        <f t="shared" si="5"/>
        <v>23.236378407052431</v>
      </c>
      <c r="AR254" s="285">
        <f t="shared" si="5"/>
        <v>23.227214886057673</v>
      </c>
      <c r="AS254" s="285">
        <f t="shared" si="5"/>
        <v>23.218051365062916</v>
      </c>
      <c r="AT254" s="285">
        <f t="shared" si="5"/>
        <v>23.208887844068158</v>
      </c>
      <c r="AU254" s="285">
        <f t="shared" si="5"/>
        <v>23.199724323073401</v>
      </c>
      <c r="AV254" s="285">
        <f t="shared" si="5"/>
        <v>23.190560802078643</v>
      </c>
      <c r="AW254" s="285">
        <f t="shared" si="5"/>
        <v>23.181397281083886</v>
      </c>
      <c r="AX254" s="286">
        <f>AI254*$B$745</f>
        <v>23.172233760089139</v>
      </c>
      <c r="AY254" s="285">
        <f>AX254+($BM$254-$AX$254)/15</f>
        <v>23.186953863011141</v>
      </c>
      <c r="AZ254" s="285">
        <f t="shared" ref="AZ254:BL254" si="6">AY254+($BM$254-$AX$254)/15</f>
        <v>23.201673965933143</v>
      </c>
      <c r="BA254" s="285">
        <f t="shared" si="6"/>
        <v>23.216394068855145</v>
      </c>
      <c r="BB254" s="285">
        <f t="shared" si="6"/>
        <v>23.231114171777147</v>
      </c>
      <c r="BC254" s="285">
        <f t="shared" si="6"/>
        <v>23.245834274699149</v>
      </c>
      <c r="BD254" s="285">
        <f t="shared" si="6"/>
        <v>23.260554377621151</v>
      </c>
      <c r="BE254" s="285">
        <f t="shared" si="6"/>
        <v>23.275274480543153</v>
      </c>
      <c r="BF254" s="285">
        <f t="shared" si="6"/>
        <v>23.289994583465155</v>
      </c>
      <c r="BG254" s="285">
        <f t="shared" si="6"/>
        <v>23.304714686387157</v>
      </c>
      <c r="BH254" s="285">
        <f t="shared" si="6"/>
        <v>23.31943478930916</v>
      </c>
      <c r="BI254" s="285">
        <f t="shared" si="6"/>
        <v>23.334154892231162</v>
      </c>
      <c r="BJ254" s="285">
        <f t="shared" si="6"/>
        <v>23.348874995153164</v>
      </c>
      <c r="BK254" s="285">
        <f t="shared" si="6"/>
        <v>23.363595098075166</v>
      </c>
      <c r="BL254" s="285">
        <f t="shared" si="6"/>
        <v>23.378315200997168</v>
      </c>
      <c r="BM254" s="286">
        <f>AX254*$C$745</f>
        <v>23.393035303919145</v>
      </c>
      <c r="BN254" s="285">
        <f>BM254+($BR$254-$BM$254)/5</f>
        <v>23.407895670463727</v>
      </c>
      <c r="BO254" s="285">
        <f>BN254+($BR$254-$BM$254)/5</f>
        <v>23.422756037008309</v>
      </c>
      <c r="BP254" s="285">
        <f>BO254+($BR$254-$BM$254)/5</f>
        <v>23.437616403552891</v>
      </c>
      <c r="BQ254" s="285">
        <f>BP254+($BR$254-$BM$254)/5</f>
        <v>23.452476770097473</v>
      </c>
      <c r="BR254" s="286">
        <f>BM254*$D$745</f>
        <v>23.467337136642058</v>
      </c>
    </row>
    <row r="255" spans="1:70" x14ac:dyDescent="0.2">
      <c r="A255" s="893" t="s">
        <v>510</v>
      </c>
      <c r="B255" s="895">
        <v>11.896094322204601</v>
      </c>
      <c r="C255" s="895">
        <v>10.9898433685303</v>
      </c>
      <c r="D255" s="895">
        <v>11.3387994766235</v>
      </c>
      <c r="E255" s="895">
        <v>8.9075946807861293</v>
      </c>
      <c r="F255" s="895">
        <v>9.4656057357788104</v>
      </c>
      <c r="G255" s="895">
        <v>9.7463216781616193</v>
      </c>
      <c r="H255" s="895">
        <v>9.7210922241210902</v>
      </c>
      <c r="I255" s="895">
        <v>9.6719341278076207</v>
      </c>
      <c r="J255" s="895">
        <v>9.7138872146606392</v>
      </c>
      <c r="K255" s="895">
        <v>9.8306560516357404</v>
      </c>
      <c r="L255" s="895">
        <v>10.038209915161101</v>
      </c>
      <c r="M255" s="895">
        <v>10.2545003890991</v>
      </c>
      <c r="N255" s="895">
        <v>10.476261138916</v>
      </c>
      <c r="O255" s="895">
        <v>10.746561050415</v>
      </c>
      <c r="P255" s="895">
        <v>11.0803880691528</v>
      </c>
      <c r="Q255" s="895">
        <v>11.314369201660201</v>
      </c>
      <c r="R255" s="895">
        <v>11.4017143249512</v>
      </c>
      <c r="S255" s="895">
        <v>11.212500572204601</v>
      </c>
      <c r="T255" s="895">
        <v>11.1975994110107</v>
      </c>
      <c r="U255" s="895">
        <v>11.159740447998001</v>
      </c>
      <c r="V255" s="895">
        <v>11.3503875732422</v>
      </c>
      <c r="W255" s="895">
        <v>11.640952110290501</v>
      </c>
      <c r="X255" s="895">
        <v>11.9785671234131</v>
      </c>
      <c r="Y255" s="895">
        <v>12.2332496643066</v>
      </c>
      <c r="Z255" s="895">
        <v>12.5188312530518</v>
      </c>
      <c r="AA255" s="306"/>
      <c r="AB255" s="306"/>
      <c r="AC255" s="306"/>
      <c r="AD255" s="306"/>
    </row>
    <row r="256" spans="1:70" x14ac:dyDescent="0.2">
      <c r="A256" s="893" t="s">
        <v>479</v>
      </c>
      <c r="B256" s="895">
        <v>28.3762531280518</v>
      </c>
      <c r="C256" s="895">
        <v>28.029735565185501</v>
      </c>
      <c r="D256" s="895">
        <v>29.057315826416001</v>
      </c>
      <c r="E256" s="895">
        <v>27.6067714691162</v>
      </c>
      <c r="F256" s="895">
        <v>24.835584640502901</v>
      </c>
      <c r="G256" s="895">
        <v>25.581251144409201</v>
      </c>
      <c r="H256" s="895">
        <v>25.4402256011963</v>
      </c>
      <c r="I256" s="895">
        <v>25.470129013061499</v>
      </c>
      <c r="J256" s="895">
        <v>25.672283172607401</v>
      </c>
      <c r="K256" s="895">
        <v>25.763282775878899</v>
      </c>
      <c r="L256" s="895">
        <v>26.100669860839801</v>
      </c>
      <c r="M256" s="895">
        <v>26.468044281005898</v>
      </c>
      <c r="N256" s="895">
        <v>26.885612487793001</v>
      </c>
      <c r="O256" s="895">
        <v>27.169450759887699</v>
      </c>
      <c r="P256" s="895">
        <v>27.620109558105501</v>
      </c>
      <c r="Q256" s="895">
        <v>28.002447128295898</v>
      </c>
      <c r="R256" s="895">
        <v>28.245407104492202</v>
      </c>
      <c r="S256" s="895">
        <v>28.186374664306602</v>
      </c>
      <c r="T256" s="895">
        <v>28.203248977661101</v>
      </c>
      <c r="U256" s="895">
        <v>28.139711380004901</v>
      </c>
      <c r="V256" s="895">
        <v>28.178466796875</v>
      </c>
      <c r="W256" s="895">
        <v>28.495182037353501</v>
      </c>
      <c r="X256" s="895">
        <v>28.915565490722699</v>
      </c>
      <c r="Y256" s="895">
        <v>29.289411544799801</v>
      </c>
      <c r="Z256" s="895">
        <v>29.651695251464801</v>
      </c>
      <c r="AA256" s="306">
        <v>16.318952560424801</v>
      </c>
      <c r="AB256" s="306">
        <v>16.4172878265381</v>
      </c>
      <c r="AC256" s="306">
        <v>16.5084934234619</v>
      </c>
      <c r="AD256" s="306">
        <v>16.549221038818398</v>
      </c>
    </row>
    <row r="257" spans="1:70" x14ac:dyDescent="0.2">
      <c r="AA257" s="306">
        <v>12.788073539733899</v>
      </c>
      <c r="AB257" s="306">
        <v>13.069622039794901</v>
      </c>
      <c r="AC257" s="306">
        <v>13.0597486495972</v>
      </c>
      <c r="AD257" s="306">
        <v>13.2463188171387</v>
      </c>
    </row>
    <row r="258" spans="1:70" ht="13.5" thickBot="1" x14ac:dyDescent="0.25">
      <c r="A258" s="893" t="s">
        <v>612</v>
      </c>
      <c r="AA258" s="306">
        <v>9.5039434432983398</v>
      </c>
      <c r="AB258" s="306">
        <v>9.4975557327270508</v>
      </c>
      <c r="AC258" s="306">
        <v>9.6068582534790004</v>
      </c>
      <c r="AD258" s="306">
        <v>9.5831336975097692</v>
      </c>
    </row>
    <row r="259" spans="1:70" ht="13.5" thickBot="1" x14ac:dyDescent="0.25">
      <c r="A259" s="893" t="s">
        <v>609</v>
      </c>
      <c r="B259" s="895">
        <v>21.041078567504901</v>
      </c>
      <c r="C259" s="895">
        <v>23.3795166015625</v>
      </c>
      <c r="D259" s="895">
        <v>26.646581649780298</v>
      </c>
      <c r="E259" s="895">
        <v>22.2440700531006</v>
      </c>
      <c r="F259" s="895">
        <v>16.6379299163818</v>
      </c>
      <c r="G259" s="895">
        <v>18.920274734497099</v>
      </c>
      <c r="H259" s="895">
        <v>20.8892612457275</v>
      </c>
      <c r="I259" s="895">
        <v>22.636520385742202</v>
      </c>
      <c r="J259" s="895">
        <v>24.1346244812012</v>
      </c>
      <c r="K259" s="895">
        <v>25.742292404174801</v>
      </c>
      <c r="L259" s="895">
        <v>26.783767700195298</v>
      </c>
      <c r="M259" s="895">
        <v>27.652248382568398</v>
      </c>
      <c r="N259" s="895">
        <v>28.520401000976602</v>
      </c>
      <c r="O259" s="895">
        <v>28.932659149169901</v>
      </c>
      <c r="P259" s="895">
        <v>29.169765472412099</v>
      </c>
      <c r="Q259" s="895">
        <v>29.4143581390381</v>
      </c>
      <c r="R259" s="895">
        <v>29.524629592895501</v>
      </c>
      <c r="S259" s="895">
        <v>29.853767395019499</v>
      </c>
      <c r="T259" s="895">
        <v>29.959171295166001</v>
      </c>
      <c r="U259" s="895">
        <v>29.528638839721701</v>
      </c>
      <c r="V259" s="895">
        <v>29.7813510894775</v>
      </c>
      <c r="W259" s="895">
        <v>30.054143905639599</v>
      </c>
      <c r="X259" s="895">
        <v>30.3852443695068</v>
      </c>
      <c r="Y259" s="895">
        <v>30.4649448394775</v>
      </c>
      <c r="Z259" s="895">
        <v>30.849096298217798</v>
      </c>
      <c r="AA259" s="306">
        <v>6.3330101966857901</v>
      </c>
      <c r="AB259" s="306">
        <v>6.4338274002075204</v>
      </c>
      <c r="AC259" s="306">
        <v>6.5134425163268999</v>
      </c>
      <c r="AD259" s="306">
        <v>6.5598897933959996</v>
      </c>
      <c r="AE259" s="283">
        <f>AD259+($AI$259-$AD$259)/5</f>
        <v>6.5507078532683796</v>
      </c>
      <c r="AF259" s="283">
        <f>AE259+($AI$259-$AD$259)/5</f>
        <v>6.5415259131407595</v>
      </c>
      <c r="AG259" s="283">
        <f>AF259+($AI$259-$AD$259)/5</f>
        <v>6.5323439730131394</v>
      </c>
      <c r="AH259" s="283">
        <f>AG259+($AI$259-$AD$259)/5</f>
        <v>6.5231620328855193</v>
      </c>
      <c r="AI259" s="284">
        <f>T429*$E$742</f>
        <v>6.5139800927579001</v>
      </c>
      <c r="AJ259" s="283">
        <f>AI259+($AX$259-$AI$259)/15</f>
        <v>6.5877135610615332</v>
      </c>
      <c r="AK259" s="283">
        <f t="shared" ref="AK259:AW259" si="7">AJ259+($AX$259-$AI$259)/15</f>
        <v>6.6614470293651662</v>
      </c>
      <c r="AL259" s="283">
        <f t="shared" si="7"/>
        <v>6.7351804976687992</v>
      </c>
      <c r="AM259" s="283">
        <f t="shared" si="7"/>
        <v>6.8089139659724323</v>
      </c>
      <c r="AN259" s="283">
        <f t="shared" si="7"/>
        <v>6.8826474342760653</v>
      </c>
      <c r="AO259" s="283">
        <f t="shared" si="7"/>
        <v>6.9563809025796983</v>
      </c>
      <c r="AP259" s="283">
        <f t="shared" si="7"/>
        <v>7.0301143708833314</v>
      </c>
      <c r="AQ259" s="283">
        <f t="shared" si="7"/>
        <v>7.1038478391869644</v>
      </c>
      <c r="AR259" s="283">
        <f t="shared" si="7"/>
        <v>7.1775813074905974</v>
      </c>
      <c r="AS259" s="283">
        <f t="shared" si="7"/>
        <v>7.2513147757942304</v>
      </c>
      <c r="AT259" s="283">
        <f t="shared" si="7"/>
        <v>7.3250482440978635</v>
      </c>
      <c r="AU259" s="283">
        <f t="shared" si="7"/>
        <v>7.3987817124014965</v>
      </c>
      <c r="AV259" s="283">
        <f t="shared" si="7"/>
        <v>7.4725151807051295</v>
      </c>
      <c r="AW259" s="283">
        <f t="shared" si="7"/>
        <v>7.5462486490087626</v>
      </c>
      <c r="AX259" s="284">
        <f>AI259*$B$742</f>
        <v>7.6199821173123929</v>
      </c>
      <c r="AY259" s="283">
        <f>AX259+($BM$259-$AX$259)/15</f>
        <v>7.6954333002095865</v>
      </c>
      <c r="AZ259" s="283">
        <f t="shared" ref="AZ259:BL259" si="8">AY259+($BM$259-$AX$259)/15</f>
        <v>7.77088448310678</v>
      </c>
      <c r="BA259" s="283">
        <f t="shared" si="8"/>
        <v>7.8463356660039736</v>
      </c>
      <c r="BB259" s="283">
        <f t="shared" si="8"/>
        <v>7.9217868489011671</v>
      </c>
      <c r="BC259" s="283">
        <f t="shared" si="8"/>
        <v>7.9972380317983607</v>
      </c>
      <c r="BD259" s="283">
        <f t="shared" si="8"/>
        <v>8.0726892146955542</v>
      </c>
      <c r="BE259" s="283">
        <f t="shared" si="8"/>
        <v>8.1481403975927478</v>
      </c>
      <c r="BF259" s="283">
        <f t="shared" si="8"/>
        <v>8.2235915804899413</v>
      </c>
      <c r="BG259" s="283">
        <f t="shared" si="8"/>
        <v>8.2990427633871349</v>
      </c>
      <c r="BH259" s="283">
        <f t="shared" si="8"/>
        <v>8.3744939462843284</v>
      </c>
      <c r="BI259" s="283">
        <f t="shared" si="8"/>
        <v>8.449945129181522</v>
      </c>
      <c r="BJ259" s="283">
        <f t="shared" si="8"/>
        <v>8.5253963120787155</v>
      </c>
      <c r="BK259" s="283">
        <f t="shared" si="8"/>
        <v>8.6008474949759091</v>
      </c>
      <c r="BL259" s="283">
        <f t="shared" si="8"/>
        <v>8.6762986778731026</v>
      </c>
      <c r="BM259" s="284">
        <f>AX259*$C$742</f>
        <v>8.7517498607702962</v>
      </c>
      <c r="BN259" s="283">
        <f>BM259+($BR$259-$BM$259)/5</f>
        <v>8.8384075286295438</v>
      </c>
      <c r="BO259" s="283">
        <f>BN259+($BR$259-$BM$259)/5</f>
        <v>8.9250651964887915</v>
      </c>
      <c r="BP259" s="283">
        <f>BO259+($BR$259-$BM$259)/5</f>
        <v>9.0117228643480392</v>
      </c>
      <c r="BQ259" s="283">
        <f>BP259+($BR$259-$BM$259)/5</f>
        <v>9.0983805322072868</v>
      </c>
      <c r="BR259" s="284">
        <f>BM259*$D$742</f>
        <v>9.1850382000665363</v>
      </c>
    </row>
    <row r="260" spans="1:70" x14ac:dyDescent="0.2">
      <c r="A260" s="893" t="s">
        <v>610</v>
      </c>
      <c r="B260" s="895">
        <v>15.7354278564453</v>
      </c>
      <c r="C260" s="895">
        <v>16.8219394683838</v>
      </c>
      <c r="D260" s="895">
        <v>21.937858581543001</v>
      </c>
      <c r="E260" s="895">
        <v>14.291754722595201</v>
      </c>
      <c r="F260" s="895">
        <v>10.6247463226318</v>
      </c>
      <c r="G260" s="895">
        <v>13.4027051925659</v>
      </c>
      <c r="H260" s="895">
        <v>15.2648477554321</v>
      </c>
      <c r="I260" s="895">
        <v>17.266075134277301</v>
      </c>
      <c r="J260" s="895">
        <v>18.658037185668899</v>
      </c>
      <c r="K260" s="895">
        <v>19.740333557128899</v>
      </c>
      <c r="L260" s="895">
        <v>20.622322082519499</v>
      </c>
      <c r="M260" s="895">
        <v>21.514814376831101</v>
      </c>
      <c r="N260" s="895">
        <v>22.261856079101602</v>
      </c>
      <c r="O260" s="895">
        <v>22.720048904418899</v>
      </c>
      <c r="P260" s="895">
        <v>23.0620517730713</v>
      </c>
      <c r="Q260" s="895">
        <v>23.029100418090799</v>
      </c>
      <c r="R260" s="895">
        <v>23.327865600585898</v>
      </c>
      <c r="S260" s="895">
        <v>23.5460414886475</v>
      </c>
      <c r="T260" s="895">
        <v>23.635374069213899</v>
      </c>
      <c r="U260" s="895">
        <v>23.588466644287099</v>
      </c>
      <c r="V260" s="895">
        <v>23.9423828125</v>
      </c>
      <c r="W260" s="895">
        <v>23.870851516723601</v>
      </c>
      <c r="X260" s="895">
        <v>24.336980819702099</v>
      </c>
      <c r="Y260" s="895">
        <v>25.037542343139599</v>
      </c>
      <c r="Z260" s="895">
        <v>25.073137283325199</v>
      </c>
      <c r="AA260" s="306">
        <v>2.7168338298797599</v>
      </c>
      <c r="AB260" s="306">
        <v>2.7307398319244398</v>
      </c>
      <c r="AC260" s="306">
        <v>2.7413196563720699</v>
      </c>
      <c r="AD260" s="306">
        <v>2.7546591758728001</v>
      </c>
    </row>
    <row r="261" spans="1:70" x14ac:dyDescent="0.2">
      <c r="A261" s="893" t="s">
        <v>611</v>
      </c>
      <c r="B261" s="895">
        <v>9.2125787734985405</v>
      </c>
      <c r="C261" s="895">
        <v>10.5954837799072</v>
      </c>
      <c r="D261" s="895">
        <v>13.7473258972168</v>
      </c>
      <c r="E261" s="895">
        <v>6.9127345085143999</v>
      </c>
      <c r="F261" s="895">
        <v>9.8444128036499006</v>
      </c>
      <c r="G261" s="895">
        <v>12.2499532699585</v>
      </c>
      <c r="H261" s="895">
        <v>13.9352369308472</v>
      </c>
      <c r="I261" s="895">
        <v>15.428977966308601</v>
      </c>
      <c r="J261" s="895">
        <v>16.646518707275401</v>
      </c>
      <c r="K261" s="895">
        <v>18.037969589233398</v>
      </c>
      <c r="L261" s="895">
        <v>18.8180332183838</v>
      </c>
      <c r="M261" s="895">
        <v>19.4296264648438</v>
      </c>
      <c r="N261" s="895">
        <v>20.112428665161101</v>
      </c>
      <c r="O261" s="895">
        <v>20.448431015014599</v>
      </c>
      <c r="P261" s="895">
        <v>20.727931976318398</v>
      </c>
      <c r="Q261" s="895">
        <v>20.973798751831101</v>
      </c>
      <c r="R261" s="895">
        <v>21.101537704467798</v>
      </c>
      <c r="S261" s="895">
        <v>21.306892395019499</v>
      </c>
      <c r="T261" s="895">
        <v>21.394767761230501</v>
      </c>
      <c r="U261" s="895">
        <v>21.017236709594702</v>
      </c>
      <c r="V261" s="895">
        <v>21.180326461791999</v>
      </c>
      <c r="W261" s="895">
        <v>21.338615417480501</v>
      </c>
      <c r="X261" s="895">
        <v>21.660650253295898</v>
      </c>
      <c r="Y261" s="895">
        <v>21.793584823608398</v>
      </c>
      <c r="Z261" s="895">
        <v>22.078443527221701</v>
      </c>
      <c r="AA261" s="306">
        <v>2.2517027854919398</v>
      </c>
      <c r="AB261" s="306">
        <v>2.2682161331176802</v>
      </c>
      <c r="AC261" s="306">
        <v>2.2745745182037398</v>
      </c>
      <c r="AD261" s="306">
        <v>2.2862651348114</v>
      </c>
    </row>
    <row r="262" spans="1:70" ht="13.5" thickBot="1" x14ac:dyDescent="0.25">
      <c r="A262" s="893" t="s">
        <v>613</v>
      </c>
      <c r="B262" s="895">
        <v>7.9540700912475604</v>
      </c>
      <c r="C262" s="895">
        <v>7.5152516365051296</v>
      </c>
      <c r="D262" s="895">
        <v>8.8012723922729492</v>
      </c>
      <c r="E262" s="895">
        <v>4.8485679626464799</v>
      </c>
      <c r="F262" s="895">
        <v>5.4989199638366699</v>
      </c>
      <c r="G262" s="895">
        <v>5.8261642456054696</v>
      </c>
      <c r="H262" s="895">
        <v>5.87778615951538</v>
      </c>
      <c r="I262" s="895">
        <v>5.9538393020629901</v>
      </c>
      <c r="J262" s="895">
        <v>6.1098570823669398</v>
      </c>
      <c r="K262" s="895">
        <v>6.3294844627380398</v>
      </c>
      <c r="L262" s="895">
        <v>6.5125813484191903</v>
      </c>
      <c r="M262" s="895">
        <v>6.7027301788330096</v>
      </c>
      <c r="N262" s="895">
        <v>6.8988709449768102</v>
      </c>
      <c r="O262" s="895">
        <v>7.1528282165527299</v>
      </c>
      <c r="P262" s="895">
        <v>7.4686021804809597</v>
      </c>
      <c r="Q262" s="895">
        <v>7.6786775588989302</v>
      </c>
      <c r="R262" s="895">
        <v>7.7538070678710902</v>
      </c>
      <c r="S262" s="895">
        <v>7.5584783554077104</v>
      </c>
      <c r="T262" s="895">
        <v>7.5461778640747097</v>
      </c>
      <c r="U262" s="895">
        <v>7.4592709541320801</v>
      </c>
      <c r="V262" s="895">
        <v>7.6002230644226101</v>
      </c>
      <c r="W262" s="895">
        <v>7.8596048355102504</v>
      </c>
      <c r="X262" s="895">
        <v>8.1941757202148402</v>
      </c>
      <c r="Y262" s="895">
        <v>8.4216127395629901</v>
      </c>
      <c r="Z262" s="895">
        <v>8.6935501098632795</v>
      </c>
      <c r="AA262" s="306">
        <v>1.2833950519561801</v>
      </c>
      <c r="AB262" s="306">
        <v>1.3286876678466799</v>
      </c>
      <c r="AC262" s="306">
        <v>1.33012855052948</v>
      </c>
      <c r="AD262" s="306">
        <v>1.33445107936859</v>
      </c>
    </row>
    <row r="263" spans="1:70" ht="13.5" thickBot="1" x14ac:dyDescent="0.25">
      <c r="A263" s="893" t="s">
        <v>614</v>
      </c>
      <c r="B263" s="895">
        <v>3.6353600025177002</v>
      </c>
      <c r="C263" s="895">
        <v>3.6099998950958301</v>
      </c>
      <c r="D263" s="895">
        <v>4.0558156967163104</v>
      </c>
      <c r="E263" s="895">
        <v>4.0487108230590803</v>
      </c>
      <c r="F263" s="895">
        <v>3.9977276325225799</v>
      </c>
      <c r="G263" s="895">
        <v>4.1121706962585396</v>
      </c>
      <c r="H263" s="895">
        <v>4.1809573173522896</v>
      </c>
      <c r="I263" s="895">
        <v>4.2343683242797896</v>
      </c>
      <c r="J263" s="895">
        <v>4.27162742614746</v>
      </c>
      <c r="K263" s="895">
        <v>4.2985162734985396</v>
      </c>
      <c r="L263" s="895">
        <v>4.3192996978759801</v>
      </c>
      <c r="M263" s="895">
        <v>4.3337044715881303</v>
      </c>
      <c r="N263" s="895">
        <v>4.3530845642089799</v>
      </c>
      <c r="O263" s="895">
        <v>4.3696141242981001</v>
      </c>
      <c r="P263" s="895">
        <v>4.3899216651916504</v>
      </c>
      <c r="Q263" s="895">
        <v>4.4470157623290998</v>
      </c>
      <c r="R263" s="895">
        <v>4.5093812942504901</v>
      </c>
      <c r="S263" s="895">
        <v>4.5352845191955602</v>
      </c>
      <c r="T263" s="895">
        <v>4.5618190765380904</v>
      </c>
      <c r="U263" s="895">
        <v>4.5643453598022496</v>
      </c>
      <c r="V263" s="895">
        <v>4.5493078231811497</v>
      </c>
      <c r="W263" s="895">
        <v>4.5490665435790998</v>
      </c>
      <c r="X263" s="895">
        <v>4.5331215858459499</v>
      </c>
      <c r="Y263" s="895">
        <v>4.4955492019653303</v>
      </c>
      <c r="Z263" s="895">
        <v>4.4319190979003897</v>
      </c>
      <c r="AA263" s="306">
        <v>17.3004150390625</v>
      </c>
      <c r="AB263" s="306">
        <v>17.331628799438501</v>
      </c>
      <c r="AC263" s="306">
        <v>17.425392150878899</v>
      </c>
      <c r="AD263" s="306">
        <v>17.430723190307599</v>
      </c>
      <c r="AE263" s="285">
        <f>AD263+($AI$263-$AD$263)/5</f>
        <v>17.267158349957999</v>
      </c>
      <c r="AF263" s="285">
        <f>AE263+($AI$263-$AD$263)/5</f>
        <v>17.103593509608398</v>
      </c>
      <c r="AG263" s="285">
        <f>AF263+($AI$263-$AD$263)/5</f>
        <v>16.940028669258798</v>
      </c>
      <c r="AH263" s="285">
        <f>AG263+($AI$263-$AD$263)/5</f>
        <v>16.776463828909197</v>
      </c>
      <c r="AI263" s="286">
        <f>T433*$E$745</f>
        <v>16.612898988559596</v>
      </c>
      <c r="AJ263" s="285">
        <f>AI263+($AX$263-$AI$263)/15</f>
        <v>16.606368113587273</v>
      </c>
      <c r="AK263" s="285">
        <f t="shared" ref="AK263:AW263" si="9">AJ263+($AX$263-$AI$263)/15</f>
        <v>16.599837238614949</v>
      </c>
      <c r="AL263" s="285">
        <f t="shared" si="9"/>
        <v>16.593306363642625</v>
      </c>
      <c r="AM263" s="285">
        <f t="shared" si="9"/>
        <v>16.586775488670302</v>
      </c>
      <c r="AN263" s="285">
        <f t="shared" si="9"/>
        <v>16.580244613697978</v>
      </c>
      <c r="AO263" s="285">
        <f t="shared" si="9"/>
        <v>16.573713738725655</v>
      </c>
      <c r="AP263" s="285">
        <f t="shared" si="9"/>
        <v>16.567182863753331</v>
      </c>
      <c r="AQ263" s="285">
        <f t="shared" si="9"/>
        <v>16.560651988781007</v>
      </c>
      <c r="AR263" s="285">
        <f t="shared" si="9"/>
        <v>16.554121113808684</v>
      </c>
      <c r="AS263" s="285">
        <f t="shared" si="9"/>
        <v>16.54759023883636</v>
      </c>
      <c r="AT263" s="285">
        <f t="shared" si="9"/>
        <v>16.541059363864036</v>
      </c>
      <c r="AU263" s="285">
        <f t="shared" si="9"/>
        <v>16.534528488891713</v>
      </c>
      <c r="AV263" s="285">
        <f t="shared" si="9"/>
        <v>16.527997613919389</v>
      </c>
      <c r="AW263" s="285">
        <f t="shared" si="9"/>
        <v>16.521466738947066</v>
      </c>
      <c r="AX263" s="286">
        <f>AI263*$B$745</f>
        <v>16.514935863974742</v>
      </c>
      <c r="AY263" s="285">
        <f>AX263+($BM$263-$AX$263)/15</f>
        <v>16.525426935236357</v>
      </c>
      <c r="AZ263" s="285">
        <f t="shared" ref="AZ263:BL263" si="10">AY263+($BM$263-$AX$263)/15</f>
        <v>16.535918006497972</v>
      </c>
      <c r="BA263" s="285">
        <f t="shared" si="10"/>
        <v>16.546409077759588</v>
      </c>
      <c r="BB263" s="285">
        <f t="shared" si="10"/>
        <v>16.556900149021203</v>
      </c>
      <c r="BC263" s="285">
        <f t="shared" si="10"/>
        <v>16.567391220282818</v>
      </c>
      <c r="BD263" s="285">
        <f t="shared" si="10"/>
        <v>16.577882291544434</v>
      </c>
      <c r="BE263" s="285">
        <f t="shared" si="10"/>
        <v>16.588373362806049</v>
      </c>
      <c r="BF263" s="285">
        <f t="shared" si="10"/>
        <v>16.598864434067664</v>
      </c>
      <c r="BG263" s="285">
        <f t="shared" si="10"/>
        <v>16.60935550532928</v>
      </c>
      <c r="BH263" s="285">
        <f t="shared" si="10"/>
        <v>16.619846576590895</v>
      </c>
      <c r="BI263" s="285">
        <f t="shared" si="10"/>
        <v>16.63033764785251</v>
      </c>
      <c r="BJ263" s="285">
        <f t="shared" si="10"/>
        <v>16.640828719114126</v>
      </c>
      <c r="BK263" s="285">
        <f t="shared" si="10"/>
        <v>16.651319790375741</v>
      </c>
      <c r="BL263" s="285">
        <f t="shared" si="10"/>
        <v>16.661810861637356</v>
      </c>
      <c r="BM263" s="286">
        <f>AX263*$C$745</f>
        <v>16.672301932898996</v>
      </c>
      <c r="BN263" s="285">
        <f>BM263+($BR$263-$BM$263)/5</f>
        <v>16.682892970558111</v>
      </c>
      <c r="BO263" s="285">
        <f>BN263+($BR$263-$BM$263)/5</f>
        <v>16.693484008217226</v>
      </c>
      <c r="BP263" s="285">
        <f>BO263+($BR$263-$BM$263)/5</f>
        <v>16.704075045876341</v>
      </c>
      <c r="BQ263" s="285">
        <f>BP263+($BR$263-$BM$263)/5</f>
        <v>16.714666083535455</v>
      </c>
      <c r="BR263" s="286">
        <f>BM263*$D$745</f>
        <v>16.725257121194577</v>
      </c>
    </row>
    <row r="264" spans="1:70" x14ac:dyDescent="0.2">
      <c r="A264" s="893" t="s">
        <v>615</v>
      </c>
      <c r="B264" s="895">
        <v>2.4029970169067401</v>
      </c>
      <c r="C264" s="895">
        <v>2.4299483299255402</v>
      </c>
      <c r="D264" s="895">
        <v>2.5420303344726598</v>
      </c>
      <c r="E264" s="895">
        <v>2.4490520954132098</v>
      </c>
      <c r="F264" s="895">
        <v>2.3906834125518799</v>
      </c>
      <c r="G264" s="895">
        <v>2.4765830039978001</v>
      </c>
      <c r="H264" s="895">
        <v>2.4936084747314502</v>
      </c>
      <c r="I264" s="895">
        <v>2.5247271060943599</v>
      </c>
      <c r="J264" s="895">
        <v>2.54471778869629</v>
      </c>
      <c r="K264" s="895">
        <v>2.53918480873108</v>
      </c>
      <c r="L264" s="895">
        <v>2.54552221298218</v>
      </c>
      <c r="M264" s="895">
        <v>2.5526983737945601</v>
      </c>
      <c r="N264" s="895">
        <v>2.5639333724975599</v>
      </c>
      <c r="O264" s="895">
        <v>2.5611753463745099</v>
      </c>
      <c r="P264" s="895">
        <v>2.56861472129822</v>
      </c>
      <c r="Q264" s="895">
        <v>2.5710935592651398</v>
      </c>
      <c r="R264" s="895">
        <v>2.57420825958252</v>
      </c>
      <c r="S264" s="895">
        <v>2.5741758346557599</v>
      </c>
      <c r="T264" s="895">
        <v>2.5788726806640598</v>
      </c>
      <c r="U264" s="895">
        <v>2.5789062976837198</v>
      </c>
      <c r="V264" s="895">
        <v>2.59378290176392</v>
      </c>
      <c r="W264" s="895">
        <v>2.6088099479675302</v>
      </c>
      <c r="X264" s="895">
        <v>2.6259028911590598</v>
      </c>
      <c r="Y264" s="895">
        <v>2.64452123641968</v>
      </c>
      <c r="Z264" s="895">
        <v>2.6644773483276398</v>
      </c>
      <c r="AA264" s="306"/>
      <c r="AB264" s="306"/>
      <c r="AC264" s="306"/>
      <c r="AD264" s="306"/>
    </row>
    <row r="265" spans="1:70" ht="13.5" thickBot="1" x14ac:dyDescent="0.25">
      <c r="A265" s="893" t="s">
        <v>616</v>
      </c>
      <c r="B265" s="895">
        <v>0</v>
      </c>
      <c r="C265" s="895">
        <v>0</v>
      </c>
      <c r="D265" s="895">
        <v>0</v>
      </c>
      <c r="E265" s="895">
        <v>0</v>
      </c>
      <c r="F265" s="895">
        <v>0</v>
      </c>
      <c r="G265" s="895">
        <v>1.5133428573608401</v>
      </c>
      <c r="H265" s="895">
        <v>1.3742095232009901</v>
      </c>
      <c r="I265" s="895">
        <v>1.19064140319824</v>
      </c>
      <c r="J265" s="895">
        <v>1.3664953708648699</v>
      </c>
      <c r="K265" s="895">
        <v>1.33487153053284</v>
      </c>
      <c r="L265" s="895">
        <v>1.31654036045074</v>
      </c>
      <c r="M265" s="895">
        <v>1.30223417282104</v>
      </c>
      <c r="N265" s="895">
        <v>1.30838906764984</v>
      </c>
      <c r="O265" s="895">
        <v>1.32146644592285</v>
      </c>
      <c r="P265" s="895">
        <v>1.3489345312118499</v>
      </c>
      <c r="Q265" s="895">
        <v>1.3524934053421001</v>
      </c>
      <c r="R265" s="895">
        <v>1.3570195436477701</v>
      </c>
      <c r="S265" s="895">
        <v>1.3626403808593801</v>
      </c>
      <c r="T265" s="895">
        <v>1.37119424343109</v>
      </c>
      <c r="U265" s="895">
        <v>1.3635557889938399</v>
      </c>
      <c r="V265" s="895">
        <v>1.3662919998168901</v>
      </c>
      <c r="W265" s="895">
        <v>1.37254309654236</v>
      </c>
      <c r="X265" s="895">
        <v>1.37609398365021</v>
      </c>
      <c r="Y265" s="895">
        <v>1.3784751892089799</v>
      </c>
      <c r="Z265" s="895">
        <v>1.3805129528045701</v>
      </c>
      <c r="AA265" s="306">
        <v>24.056577682495099</v>
      </c>
      <c r="AB265" s="306">
        <v>24.1739406585693</v>
      </c>
      <c r="AC265" s="306">
        <v>24.2586994171143</v>
      </c>
      <c r="AD265" s="306">
        <v>24.288969039916999</v>
      </c>
    </row>
    <row r="266" spans="1:70" ht="13.5" thickBot="1" x14ac:dyDescent="0.25">
      <c r="A266" s="893" t="s">
        <v>479</v>
      </c>
      <c r="B266" s="895">
        <v>18.400894165039102</v>
      </c>
      <c r="C266" s="895">
        <v>18.6226921081543</v>
      </c>
      <c r="D266" s="895">
        <v>20.334409713745099</v>
      </c>
      <c r="E266" s="895">
        <v>19.159486770629901</v>
      </c>
      <c r="F266" s="895">
        <v>16.828172683715799</v>
      </c>
      <c r="G266" s="895">
        <v>17.264308929443398</v>
      </c>
      <c r="H266" s="895">
        <v>17.156070709228501</v>
      </c>
      <c r="I266" s="895">
        <v>17.083604812622099</v>
      </c>
      <c r="J266" s="895">
        <v>17.1988334655762</v>
      </c>
      <c r="K266" s="895">
        <v>17.318143844604499</v>
      </c>
      <c r="L266" s="895">
        <v>17.615074157714801</v>
      </c>
      <c r="M266" s="895">
        <v>17.910154342651399</v>
      </c>
      <c r="N266" s="895">
        <v>18.210170745849599</v>
      </c>
      <c r="O266" s="895">
        <v>18.456880569458001</v>
      </c>
      <c r="P266" s="895">
        <v>18.803001403808601</v>
      </c>
      <c r="Q266" s="895">
        <v>19.085206985473601</v>
      </c>
      <c r="R266" s="895">
        <v>19.30615234375</v>
      </c>
      <c r="S266" s="895">
        <v>19.3043308258057</v>
      </c>
      <c r="T266" s="895">
        <v>19.3253479003906</v>
      </c>
      <c r="U266" s="895">
        <v>19.324813842773398</v>
      </c>
      <c r="V266" s="895">
        <v>19.354219436645501</v>
      </c>
      <c r="W266" s="895">
        <v>19.614883422851602</v>
      </c>
      <c r="X266" s="895">
        <v>19.97239112854</v>
      </c>
      <c r="Y266" s="895">
        <v>20.29469871521</v>
      </c>
      <c r="Z266" s="895">
        <v>20.560989379882798</v>
      </c>
      <c r="AA266" s="306">
        <v>21.3195495605469</v>
      </c>
      <c r="AB266" s="306">
        <v>21.43874168396</v>
      </c>
      <c r="AC266" s="306">
        <v>21.398374557495099</v>
      </c>
      <c r="AD266" s="306">
        <v>21.4992275238037</v>
      </c>
      <c r="AE266" s="289">
        <f>AD266+($AI$266-$AD$266)/5</f>
        <v>21.318281718011935</v>
      </c>
      <c r="AF266" s="289">
        <f>AE266+($AI$266-$AD$266)/5</f>
        <v>21.13733591222017</v>
      </c>
      <c r="AG266" s="289">
        <f>AF266+($AI$266-$AD$266)/5</f>
        <v>20.956390106428405</v>
      </c>
      <c r="AH266" s="289">
        <f>AG266+($AI$266-$AD$266)/5</f>
        <v>20.775444300636639</v>
      </c>
      <c r="AI266" s="290">
        <f>T436*$E$747</f>
        <v>20.594498494844878</v>
      </c>
      <c r="AJ266" s="289">
        <f>AI266+($AX$266-$AI$266)/15</f>
        <v>20.60819416894353</v>
      </c>
      <c r="AK266" s="289">
        <f t="shared" ref="AK266:AW266" si="11">AJ266+($AX$266-$AI$266)/15</f>
        <v>20.621889843042183</v>
      </c>
      <c r="AL266" s="289">
        <f t="shared" si="11"/>
        <v>20.635585517140836</v>
      </c>
      <c r="AM266" s="289">
        <f t="shared" si="11"/>
        <v>20.649281191239488</v>
      </c>
      <c r="AN266" s="289">
        <f t="shared" si="11"/>
        <v>20.662976865338141</v>
      </c>
      <c r="AO266" s="289">
        <f t="shared" si="11"/>
        <v>20.676672539436794</v>
      </c>
      <c r="AP266" s="289">
        <f t="shared" si="11"/>
        <v>20.690368213535447</v>
      </c>
      <c r="AQ266" s="289">
        <f t="shared" si="11"/>
        <v>20.704063887634099</v>
      </c>
      <c r="AR266" s="289">
        <f t="shared" si="11"/>
        <v>20.717759561732752</v>
      </c>
      <c r="AS266" s="289">
        <f t="shared" si="11"/>
        <v>20.731455235831405</v>
      </c>
      <c r="AT266" s="289">
        <f t="shared" si="11"/>
        <v>20.745150909930057</v>
      </c>
      <c r="AU266" s="289">
        <f t="shared" si="11"/>
        <v>20.75884658402871</v>
      </c>
      <c r="AV266" s="289">
        <f t="shared" si="11"/>
        <v>20.772542258127363</v>
      </c>
      <c r="AW266" s="289">
        <f t="shared" si="11"/>
        <v>20.786237932226015</v>
      </c>
      <c r="AX266" s="290">
        <f>AI266*$B$747</f>
        <v>20.799933606324664</v>
      </c>
      <c r="AY266" s="289">
        <f>AX266+($BM$266-$AX$266)/15</f>
        <v>20.807002050879195</v>
      </c>
      <c r="AZ266" s="289">
        <f t="shared" ref="AZ266:BL266" si="12">AY266+($BM$266-$AX$266)/15</f>
        <v>20.814070495433725</v>
      </c>
      <c r="BA266" s="289">
        <f t="shared" si="12"/>
        <v>20.821138939988256</v>
      </c>
      <c r="BB266" s="289">
        <f t="shared" si="12"/>
        <v>20.828207384542786</v>
      </c>
      <c r="BC266" s="289">
        <f t="shared" si="12"/>
        <v>20.835275829097316</v>
      </c>
      <c r="BD266" s="289">
        <f t="shared" si="12"/>
        <v>20.842344273651847</v>
      </c>
      <c r="BE266" s="289">
        <f t="shared" si="12"/>
        <v>20.849412718206377</v>
      </c>
      <c r="BF266" s="289">
        <f t="shared" si="12"/>
        <v>20.856481162760907</v>
      </c>
      <c r="BG266" s="289">
        <f t="shared" si="12"/>
        <v>20.863549607315438</v>
      </c>
      <c r="BH266" s="289">
        <f t="shared" si="12"/>
        <v>20.870618051869968</v>
      </c>
      <c r="BI266" s="289">
        <f t="shared" si="12"/>
        <v>20.877686496424499</v>
      </c>
      <c r="BJ266" s="289">
        <f t="shared" si="12"/>
        <v>20.884754940979029</v>
      </c>
      <c r="BK266" s="289">
        <f t="shared" si="12"/>
        <v>20.891823385533559</v>
      </c>
      <c r="BL266" s="289">
        <f t="shared" si="12"/>
        <v>20.89889183008809</v>
      </c>
      <c r="BM266" s="290">
        <f>AX266*$C$747</f>
        <v>20.905960274642634</v>
      </c>
      <c r="BN266" s="289">
        <f>BM266+($BR$266-$BM$266)/5</f>
        <v>20.913064750255749</v>
      </c>
      <c r="BO266" s="289">
        <f>BN266+($BR$266-$BM$266)/5</f>
        <v>20.920169225868865</v>
      </c>
      <c r="BP266" s="289">
        <f>BO266+($BR$266-$BM$266)/5</f>
        <v>20.92727370148198</v>
      </c>
      <c r="BQ266" s="289">
        <f>BP266+($BR$266-$BM$266)/5</f>
        <v>20.934378177095095</v>
      </c>
      <c r="BR266" s="290">
        <f>BM266*$D$747</f>
        <v>20.94148265270821</v>
      </c>
    </row>
    <row r="267" spans="1:70" ht="13.5" thickBot="1" x14ac:dyDescent="0.25">
      <c r="AA267" s="306">
        <v>17.292875289916999</v>
      </c>
      <c r="AB267" s="306">
        <v>17.531343460083001</v>
      </c>
      <c r="AC267" s="306">
        <v>17.526832580566399</v>
      </c>
      <c r="AD267" s="306">
        <v>17.756109237670898</v>
      </c>
      <c r="AE267" s="287">
        <f>AD267+($AI$267-$AD$267)/5</f>
        <v>18.740759573600641</v>
      </c>
      <c r="AF267" s="287">
        <f>AE267+($AI$267-$AD$267)/5</f>
        <v>19.725409909530384</v>
      </c>
      <c r="AG267" s="287">
        <f>AF267+($AI$267-$AD$267)/5</f>
        <v>20.710060245460127</v>
      </c>
      <c r="AH267" s="287">
        <f>AG267+($AI$267-$AD$267)/5</f>
        <v>21.69471058138987</v>
      </c>
      <c r="AI267" s="288">
        <f>T437*$E$744</f>
        <v>22.67936091731961</v>
      </c>
      <c r="AJ267" s="287">
        <f>AI267+($AX$267-$AI$267)/15</f>
        <v>22.91940642537169</v>
      </c>
      <c r="AK267" s="287">
        <f t="shared" ref="AK267:AW267" si="13">AJ267+($AX$267-$AI$267)/15</f>
        <v>23.159451933423771</v>
      </c>
      <c r="AL267" s="287">
        <f t="shared" si="13"/>
        <v>23.399497441475852</v>
      </c>
      <c r="AM267" s="287">
        <f t="shared" si="13"/>
        <v>23.639542949527932</v>
      </c>
      <c r="AN267" s="287">
        <f t="shared" si="13"/>
        <v>23.879588457580013</v>
      </c>
      <c r="AO267" s="287">
        <f t="shared" si="13"/>
        <v>24.119633965632094</v>
      </c>
      <c r="AP267" s="287">
        <f t="shared" si="13"/>
        <v>24.359679473684174</v>
      </c>
      <c r="AQ267" s="287">
        <f t="shared" si="13"/>
        <v>24.599724981736255</v>
      </c>
      <c r="AR267" s="287">
        <f t="shared" si="13"/>
        <v>24.839770489788336</v>
      </c>
      <c r="AS267" s="287">
        <f t="shared" si="13"/>
        <v>25.079815997840416</v>
      </c>
      <c r="AT267" s="287">
        <f t="shared" si="13"/>
        <v>25.319861505892497</v>
      </c>
      <c r="AU267" s="287">
        <f t="shared" si="13"/>
        <v>25.559907013944578</v>
      </c>
      <c r="AV267" s="287">
        <f t="shared" si="13"/>
        <v>25.799952521996659</v>
      </c>
      <c r="AW267" s="287">
        <f t="shared" si="13"/>
        <v>26.039998030048739</v>
      </c>
      <c r="AX267" s="288">
        <f>AI267*$B$744</f>
        <v>26.28004353810082</v>
      </c>
      <c r="AY267" s="287">
        <f>AX267+($BM$267-$AX$267)/15</f>
        <v>26.429681543018035</v>
      </c>
      <c r="AZ267" s="287">
        <f t="shared" ref="AZ267:BL267" si="14">AY267+($BM$267-$AX$267)/15</f>
        <v>26.579319547935249</v>
      </c>
      <c r="BA267" s="287">
        <f t="shared" si="14"/>
        <v>26.728957552852464</v>
      </c>
      <c r="BB267" s="287">
        <f t="shared" si="14"/>
        <v>26.878595557769678</v>
      </c>
      <c r="BC267" s="287">
        <f t="shared" si="14"/>
        <v>27.028233562686893</v>
      </c>
      <c r="BD267" s="287">
        <f t="shared" si="14"/>
        <v>27.177871567604107</v>
      </c>
      <c r="BE267" s="287">
        <f t="shared" si="14"/>
        <v>27.327509572521322</v>
      </c>
      <c r="BF267" s="287">
        <f t="shared" si="14"/>
        <v>27.477147577438537</v>
      </c>
      <c r="BG267" s="287">
        <f t="shared" si="14"/>
        <v>27.626785582355751</v>
      </c>
      <c r="BH267" s="287">
        <f t="shared" si="14"/>
        <v>27.776423587272966</v>
      </c>
      <c r="BI267" s="287">
        <f t="shared" si="14"/>
        <v>27.92606159219018</v>
      </c>
      <c r="BJ267" s="287">
        <f t="shared" si="14"/>
        <v>28.075699597107395</v>
      </c>
      <c r="BK267" s="287">
        <f t="shared" si="14"/>
        <v>28.225337602024609</v>
      </c>
      <c r="BL267" s="287">
        <f t="shared" si="14"/>
        <v>28.374975606941824</v>
      </c>
      <c r="BM267" s="288">
        <f>AX267*$C$744</f>
        <v>28.524613611859053</v>
      </c>
      <c r="BN267" s="287">
        <f>BM267+($BR$267-$BM$267)/5</f>
        <v>28.687032150691561</v>
      </c>
      <c r="BO267" s="287">
        <f>BN267+($BR$267-$BM$267)/5</f>
        <v>28.849450689524069</v>
      </c>
      <c r="BP267" s="287">
        <f>BO267+($BR$267-$BM$267)/5</f>
        <v>29.011869228356577</v>
      </c>
      <c r="BQ267" s="287">
        <f>BP267+($BR$267-$BM$267)/5</f>
        <v>29.174287767189085</v>
      </c>
      <c r="BR267" s="288">
        <f>BM267*$D$744</f>
        <v>29.336706306021593</v>
      </c>
    </row>
    <row r="268" spans="1:70" ht="13.5" thickBot="1" x14ac:dyDescent="0.25">
      <c r="A268" s="893" t="s">
        <v>487</v>
      </c>
      <c r="AA268" s="306">
        <v>11.227470397949199</v>
      </c>
      <c r="AB268" s="306">
        <v>11.517865180969199</v>
      </c>
      <c r="AC268" s="306">
        <v>11.5089683532715</v>
      </c>
      <c r="AD268" s="306">
        <v>11.7493782043457</v>
      </c>
    </row>
    <row r="269" spans="1:70" ht="13.5" thickBot="1" x14ac:dyDescent="0.25">
      <c r="A269" s="893" t="s">
        <v>617</v>
      </c>
      <c r="B269" s="895">
        <v>22.296371459960898</v>
      </c>
      <c r="C269" s="895">
        <v>25.0072345733643</v>
      </c>
      <c r="D269" s="895">
        <v>28.759458541870099</v>
      </c>
      <c r="E269" s="895">
        <v>21.685003280639599</v>
      </c>
      <c r="F269" s="895">
        <v>20.534326553344702</v>
      </c>
      <c r="G269" s="895">
        <v>22.796831130981399</v>
      </c>
      <c r="H269" s="895">
        <v>24.8035278320313</v>
      </c>
      <c r="I269" s="895">
        <v>26.570152282714801</v>
      </c>
      <c r="J269" s="895">
        <v>28.076972961425799</v>
      </c>
      <c r="K269" s="895">
        <v>29.693559646606399</v>
      </c>
      <c r="L269" s="895">
        <v>30.7330017089844</v>
      </c>
      <c r="M269" s="895">
        <v>31.595745086669901</v>
      </c>
      <c r="N269" s="895">
        <v>32.463813781738303</v>
      </c>
      <c r="O269" s="895">
        <v>32.853603363037102</v>
      </c>
      <c r="P269" s="895">
        <v>33.095050811767599</v>
      </c>
      <c r="Q269" s="895">
        <v>33.3141899108887</v>
      </c>
      <c r="R269" s="895">
        <v>33.425758361816399</v>
      </c>
      <c r="S269" s="895">
        <v>33.752655029296903</v>
      </c>
      <c r="T269" s="895">
        <v>33.878787994384801</v>
      </c>
      <c r="U269" s="895">
        <v>33.426109313964801</v>
      </c>
      <c r="V269" s="895">
        <v>33.692680358886697</v>
      </c>
      <c r="W269" s="895">
        <v>33.960933685302699</v>
      </c>
      <c r="X269" s="895">
        <v>34.291332244872997</v>
      </c>
      <c r="Y269" s="895">
        <v>34.467491149902301</v>
      </c>
      <c r="Z269" s="895">
        <v>34.819602966308601</v>
      </c>
      <c r="AA269" s="306">
        <v>16.025825500488299</v>
      </c>
      <c r="AB269" s="306">
        <v>16.333782196044901</v>
      </c>
      <c r="AC269" s="306">
        <v>16.2625331878662</v>
      </c>
      <c r="AD269" s="306">
        <v>16.470952987670898</v>
      </c>
      <c r="AE269" s="287">
        <f>AD269+($AI$269-$AD$269)/5</f>
        <v>17.380928094850553</v>
      </c>
      <c r="AF269" s="287">
        <f>AE269+($AI$269-$AD$269)/5</f>
        <v>18.290903202030208</v>
      </c>
      <c r="AG269" s="287">
        <f>AF269+($AI$269-$AD$269)/5</f>
        <v>19.200878309209862</v>
      </c>
      <c r="AH269" s="287">
        <f>AG269+($AI$269-$AD$269)/5</f>
        <v>20.110853416389517</v>
      </c>
      <c r="AI269" s="288">
        <f>T439*$E$744</f>
        <v>21.020828523569172</v>
      </c>
      <c r="AJ269" s="287">
        <f>AI269+($AX$269-$AI$269)/15</f>
        <v>21.243319601735415</v>
      </c>
      <c r="AK269" s="287">
        <f t="shared" ref="AK269:AW269" si="15">AJ269+($AX$269-$AI$269)/15</f>
        <v>21.465810679901658</v>
      </c>
      <c r="AL269" s="287">
        <f t="shared" si="15"/>
        <v>21.688301758067901</v>
      </c>
      <c r="AM269" s="287">
        <f t="shared" si="15"/>
        <v>21.910792836234144</v>
      </c>
      <c r="AN269" s="287">
        <f t="shared" si="15"/>
        <v>22.133283914400387</v>
      </c>
      <c r="AO269" s="287">
        <f t="shared" si="15"/>
        <v>22.35577499256663</v>
      </c>
      <c r="AP269" s="287">
        <f t="shared" si="15"/>
        <v>22.578266070732873</v>
      </c>
      <c r="AQ269" s="287">
        <f t="shared" si="15"/>
        <v>22.800757148899116</v>
      </c>
      <c r="AR269" s="287">
        <f t="shared" si="15"/>
        <v>23.023248227065359</v>
      </c>
      <c r="AS269" s="287">
        <f t="shared" si="15"/>
        <v>23.245739305231602</v>
      </c>
      <c r="AT269" s="287">
        <f t="shared" si="15"/>
        <v>23.468230383397845</v>
      </c>
      <c r="AU269" s="287">
        <f t="shared" si="15"/>
        <v>23.690721461564088</v>
      </c>
      <c r="AV269" s="287">
        <f t="shared" si="15"/>
        <v>23.913212539730331</v>
      </c>
      <c r="AW269" s="287">
        <f t="shared" si="15"/>
        <v>24.135703617896574</v>
      </c>
      <c r="AX269" s="288">
        <f>AI269*$B$744</f>
        <v>24.358194696062842</v>
      </c>
      <c r="AY269" s="287">
        <f>AX269+($BM$269-$AX$269)/15</f>
        <v>24.496889734844629</v>
      </c>
      <c r="AZ269" s="287">
        <f t="shared" ref="AZ269:BL269" si="16">AY269+($BM$269-$AX$269)/15</f>
        <v>24.635584773626416</v>
      </c>
      <c r="BA269" s="287">
        <f t="shared" si="16"/>
        <v>24.774279812408203</v>
      </c>
      <c r="BB269" s="287">
        <f t="shared" si="16"/>
        <v>24.91297485118999</v>
      </c>
      <c r="BC269" s="287">
        <f t="shared" si="16"/>
        <v>25.051669889971777</v>
      </c>
      <c r="BD269" s="287">
        <f t="shared" si="16"/>
        <v>25.190364928753564</v>
      </c>
      <c r="BE269" s="287">
        <f t="shared" si="16"/>
        <v>25.32905996753535</v>
      </c>
      <c r="BF269" s="287">
        <f t="shared" si="16"/>
        <v>25.467755006317137</v>
      </c>
      <c r="BG269" s="287">
        <f t="shared" si="16"/>
        <v>25.606450045098924</v>
      </c>
      <c r="BH269" s="287">
        <f t="shared" si="16"/>
        <v>25.745145083880711</v>
      </c>
      <c r="BI269" s="287">
        <f t="shared" si="16"/>
        <v>25.883840122662498</v>
      </c>
      <c r="BJ269" s="287">
        <f t="shared" si="16"/>
        <v>26.022535161444285</v>
      </c>
      <c r="BK269" s="287">
        <f t="shared" si="16"/>
        <v>26.161230200226072</v>
      </c>
      <c r="BL269" s="287">
        <f t="shared" si="16"/>
        <v>26.299925239007859</v>
      </c>
      <c r="BM269" s="288">
        <f>AX269*$C$744</f>
        <v>26.438620277789649</v>
      </c>
      <c r="BN269" s="287">
        <f>BM269+($BR$269-$BM$269)/5</f>
        <v>26.589161215265516</v>
      </c>
      <c r="BO269" s="287">
        <f>BN269+($BR$269-$BM$269)/5</f>
        <v>26.739702152741383</v>
      </c>
      <c r="BP269" s="287">
        <f>BO269+($BR$269-$BM$269)/5</f>
        <v>26.89024309021725</v>
      </c>
      <c r="BQ269" s="287">
        <f>BP269+($BR$269-$BM$269)/5</f>
        <v>27.040784027693118</v>
      </c>
      <c r="BR269" s="288">
        <f>BM269*$D$744</f>
        <v>27.191324965168981</v>
      </c>
    </row>
    <row r="270" spans="1:70" x14ac:dyDescent="0.2">
      <c r="A270" s="893" t="s">
        <v>618</v>
      </c>
      <c r="B270" s="895">
        <v>25.5142211914063</v>
      </c>
      <c r="C270" s="895">
        <v>26.818180084228501</v>
      </c>
      <c r="D270" s="895">
        <v>34.073703765869098</v>
      </c>
      <c r="E270" s="895">
        <v>20.3962516784668</v>
      </c>
      <c r="F270" s="895">
        <v>18.869060516357401</v>
      </c>
      <c r="G270" s="895">
        <v>22.499189376831101</v>
      </c>
      <c r="H270" s="895">
        <v>24.345371246337901</v>
      </c>
      <c r="I270" s="895">
        <v>25.8835773468018</v>
      </c>
      <c r="J270" s="895">
        <v>27.376197814941399</v>
      </c>
      <c r="K270" s="895">
        <v>25.5507621765137</v>
      </c>
      <c r="L270" s="895">
        <v>26.3307495117188</v>
      </c>
      <c r="M270" s="895">
        <v>27.042121887206999</v>
      </c>
      <c r="N270" s="895">
        <v>27.074653625488299</v>
      </c>
      <c r="O270" s="895">
        <v>28.861484527587901</v>
      </c>
      <c r="P270" s="895">
        <v>29.593324661254901</v>
      </c>
      <c r="Q270" s="895">
        <v>29.691083908081101</v>
      </c>
      <c r="R270" s="895">
        <v>29.8394565582275</v>
      </c>
      <c r="S270" s="895">
        <v>30.056737899780298</v>
      </c>
      <c r="T270" s="895">
        <v>30.123649597168001</v>
      </c>
      <c r="U270" s="895">
        <v>30.045396804809599</v>
      </c>
      <c r="V270" s="895">
        <v>30.335887908935501</v>
      </c>
      <c r="W270" s="895">
        <v>30.1821899414063</v>
      </c>
      <c r="X270" s="895">
        <v>30.567377090454102</v>
      </c>
      <c r="Y270" s="895">
        <v>31.227724075317401</v>
      </c>
      <c r="Z270" s="895">
        <v>30.935503005981399</v>
      </c>
      <c r="AA270" s="306">
        <v>8.1832656860351598</v>
      </c>
      <c r="AB270" s="306">
        <v>8.1197490692138707</v>
      </c>
      <c r="AC270" s="306">
        <v>8.3803300857543892</v>
      </c>
      <c r="AD270" s="306">
        <v>8.2735004425048793</v>
      </c>
    </row>
    <row r="271" spans="1:70" x14ac:dyDescent="0.2">
      <c r="A271" s="893" t="s">
        <v>619</v>
      </c>
      <c r="B271" s="895">
        <v>21.784559249877901</v>
      </c>
      <c r="C271" s="895">
        <v>22.982162475585898</v>
      </c>
      <c r="D271" s="895">
        <v>26.1744689941406</v>
      </c>
      <c r="E271" s="895">
        <v>15.6736001968384</v>
      </c>
      <c r="F271" s="895">
        <v>17.7131462097168</v>
      </c>
      <c r="G271" s="895">
        <v>20.6617527008057</v>
      </c>
      <c r="H271" s="895">
        <v>22.301433563232401</v>
      </c>
      <c r="I271" s="895">
        <v>23.517950057983398</v>
      </c>
      <c r="J271" s="895">
        <v>24.816135406494102</v>
      </c>
      <c r="K271" s="895">
        <v>26.137458801269499</v>
      </c>
      <c r="L271" s="895">
        <v>27.061580657958999</v>
      </c>
      <c r="M271" s="895">
        <v>27.993299484252901</v>
      </c>
      <c r="N271" s="895">
        <v>28.802474975585898</v>
      </c>
      <c r="O271" s="895">
        <v>29.411088943481399</v>
      </c>
      <c r="P271" s="895">
        <v>29.938217163085898</v>
      </c>
      <c r="Q271" s="895">
        <v>30.057752609252901</v>
      </c>
      <c r="R271" s="895">
        <v>30.3159790039063</v>
      </c>
      <c r="S271" s="895">
        <v>30.494945526123001</v>
      </c>
      <c r="T271" s="895">
        <v>30.528341293335</v>
      </c>
      <c r="U271" s="895">
        <v>30.4458103179932</v>
      </c>
      <c r="V271" s="895">
        <v>30.726751327514599</v>
      </c>
      <c r="W271" s="895">
        <v>30.704950332641602</v>
      </c>
      <c r="X271" s="895">
        <v>31.110511779785199</v>
      </c>
      <c r="Y271" s="895">
        <v>31.9617519378662</v>
      </c>
      <c r="Z271" s="895">
        <v>31.583656311035199</v>
      </c>
      <c r="AA271" s="306">
        <v>13.240598678588899</v>
      </c>
      <c r="AB271" s="306">
        <v>13.359972000122101</v>
      </c>
      <c r="AC271" s="306">
        <v>13.395259857177701</v>
      </c>
      <c r="AD271" s="306">
        <v>13.453570365905801</v>
      </c>
    </row>
    <row r="272" spans="1:70" x14ac:dyDescent="0.2">
      <c r="A272" s="893" t="s">
        <v>620</v>
      </c>
      <c r="B272" s="895">
        <v>15.2446508407593</v>
      </c>
      <c r="C272" s="895">
        <v>16.0964660644531</v>
      </c>
      <c r="D272" s="895">
        <v>22.1856594085693</v>
      </c>
      <c r="E272" s="895">
        <v>10.540905952453601</v>
      </c>
      <c r="F272" s="895">
        <v>10.4131317138672</v>
      </c>
      <c r="G272" s="895">
        <v>12.992267608642599</v>
      </c>
      <c r="H272" s="895">
        <v>14.8510446548462</v>
      </c>
      <c r="I272" s="895">
        <v>16.4927158355713</v>
      </c>
      <c r="J272" s="895">
        <v>17.888269424438501</v>
      </c>
      <c r="K272" s="895">
        <v>19.120731353759801</v>
      </c>
      <c r="L272" s="895">
        <v>20.025011062622099</v>
      </c>
      <c r="M272" s="895">
        <v>20.925888061523398</v>
      </c>
      <c r="N272" s="895">
        <v>21.650459289550799</v>
      </c>
      <c r="O272" s="895">
        <v>22.054113388061499</v>
      </c>
      <c r="P272" s="895">
        <v>22.358533859252901</v>
      </c>
      <c r="Q272" s="895">
        <v>22.535087585449201</v>
      </c>
      <c r="R272" s="895">
        <v>22.624557495117202</v>
      </c>
      <c r="S272" s="895">
        <v>22.875423431396499</v>
      </c>
      <c r="T272" s="895">
        <v>23.088819503784201</v>
      </c>
      <c r="U272" s="895">
        <v>22.878332138061499</v>
      </c>
      <c r="V272" s="895">
        <v>23.229129791259801</v>
      </c>
      <c r="W272" s="895">
        <v>23.440977096557599</v>
      </c>
      <c r="X272" s="895">
        <v>23.911849975585898</v>
      </c>
      <c r="Y272" s="895">
        <v>24.3618278503418</v>
      </c>
      <c r="Z272" s="895">
        <v>24.669164657592798</v>
      </c>
      <c r="AA272" s="306">
        <v>24.345100402831999</v>
      </c>
      <c r="AB272" s="306">
        <v>24.401657104492202</v>
      </c>
      <c r="AC272" s="306">
        <v>24.482112884521499</v>
      </c>
      <c r="AD272" s="306">
        <v>24.4609375</v>
      </c>
    </row>
    <row r="273" spans="1:70" x14ac:dyDescent="0.2">
      <c r="A273" s="893" t="s">
        <v>724</v>
      </c>
      <c r="B273" s="895">
        <v>20.2724208831787</v>
      </c>
      <c r="C273" s="895">
        <v>20.921422958373999</v>
      </c>
      <c r="D273" s="895">
        <v>27.066003799438501</v>
      </c>
      <c r="E273" s="895">
        <v>15.379162788391101</v>
      </c>
      <c r="F273" s="895">
        <v>14.6322994232178</v>
      </c>
      <c r="G273" s="895">
        <v>17.082887649536101</v>
      </c>
      <c r="H273" s="895">
        <v>18.906814575195298</v>
      </c>
      <c r="I273" s="895">
        <v>21.012025833129901</v>
      </c>
      <c r="J273" s="895">
        <v>22.391767501831101</v>
      </c>
      <c r="K273" s="895">
        <v>23.401908874511701</v>
      </c>
      <c r="L273" s="895">
        <v>24.249780654907202</v>
      </c>
      <c r="M273" s="895">
        <v>25.151100158691399</v>
      </c>
      <c r="N273" s="895">
        <v>25.830009460449201</v>
      </c>
      <c r="O273" s="895">
        <v>26.267305374145501</v>
      </c>
      <c r="P273" s="895">
        <v>26.5901203155518</v>
      </c>
      <c r="Q273" s="895">
        <v>26.487575531005898</v>
      </c>
      <c r="R273" s="895">
        <v>26.7318305969238</v>
      </c>
      <c r="S273" s="895">
        <v>26.979133605956999</v>
      </c>
      <c r="T273" s="895">
        <v>27.001283645629901</v>
      </c>
      <c r="U273" s="895">
        <v>26.997362136840799</v>
      </c>
      <c r="V273" s="895">
        <v>27.317785263061499</v>
      </c>
      <c r="W273" s="895">
        <v>27.182266235351602</v>
      </c>
      <c r="X273" s="895">
        <v>27.638069152831999</v>
      </c>
      <c r="Y273" s="895">
        <v>28.388862609863299</v>
      </c>
      <c r="Z273" s="895">
        <v>28.337171554565401</v>
      </c>
      <c r="AA273" s="306"/>
      <c r="AB273" s="306"/>
      <c r="AC273" s="306"/>
      <c r="AD273" s="306"/>
    </row>
    <row r="274" spans="1:70" x14ac:dyDescent="0.2">
      <c r="A274" s="893" t="s">
        <v>611</v>
      </c>
      <c r="B274" s="895">
        <v>8.20648097991943</v>
      </c>
      <c r="C274" s="895">
        <v>9.4357099533081108</v>
      </c>
      <c r="D274" s="895">
        <v>14.2847747802734</v>
      </c>
      <c r="E274" s="895">
        <v>6.3925981521606401</v>
      </c>
      <c r="F274" s="895">
        <v>6.5852246284484899</v>
      </c>
      <c r="G274" s="895">
        <v>8.6673641204834002</v>
      </c>
      <c r="H274" s="895">
        <v>10.3328533172607</v>
      </c>
      <c r="I274" s="895">
        <v>11.815202713012701</v>
      </c>
      <c r="J274" s="895">
        <v>13.023598670959499</v>
      </c>
      <c r="K274" s="895">
        <v>14.4141092300415</v>
      </c>
      <c r="L274" s="895">
        <v>15.219378471374499</v>
      </c>
      <c r="M274" s="895">
        <v>15.915946006774901</v>
      </c>
      <c r="N274" s="895">
        <v>16.592523574829102</v>
      </c>
      <c r="O274" s="895">
        <v>16.9536838531494</v>
      </c>
      <c r="P274" s="895">
        <v>17.162534713745099</v>
      </c>
      <c r="Q274" s="895">
        <v>17.429744720458999</v>
      </c>
      <c r="R274" s="895">
        <v>17.456914901733398</v>
      </c>
      <c r="S274" s="895">
        <v>17.5628662109375</v>
      </c>
      <c r="T274" s="895">
        <v>17.630765914916999</v>
      </c>
      <c r="U274" s="895">
        <v>17.410764694213899</v>
      </c>
      <c r="V274" s="895">
        <v>17.6028347015381</v>
      </c>
      <c r="W274" s="895">
        <v>17.926630020141602</v>
      </c>
      <c r="X274" s="895">
        <v>18.257143020629901</v>
      </c>
      <c r="Y274" s="895">
        <v>18.451654434204102</v>
      </c>
      <c r="Z274" s="895">
        <v>18.835027694702099</v>
      </c>
      <c r="AA274" s="306">
        <v>10.4858131408691</v>
      </c>
      <c r="AB274" s="306">
        <v>10.572740554809601</v>
      </c>
      <c r="AC274" s="306">
        <v>10.740042686462401</v>
      </c>
      <c r="AD274" s="306">
        <v>10.786236763000501</v>
      </c>
    </row>
    <row r="275" spans="1:70" ht="13.5" thickBot="1" x14ac:dyDescent="0.25">
      <c r="A275" s="893" t="s">
        <v>622</v>
      </c>
      <c r="B275" s="895">
        <v>15.5415086746216</v>
      </c>
      <c r="C275" s="895">
        <v>15.4958410263062</v>
      </c>
      <c r="D275" s="895">
        <v>16.8896675109863</v>
      </c>
      <c r="E275" s="895">
        <v>12.7877197265625</v>
      </c>
      <c r="F275" s="895">
        <v>13.502610206604</v>
      </c>
      <c r="G275" s="895">
        <v>13.8291311264038</v>
      </c>
      <c r="H275" s="895">
        <v>13.8390712738037</v>
      </c>
      <c r="I275" s="895">
        <v>13.843875885009799</v>
      </c>
      <c r="J275" s="895">
        <v>13.934069633483899</v>
      </c>
      <c r="K275" s="895">
        <v>14.0993509292603</v>
      </c>
      <c r="L275" s="895">
        <v>14.229956626892101</v>
      </c>
      <c r="M275" s="895">
        <v>14.3684740066528</v>
      </c>
      <c r="N275" s="895">
        <v>14.5119123458862</v>
      </c>
      <c r="O275" s="895">
        <v>14.701403617858899</v>
      </c>
      <c r="P275" s="895">
        <v>14.9462375640869</v>
      </c>
      <c r="Q275" s="895">
        <v>15.0934410095215</v>
      </c>
      <c r="R275" s="895">
        <v>15.092455863952599</v>
      </c>
      <c r="S275" s="895">
        <v>14.8220539093018</v>
      </c>
      <c r="T275" s="895">
        <v>14.7596139907837</v>
      </c>
      <c r="U275" s="895">
        <v>14.661186218261699</v>
      </c>
      <c r="V275" s="895">
        <v>14.786495208740201</v>
      </c>
      <c r="W275" s="895">
        <v>15.012266159057599</v>
      </c>
      <c r="X275" s="895">
        <v>15.2852840423584</v>
      </c>
      <c r="Y275" s="895">
        <v>15.4684591293335</v>
      </c>
      <c r="Z275" s="895">
        <v>15.6974124908447</v>
      </c>
      <c r="AA275" s="306">
        <v>6.7344188690185502</v>
      </c>
      <c r="AB275" s="306">
        <v>6.7479009628295898</v>
      </c>
      <c r="AC275" s="306">
        <v>6.8497943878173801</v>
      </c>
      <c r="AD275" s="306">
        <v>6.84698486328125</v>
      </c>
    </row>
    <row r="276" spans="1:70" ht="13.5" thickBot="1" x14ac:dyDescent="0.25">
      <c r="A276" s="893" t="s">
        <v>479</v>
      </c>
      <c r="B276" s="895">
        <v>30.349004745483398</v>
      </c>
      <c r="C276" s="895">
        <v>30.777971267700199</v>
      </c>
      <c r="D276" s="895">
        <v>33.734138488769503</v>
      </c>
      <c r="E276" s="895">
        <v>31.501590728759801</v>
      </c>
      <c r="F276" s="895">
        <v>27.327030181884801</v>
      </c>
      <c r="G276" s="895">
        <v>28.561843872070298</v>
      </c>
      <c r="H276" s="895">
        <v>28.965305328369102</v>
      </c>
      <c r="I276" s="895">
        <v>28.9159030914307</v>
      </c>
      <c r="J276" s="895">
        <v>28.7644939422607</v>
      </c>
      <c r="K276" s="895">
        <v>28.526710510253899</v>
      </c>
      <c r="L276" s="895">
        <v>28.644361495971701</v>
      </c>
      <c r="M276" s="895">
        <v>28.6527919769287</v>
      </c>
      <c r="N276" s="895">
        <v>28.819505691528299</v>
      </c>
      <c r="O276" s="895">
        <v>28.888120651245099</v>
      </c>
      <c r="P276" s="895">
        <v>29.142557144165</v>
      </c>
      <c r="Q276" s="895">
        <v>29.470201492309599</v>
      </c>
      <c r="R276" s="895">
        <v>29.764074325561499</v>
      </c>
      <c r="S276" s="895">
        <v>29.801677703857401</v>
      </c>
      <c r="T276" s="895">
        <v>29.921939849853501</v>
      </c>
      <c r="U276" s="895">
        <v>30.035243988037099</v>
      </c>
      <c r="V276" s="895">
        <v>30.304817199706999</v>
      </c>
      <c r="W276" s="895">
        <v>30.8045558929443</v>
      </c>
      <c r="X276" s="895">
        <v>31.450147628784201</v>
      </c>
      <c r="Y276" s="895">
        <v>31.910936355590799</v>
      </c>
      <c r="Z276" s="895">
        <v>32.484222412109403</v>
      </c>
      <c r="AA276" s="306">
        <v>6.1479806900024396</v>
      </c>
      <c r="AB276" s="306">
        <v>6.2516684532165501</v>
      </c>
      <c r="AC276" s="306">
        <v>6.3134694099426296</v>
      </c>
      <c r="AD276" s="306">
        <v>6.3304243087768599</v>
      </c>
      <c r="AE276" s="283">
        <f>AD276+($AI$276-$AD$276)/5</f>
        <v>6.3370805697154289</v>
      </c>
      <c r="AF276" s="283">
        <f>AE276+($AI$276-$AD$276)/5</f>
        <v>6.3437368306539978</v>
      </c>
      <c r="AG276" s="283">
        <f>AF276+($AI$276-$AD$276)/5</f>
        <v>6.3503930915925668</v>
      </c>
      <c r="AH276" s="283">
        <f>AG276+($AI$276-$AD$276)/5</f>
        <v>6.3570493525311358</v>
      </c>
      <c r="AI276" s="284">
        <f>T446*$E$742</f>
        <v>6.363705613469703</v>
      </c>
      <c r="AJ276" s="283">
        <f>AI276+($AX$276-$AI$276)/15</f>
        <v>6.4357380850865695</v>
      </c>
      <c r="AK276" s="283">
        <f t="shared" ref="AK276:AW276" si="17">AJ276+($AX$276-$AI$276)/15</f>
        <v>6.5077705567034361</v>
      </c>
      <c r="AL276" s="283">
        <f t="shared" si="17"/>
        <v>6.5798030283203026</v>
      </c>
      <c r="AM276" s="283">
        <f t="shared" si="17"/>
        <v>6.6518354999371692</v>
      </c>
      <c r="AN276" s="283">
        <f t="shared" si="17"/>
        <v>6.7238679715540357</v>
      </c>
      <c r="AO276" s="283">
        <f t="shared" si="17"/>
        <v>6.7959004431709022</v>
      </c>
      <c r="AP276" s="283">
        <f t="shared" si="17"/>
        <v>6.8679329147877688</v>
      </c>
      <c r="AQ276" s="283">
        <f t="shared" si="17"/>
        <v>6.9399653864046353</v>
      </c>
      <c r="AR276" s="283">
        <f t="shared" si="17"/>
        <v>7.0119978580215019</v>
      </c>
      <c r="AS276" s="283">
        <f t="shared" si="17"/>
        <v>7.0840303296383684</v>
      </c>
      <c r="AT276" s="283">
        <f t="shared" si="17"/>
        <v>7.156062801255235</v>
      </c>
      <c r="AU276" s="283">
        <f t="shared" si="17"/>
        <v>7.2280952728721015</v>
      </c>
      <c r="AV276" s="283">
        <f t="shared" si="17"/>
        <v>7.3001277444889681</v>
      </c>
      <c r="AW276" s="283">
        <f t="shared" si="17"/>
        <v>7.3721602161058346</v>
      </c>
      <c r="AX276" s="284">
        <f>AI276*$B$742</f>
        <v>7.4441926877227056</v>
      </c>
      <c r="AY276" s="283">
        <f>AX276+($BM$276-$AX$276)/15</f>
        <v>7.51790324705948</v>
      </c>
      <c r="AZ276" s="283">
        <f t="shared" ref="AZ276:BL276" si="18">AY276+($BM$276-$AX$276)/15</f>
        <v>7.5916138063962544</v>
      </c>
      <c r="BA276" s="283">
        <f t="shared" si="18"/>
        <v>7.6653243657330288</v>
      </c>
      <c r="BB276" s="283">
        <f t="shared" si="18"/>
        <v>7.7390349250698032</v>
      </c>
      <c r="BC276" s="283">
        <f t="shared" si="18"/>
        <v>7.8127454844065776</v>
      </c>
      <c r="BD276" s="283">
        <f t="shared" si="18"/>
        <v>7.886456043743352</v>
      </c>
      <c r="BE276" s="283">
        <f t="shared" si="18"/>
        <v>7.9601666030801264</v>
      </c>
      <c r="BF276" s="283">
        <f t="shared" si="18"/>
        <v>8.0338771624169016</v>
      </c>
      <c r="BG276" s="283">
        <f t="shared" si="18"/>
        <v>8.107587721753676</v>
      </c>
      <c r="BH276" s="283">
        <f t="shared" si="18"/>
        <v>8.1812982810904504</v>
      </c>
      <c r="BI276" s="283">
        <f t="shared" si="18"/>
        <v>8.2550088404272248</v>
      </c>
      <c r="BJ276" s="283">
        <f t="shared" si="18"/>
        <v>8.3287193997639992</v>
      </c>
      <c r="BK276" s="283">
        <f t="shared" si="18"/>
        <v>8.4024299591007736</v>
      </c>
      <c r="BL276" s="283">
        <f t="shared" si="18"/>
        <v>8.476140518437548</v>
      </c>
      <c r="BM276" s="284">
        <f>AX276*$C$742</f>
        <v>8.5498510777743242</v>
      </c>
      <c r="BN276" s="283">
        <f>BM276+($BR$276-$BM$276)/5</f>
        <v>8.6345095936975138</v>
      </c>
      <c r="BO276" s="283">
        <f>BN276+($BR$276-$BM$276)/5</f>
        <v>8.7191681096207034</v>
      </c>
      <c r="BP276" s="283">
        <f>BO276+($BR$276-$BM$276)/5</f>
        <v>8.8038266255438931</v>
      </c>
      <c r="BQ276" s="283">
        <f>BP276+($BR$276-$BM$276)/5</f>
        <v>8.8884851414670827</v>
      </c>
      <c r="BR276" s="284">
        <f>BM276*$D$742</f>
        <v>8.9731436573902759</v>
      </c>
    </row>
    <row r="277" spans="1:70" ht="13.5" thickBot="1" x14ac:dyDescent="0.25">
      <c r="AA277" s="306">
        <v>1.65011918544769</v>
      </c>
      <c r="AB277" s="306">
        <v>1.6656291484832799</v>
      </c>
      <c r="AC277" s="306">
        <v>1.67491066455841</v>
      </c>
      <c r="AD277" s="306">
        <v>1.68971908092499</v>
      </c>
      <c r="AE277" s="291">
        <f>AD277+($AI$277-$AD$277)/5</f>
        <v>1.6902380098146863</v>
      </c>
      <c r="AF277" s="291">
        <f>AE277+($AI$277-$AD$277)/5</f>
        <v>1.6907569387043826</v>
      </c>
      <c r="AG277" s="291">
        <f>AF277+($AI$277-$AD$277)/5</f>
        <v>1.6912758675940789</v>
      </c>
      <c r="AH277" s="291">
        <f>AG277+($AI$277-$AD$277)/5</f>
        <v>1.6917947964837752</v>
      </c>
      <c r="AI277" s="292">
        <f>T447*$E$740</f>
        <v>1.692313725373471</v>
      </c>
      <c r="AJ277" s="291">
        <f>AI277+($AX$277-$AI$277)/15</f>
        <v>1.6972753042285647</v>
      </c>
      <c r="AK277" s="291">
        <f t="shared" ref="AK277:AW277" si="19">AJ277+($AX$277-$AI$277)/15</f>
        <v>1.7022368830836583</v>
      </c>
      <c r="AL277" s="291">
        <f t="shared" si="19"/>
        <v>1.7071984619387519</v>
      </c>
      <c r="AM277" s="291">
        <f t="shared" si="19"/>
        <v>1.7121600407938455</v>
      </c>
      <c r="AN277" s="291">
        <f t="shared" si="19"/>
        <v>1.7171216196489392</v>
      </c>
      <c r="AO277" s="291">
        <f t="shared" si="19"/>
        <v>1.7220831985040328</v>
      </c>
      <c r="AP277" s="291">
        <f t="shared" si="19"/>
        <v>1.7270447773591264</v>
      </c>
      <c r="AQ277" s="291">
        <f t="shared" si="19"/>
        <v>1.7320063562142201</v>
      </c>
      <c r="AR277" s="291">
        <f t="shared" si="19"/>
        <v>1.7369679350693137</v>
      </c>
      <c r="AS277" s="291">
        <f t="shared" si="19"/>
        <v>1.7419295139244073</v>
      </c>
      <c r="AT277" s="291">
        <f t="shared" si="19"/>
        <v>1.7468910927795009</v>
      </c>
      <c r="AU277" s="291">
        <f t="shared" si="19"/>
        <v>1.7518526716345946</v>
      </c>
      <c r="AV277" s="291">
        <f t="shared" si="19"/>
        <v>1.7568142504896882</v>
      </c>
      <c r="AW277" s="291">
        <f t="shared" si="19"/>
        <v>1.7617758293447818</v>
      </c>
      <c r="AX277" s="292">
        <f>AI277*$B$740</f>
        <v>1.7667374081998766</v>
      </c>
      <c r="AY277" s="291">
        <f>AX277+($BM$277-$AX$277)/15</f>
        <v>1.7700881577207939</v>
      </c>
      <c r="AZ277" s="291">
        <f t="shared" ref="AZ277:BL277" si="20">AY277+($BM$277-$AX$277)/15</f>
        <v>1.7734389072417112</v>
      </c>
      <c r="BA277" s="291">
        <f t="shared" si="20"/>
        <v>1.7767896567626285</v>
      </c>
      <c r="BB277" s="291">
        <f t="shared" si="20"/>
        <v>1.7801404062835458</v>
      </c>
      <c r="BC277" s="291">
        <f t="shared" si="20"/>
        <v>1.783491155804463</v>
      </c>
      <c r="BD277" s="291">
        <f t="shared" si="20"/>
        <v>1.7868419053253803</v>
      </c>
      <c r="BE277" s="291">
        <f t="shared" si="20"/>
        <v>1.7901926548462976</v>
      </c>
      <c r="BF277" s="291">
        <f t="shared" si="20"/>
        <v>1.7935434043672149</v>
      </c>
      <c r="BG277" s="291">
        <f t="shared" si="20"/>
        <v>1.7968941538881322</v>
      </c>
      <c r="BH277" s="291">
        <f t="shared" si="20"/>
        <v>1.8002449034090495</v>
      </c>
      <c r="BI277" s="291">
        <f t="shared" si="20"/>
        <v>1.8035956529299668</v>
      </c>
      <c r="BJ277" s="291">
        <f t="shared" si="20"/>
        <v>1.8069464024508841</v>
      </c>
      <c r="BK277" s="291">
        <f t="shared" si="20"/>
        <v>1.8102971519718014</v>
      </c>
      <c r="BL277" s="291">
        <f t="shared" si="20"/>
        <v>1.8136479014927187</v>
      </c>
      <c r="BM277" s="292">
        <f>AX277*$C$740</f>
        <v>1.8169986510136373</v>
      </c>
      <c r="BN277" s="291">
        <f>BM277+($BR$277-$BM$277)/5</f>
        <v>1.8204447247375162</v>
      </c>
      <c r="BO277" s="291">
        <f>BN277+($BR$277-$BM$277)/5</f>
        <v>1.823890798461395</v>
      </c>
      <c r="BP277" s="291">
        <f>BO277+($BR$277-$BM$277)/5</f>
        <v>1.8273368721852739</v>
      </c>
      <c r="BQ277" s="291">
        <f>BP277+($BR$277-$BM$277)/5</f>
        <v>1.8307829459091527</v>
      </c>
      <c r="BR277" s="292">
        <f>BM277*$D$740</f>
        <v>1.8342290196330318</v>
      </c>
    </row>
    <row r="278" spans="1:70" x14ac:dyDescent="0.2">
      <c r="A278" s="893" t="s">
        <v>623</v>
      </c>
      <c r="AA278" s="306"/>
      <c r="AB278" s="306"/>
      <c r="AC278" s="306"/>
      <c r="AD278" s="306"/>
    </row>
    <row r="279" spans="1:70" x14ac:dyDescent="0.2">
      <c r="A279" s="893" t="s">
        <v>610</v>
      </c>
      <c r="B279" s="895">
        <v>13.773189544677701</v>
      </c>
      <c r="C279" s="895">
        <v>14.7725219726563</v>
      </c>
      <c r="D279" s="895">
        <v>19.176651000976602</v>
      </c>
      <c r="E279" s="895">
        <v>12.4995737075806</v>
      </c>
      <c r="F279" s="895">
        <v>9.7914295196533203</v>
      </c>
      <c r="G279" s="895">
        <v>12.0805196762085</v>
      </c>
      <c r="H279" s="895">
        <v>13.8671321868896</v>
      </c>
      <c r="I279" s="895">
        <v>15.216549873352101</v>
      </c>
      <c r="J279" s="895">
        <v>16.469785690307599</v>
      </c>
      <c r="K279" s="895">
        <v>17.9636936187744</v>
      </c>
      <c r="L279" s="895">
        <v>18.832237243652301</v>
      </c>
      <c r="M279" s="895">
        <v>19.641151428222699</v>
      </c>
      <c r="N279" s="895">
        <v>20.348432540893601</v>
      </c>
      <c r="O279" s="895">
        <v>20.710233688354499</v>
      </c>
      <c r="P279" s="895">
        <v>20.980741500854499</v>
      </c>
      <c r="Q279" s="895">
        <v>21.161005020141602</v>
      </c>
      <c r="R279" s="895">
        <v>21.2950553894043</v>
      </c>
      <c r="S279" s="895">
        <v>21.596014022827099</v>
      </c>
      <c r="T279" s="895">
        <v>21.884708404541001</v>
      </c>
      <c r="U279" s="895">
        <v>21.582948684692401</v>
      </c>
      <c r="V279" s="895">
        <v>21.8727416992188</v>
      </c>
      <c r="W279" s="895">
        <v>22.200710296630898</v>
      </c>
      <c r="X279" s="895">
        <v>22.548530578613299</v>
      </c>
      <c r="Y279" s="895">
        <v>22.812198638916001</v>
      </c>
      <c r="Z279" s="895">
        <v>23.2114353179932</v>
      </c>
      <c r="AA279" s="306">
        <v>18.0768718719482</v>
      </c>
      <c r="AB279" s="306">
        <v>18.184886932373001</v>
      </c>
      <c r="AC279" s="306">
        <v>18.263076782226602</v>
      </c>
      <c r="AD279" s="306">
        <v>18.304286956787099</v>
      </c>
    </row>
    <row r="280" spans="1:70" x14ac:dyDescent="0.2">
      <c r="A280" s="893" t="s">
        <v>611</v>
      </c>
      <c r="B280" s="895">
        <v>8.3781757354736293</v>
      </c>
      <c r="C280" s="895">
        <v>8.5664386749267596</v>
      </c>
      <c r="D280" s="895">
        <v>14.309384346008301</v>
      </c>
      <c r="E280" s="895">
        <v>6.51324510574341</v>
      </c>
      <c r="F280" s="895">
        <v>6.6763448715209996</v>
      </c>
      <c r="G280" s="895">
        <v>9.3123388290405291</v>
      </c>
      <c r="H280" s="895">
        <v>10.994701385498001</v>
      </c>
      <c r="I280" s="895">
        <v>12.5300750732422</v>
      </c>
      <c r="J280" s="895">
        <v>13.7526693344116</v>
      </c>
      <c r="K280" s="895">
        <v>15.155575752258301</v>
      </c>
      <c r="L280" s="895">
        <v>15.963142395019499</v>
      </c>
      <c r="M280" s="895">
        <v>16.617677688598601</v>
      </c>
      <c r="N280" s="895">
        <v>17.274333953857401</v>
      </c>
      <c r="O280" s="895">
        <v>17.322587966918899</v>
      </c>
      <c r="P280" s="895">
        <v>17.542411804199201</v>
      </c>
      <c r="Q280" s="895">
        <v>17.799869537353501</v>
      </c>
      <c r="R280" s="895">
        <v>17.916141510009801</v>
      </c>
      <c r="S280" s="895">
        <v>18.075910568237301</v>
      </c>
      <c r="T280" s="895">
        <v>18.1613368988037</v>
      </c>
      <c r="U280" s="895">
        <v>17.935956954956101</v>
      </c>
      <c r="V280" s="895">
        <v>18.128087997436499</v>
      </c>
      <c r="W280" s="895">
        <v>18.400978088378899</v>
      </c>
      <c r="X280" s="895">
        <v>18.7218933105469</v>
      </c>
      <c r="Y280" s="895">
        <v>18.9085083007813</v>
      </c>
      <c r="Z280" s="895">
        <v>19.247135162353501</v>
      </c>
      <c r="AA280" s="306">
        <v>21.3195495605469</v>
      </c>
      <c r="AB280" s="306">
        <v>21.43874168396</v>
      </c>
      <c r="AC280" s="306">
        <v>21.398374557495099</v>
      </c>
      <c r="AD280" s="306">
        <v>21.4992275238037</v>
      </c>
    </row>
    <row r="281" spans="1:70" x14ac:dyDescent="0.2">
      <c r="A281" s="893" t="s">
        <v>510</v>
      </c>
      <c r="B281" s="895">
        <v>7.0546379089355504</v>
      </c>
      <c r="C281" s="895">
        <v>7.0191597938537598</v>
      </c>
      <c r="D281" s="895">
        <v>8.8716125488281303</v>
      </c>
      <c r="E281" s="895">
        <v>4.5556221008300799</v>
      </c>
      <c r="F281" s="895">
        <v>5.1293134689331099</v>
      </c>
      <c r="G281" s="895">
        <v>5.4535460472106898</v>
      </c>
      <c r="H281" s="895">
        <v>5.5187635421752903</v>
      </c>
      <c r="I281" s="895">
        <v>5.53977298736572</v>
      </c>
      <c r="J281" s="895">
        <v>5.6835036277770996</v>
      </c>
      <c r="K281" s="895">
        <v>5.8920464515686</v>
      </c>
      <c r="L281" s="895">
        <v>6.0819325447082502</v>
      </c>
      <c r="M281" s="895">
        <v>6.2693996429443404</v>
      </c>
      <c r="N281" s="895">
        <v>6.4775133132934597</v>
      </c>
      <c r="O281" s="895">
        <v>6.7354197502136204</v>
      </c>
      <c r="P281" s="895">
        <v>7.0278439521789604</v>
      </c>
      <c r="Q281" s="895">
        <v>7.2539091110229501</v>
      </c>
      <c r="R281" s="895">
        <v>7.3283839225768999</v>
      </c>
      <c r="S281" s="895">
        <v>7.1506276130676296</v>
      </c>
      <c r="T281" s="895">
        <v>7.1924118995666504</v>
      </c>
      <c r="U281" s="895">
        <v>7.1398839950561497</v>
      </c>
      <c r="V281" s="895">
        <v>7.2806253433227504</v>
      </c>
      <c r="W281" s="895">
        <v>7.5354790687561</v>
      </c>
      <c r="X281" s="895">
        <v>7.8600792884826696</v>
      </c>
      <c r="Y281" s="895">
        <v>8.0742120742797905</v>
      </c>
      <c r="Z281" s="895">
        <v>8.3395175933837908</v>
      </c>
      <c r="AA281" s="306">
        <v>17.291141510009801</v>
      </c>
      <c r="AB281" s="306">
        <v>17.529483795166001</v>
      </c>
      <c r="AC281" s="306">
        <v>17.525184631347699</v>
      </c>
      <c r="AD281" s="306">
        <v>17.7543029785156</v>
      </c>
    </row>
    <row r="282" spans="1:70" x14ac:dyDescent="0.2">
      <c r="A282" s="893" t="s">
        <v>624</v>
      </c>
      <c r="B282" s="895">
        <v>1.7355252504348799</v>
      </c>
      <c r="C282" s="895">
        <v>1.7800002098083501</v>
      </c>
      <c r="D282" s="895">
        <v>1.9310736656189</v>
      </c>
      <c r="E282" s="895">
        <v>1.98230564594269</v>
      </c>
      <c r="F282" s="895">
        <v>1.86225914955139</v>
      </c>
      <c r="G282" s="895">
        <v>1.87335216999054</v>
      </c>
      <c r="H282" s="895">
        <v>1.85759365558624</v>
      </c>
      <c r="I282" s="895">
        <v>1.8817487955093399</v>
      </c>
      <c r="J282" s="895">
        <v>1.9043176174163801</v>
      </c>
      <c r="K282" s="895">
        <v>1.90719401836395</v>
      </c>
      <c r="L282" s="895">
        <v>1.9170492887496899</v>
      </c>
      <c r="M282" s="895">
        <v>1.9259506464004501</v>
      </c>
      <c r="N282" s="895">
        <v>1.94080138206482</v>
      </c>
      <c r="O282" s="895">
        <v>1.94636797904968</v>
      </c>
      <c r="P282" s="895">
        <v>1.9562891721725499</v>
      </c>
      <c r="Q282" s="895">
        <v>1.9622501134872401</v>
      </c>
      <c r="R282" s="895">
        <v>1.9753552675247199</v>
      </c>
      <c r="S282" s="895">
        <v>1.9811542034149201</v>
      </c>
      <c r="T282" s="895">
        <v>1.98549652099609</v>
      </c>
      <c r="U282" s="895">
        <v>1.9898830652236901</v>
      </c>
      <c r="V282" s="895">
        <v>1.99634909629822</v>
      </c>
      <c r="W282" s="895">
        <v>2.00744533538818</v>
      </c>
      <c r="X282" s="895">
        <v>2.0202190876007098</v>
      </c>
      <c r="Y282" s="895">
        <v>2.0336120128631601</v>
      </c>
      <c r="Z282" s="895">
        <v>2.0445194244384801</v>
      </c>
      <c r="AA282" s="306">
        <v>11.227470397949199</v>
      </c>
      <c r="AB282" s="306">
        <v>11.517865180969199</v>
      </c>
      <c r="AC282" s="306">
        <v>11.5089683532715</v>
      </c>
      <c r="AD282" s="306">
        <v>11.7493782043457</v>
      </c>
    </row>
    <row r="283" spans="1:70" x14ac:dyDescent="0.2">
      <c r="AA283" s="306">
        <v>15.2353620529175</v>
      </c>
      <c r="AB283" s="306">
        <v>15.5302953720093</v>
      </c>
      <c r="AC283" s="306">
        <v>15.500846862793001</v>
      </c>
      <c r="AD283" s="306">
        <v>15.7047281265259</v>
      </c>
    </row>
    <row r="284" spans="1:70" x14ac:dyDescent="0.2">
      <c r="A284" s="893" t="s">
        <v>625</v>
      </c>
      <c r="AA284" s="306">
        <v>7.7013258934020996</v>
      </c>
      <c r="AB284" s="306">
        <v>7.6767330169677699</v>
      </c>
      <c r="AC284" s="306">
        <v>7.8322434425354004</v>
      </c>
      <c r="AD284" s="306">
        <v>7.7872447967529297</v>
      </c>
    </row>
    <row r="285" spans="1:70" x14ac:dyDescent="0.2">
      <c r="A285" s="893" t="s">
        <v>609</v>
      </c>
      <c r="B285" s="895">
        <v>15.657142639160201</v>
      </c>
      <c r="C285" s="895">
        <v>18.5313529968262</v>
      </c>
      <c r="D285" s="895">
        <v>19.701341629028299</v>
      </c>
      <c r="E285" s="895">
        <v>16.4090671539307</v>
      </c>
      <c r="F285" s="895">
        <v>16.297544479370099</v>
      </c>
      <c r="G285" s="895">
        <v>18.4262371063232</v>
      </c>
      <c r="H285" s="895">
        <v>20.2184352874756</v>
      </c>
      <c r="I285" s="895">
        <v>21.813219070434599</v>
      </c>
      <c r="J285" s="895">
        <v>23.252103805541999</v>
      </c>
      <c r="K285" s="895">
        <v>24.811630249023398</v>
      </c>
      <c r="L285" s="895">
        <v>25.812454223632798</v>
      </c>
      <c r="M285" s="895">
        <v>26.627546310424801</v>
      </c>
      <c r="N285" s="895">
        <v>27.460300445556602</v>
      </c>
      <c r="O285" s="895">
        <v>27.8579425811768</v>
      </c>
      <c r="P285" s="895">
        <v>28.113265991210898</v>
      </c>
      <c r="Q285" s="895">
        <v>28.325565338134801</v>
      </c>
      <c r="R285" s="895">
        <v>28.4571437835693</v>
      </c>
      <c r="S285" s="895">
        <v>28.7732944488525</v>
      </c>
      <c r="T285" s="895">
        <v>28.920036315918001</v>
      </c>
      <c r="U285" s="895">
        <v>28.525373458862301</v>
      </c>
      <c r="V285" s="895">
        <v>28.814060211181602</v>
      </c>
      <c r="W285" s="895">
        <v>29.1242790222168</v>
      </c>
      <c r="X285" s="895">
        <v>29.486963272094702</v>
      </c>
      <c r="Y285" s="895">
        <v>29.629682540893601</v>
      </c>
      <c r="Z285" s="895">
        <v>30.0484523773193</v>
      </c>
      <c r="AA285" s="306">
        <v>7.8213167190551802</v>
      </c>
      <c r="AB285" s="306">
        <v>7.9383788108825701</v>
      </c>
      <c r="AC285" s="306">
        <v>8.0273618698120099</v>
      </c>
      <c r="AD285" s="306">
        <v>8.0851049423217791</v>
      </c>
    </row>
    <row r="286" spans="1:70" x14ac:dyDescent="0.2">
      <c r="A286" s="893" t="s">
        <v>618</v>
      </c>
      <c r="B286" s="895">
        <v>25.5142211914063</v>
      </c>
      <c r="C286" s="895">
        <v>26.818180084228501</v>
      </c>
      <c r="D286" s="895">
        <v>34.073703765869098</v>
      </c>
      <c r="E286" s="895">
        <v>20.3962516784668</v>
      </c>
      <c r="F286" s="895">
        <v>18.869060516357401</v>
      </c>
      <c r="G286" s="895">
        <v>22.499189376831101</v>
      </c>
      <c r="H286" s="895">
        <v>24.345371246337901</v>
      </c>
      <c r="I286" s="895">
        <v>25.8835773468018</v>
      </c>
      <c r="J286" s="895">
        <v>27.376197814941399</v>
      </c>
      <c r="K286" s="895">
        <v>25.5507621765137</v>
      </c>
      <c r="L286" s="895">
        <v>26.3307495117188</v>
      </c>
      <c r="M286" s="895">
        <v>27.042121887206999</v>
      </c>
      <c r="N286" s="895">
        <v>27.074653625488299</v>
      </c>
      <c r="O286" s="895">
        <v>28.861484527587901</v>
      </c>
      <c r="P286" s="895">
        <v>29.593324661254901</v>
      </c>
      <c r="Q286" s="895">
        <v>29.691083908081101</v>
      </c>
      <c r="R286" s="895">
        <v>29.8394565582275</v>
      </c>
      <c r="S286" s="895">
        <v>30.056737899780298</v>
      </c>
      <c r="T286" s="895">
        <v>30.123649597168001</v>
      </c>
      <c r="U286" s="895">
        <v>30.045396804809599</v>
      </c>
      <c r="V286" s="895">
        <v>30.335887908935501</v>
      </c>
      <c r="W286" s="895">
        <v>30.1821899414063</v>
      </c>
      <c r="X286" s="895">
        <v>30.567377090454102</v>
      </c>
      <c r="Y286" s="895">
        <v>31.227724075317401</v>
      </c>
      <c r="Z286" s="895">
        <v>30.935503005981399</v>
      </c>
      <c r="AA286" s="306">
        <v>2.7168338298797599</v>
      </c>
      <c r="AB286" s="306">
        <v>2.7307398319244398</v>
      </c>
      <c r="AC286" s="306">
        <v>2.7413196563720699</v>
      </c>
      <c r="AD286" s="306">
        <v>2.7546591758728001</v>
      </c>
    </row>
    <row r="287" spans="1:70" x14ac:dyDescent="0.2">
      <c r="A287" s="893" t="s">
        <v>619</v>
      </c>
      <c r="B287" s="895">
        <v>21.649000167846701</v>
      </c>
      <c r="C287" s="895">
        <v>22.8191947937012</v>
      </c>
      <c r="D287" s="895">
        <v>26.0107421875</v>
      </c>
      <c r="E287" s="895">
        <v>15.8019914627075</v>
      </c>
      <c r="F287" s="895">
        <v>17.711067199706999</v>
      </c>
      <c r="G287" s="895">
        <v>20.6589241027832</v>
      </c>
      <c r="H287" s="895">
        <v>22.298402786254901</v>
      </c>
      <c r="I287" s="895">
        <v>23.5152263641357</v>
      </c>
      <c r="J287" s="895">
        <v>24.813198089599599</v>
      </c>
      <c r="K287" s="895">
        <v>26.134485244751001</v>
      </c>
      <c r="L287" s="895">
        <v>27.0586547851563</v>
      </c>
      <c r="M287" s="895">
        <v>27.9900207519531</v>
      </c>
      <c r="N287" s="895">
        <v>28.799554824829102</v>
      </c>
      <c r="O287" s="895">
        <v>29.408401489257798</v>
      </c>
      <c r="P287" s="895">
        <v>29.935087203979499</v>
      </c>
      <c r="Q287" s="895">
        <v>30.054672241210898</v>
      </c>
      <c r="R287" s="895">
        <v>30.314332962036101</v>
      </c>
      <c r="S287" s="895">
        <v>30.492042541503899</v>
      </c>
      <c r="T287" s="895">
        <v>30.525100708007798</v>
      </c>
      <c r="U287" s="895">
        <v>30.442491531372099</v>
      </c>
      <c r="V287" s="895">
        <v>30.723676681518601</v>
      </c>
      <c r="W287" s="895">
        <v>30.701581954956101</v>
      </c>
      <c r="X287" s="895">
        <v>31.107343673706101</v>
      </c>
      <c r="Y287" s="895">
        <v>31.957983016967798</v>
      </c>
      <c r="Z287" s="895">
        <v>31.580909729003899</v>
      </c>
      <c r="AA287" s="306">
        <v>1.67883205413818</v>
      </c>
      <c r="AB287" s="306">
        <v>1.6938681602478001</v>
      </c>
      <c r="AC287" s="306">
        <v>1.7024568319320701</v>
      </c>
      <c r="AD287" s="306">
        <v>1.71655297279358</v>
      </c>
    </row>
    <row r="288" spans="1:70" x14ac:dyDescent="0.2">
      <c r="A288" s="893" t="s">
        <v>626</v>
      </c>
      <c r="B288" s="895">
        <v>15.2446508407593</v>
      </c>
      <c r="C288" s="895">
        <v>16.0964660644531</v>
      </c>
      <c r="D288" s="895">
        <v>22.1856594085693</v>
      </c>
      <c r="E288" s="895">
        <v>10.540905952453601</v>
      </c>
      <c r="F288" s="895">
        <v>10.4131317138672</v>
      </c>
      <c r="G288" s="895">
        <v>12.992267608642599</v>
      </c>
      <c r="H288" s="895">
        <v>14.8510446548462</v>
      </c>
      <c r="I288" s="895">
        <v>16.4927158355713</v>
      </c>
      <c r="J288" s="895">
        <v>17.888269424438501</v>
      </c>
      <c r="K288" s="895">
        <v>19.120731353759801</v>
      </c>
      <c r="L288" s="895">
        <v>20.025011062622099</v>
      </c>
      <c r="M288" s="895">
        <v>20.925888061523398</v>
      </c>
      <c r="N288" s="895">
        <v>21.650459289550799</v>
      </c>
      <c r="O288" s="895">
        <v>22.054113388061499</v>
      </c>
      <c r="P288" s="895">
        <v>22.358533859252901</v>
      </c>
      <c r="Q288" s="895">
        <v>22.535087585449201</v>
      </c>
      <c r="R288" s="895">
        <v>22.624557495117202</v>
      </c>
      <c r="S288" s="895">
        <v>22.875423431396499</v>
      </c>
      <c r="T288" s="895">
        <v>23.088819503784201</v>
      </c>
      <c r="U288" s="895">
        <v>22.878332138061499</v>
      </c>
      <c r="V288" s="895">
        <v>23.229129791259801</v>
      </c>
      <c r="W288" s="895">
        <v>23.440977096557599</v>
      </c>
      <c r="X288" s="895">
        <v>23.911849975585898</v>
      </c>
      <c r="Y288" s="895">
        <v>24.3618278503418</v>
      </c>
      <c r="Z288" s="895">
        <v>24.669164657592798</v>
      </c>
      <c r="AA288" s="306">
        <v>1.2833950519561801</v>
      </c>
      <c r="AB288" s="306">
        <v>1.3286876678466799</v>
      </c>
      <c r="AC288" s="306">
        <v>1.33012855052948</v>
      </c>
      <c r="AD288" s="306">
        <v>1.33445107936859</v>
      </c>
    </row>
    <row r="289" spans="1:30" x14ac:dyDescent="0.2">
      <c r="A289" s="893" t="s">
        <v>610</v>
      </c>
      <c r="B289" s="895">
        <v>19.171348571777301</v>
      </c>
      <c r="C289" s="895">
        <v>19.9431552886963</v>
      </c>
      <c r="D289" s="895">
        <v>25.721439361572301</v>
      </c>
      <c r="E289" s="895">
        <v>15.1513471603394</v>
      </c>
      <c r="F289" s="895">
        <v>13.5963325500488</v>
      </c>
      <c r="G289" s="895">
        <v>16.098552703857401</v>
      </c>
      <c r="H289" s="895">
        <v>18.014595031738299</v>
      </c>
      <c r="I289" s="895">
        <v>20.0945529937744</v>
      </c>
      <c r="J289" s="895">
        <v>21.487236022949201</v>
      </c>
      <c r="K289" s="895">
        <v>22.551927566528299</v>
      </c>
      <c r="L289" s="895">
        <v>23.4185886383057</v>
      </c>
      <c r="M289" s="895">
        <v>24.295482635498001</v>
      </c>
      <c r="N289" s="895">
        <v>25.028078079223601</v>
      </c>
      <c r="O289" s="895">
        <v>25.4735622406006</v>
      </c>
      <c r="P289" s="895">
        <v>25.7968635559082</v>
      </c>
      <c r="Q289" s="895">
        <v>25.744600296020501</v>
      </c>
      <c r="R289" s="895">
        <v>26.0401725769043</v>
      </c>
      <c r="S289" s="895">
        <v>26.245742797851602</v>
      </c>
      <c r="T289" s="895">
        <v>26.316581726074201</v>
      </c>
      <c r="U289" s="895">
        <v>26.282798767089801</v>
      </c>
      <c r="V289" s="895">
        <v>26.623888015747099</v>
      </c>
      <c r="W289" s="895">
        <v>26.532428741455099</v>
      </c>
      <c r="X289" s="895">
        <v>26.9911499023438</v>
      </c>
      <c r="Y289" s="895">
        <v>27.692060470581101</v>
      </c>
      <c r="Z289" s="895">
        <v>27.7130451202393</v>
      </c>
      <c r="AA289" s="306">
        <v>23.429731369018601</v>
      </c>
      <c r="AB289" s="306">
        <v>23.480413436889599</v>
      </c>
      <c r="AC289" s="306">
        <v>23.589033126831101</v>
      </c>
      <c r="AD289" s="306">
        <v>23.596023559570298</v>
      </c>
    </row>
    <row r="290" spans="1:30" x14ac:dyDescent="0.2">
      <c r="A290" s="893" t="s">
        <v>611</v>
      </c>
      <c r="B290" s="895">
        <v>8.4246683120727504</v>
      </c>
      <c r="C290" s="895">
        <v>9.3672227859497106</v>
      </c>
      <c r="D290" s="895">
        <v>14.1781015396118</v>
      </c>
      <c r="E290" s="895">
        <v>6.5043296813964799</v>
      </c>
      <c r="F290" s="895">
        <v>6.9149212837219203</v>
      </c>
      <c r="G290" s="895">
        <v>9.2013835906982404</v>
      </c>
      <c r="H290" s="895">
        <v>10.8588418960571</v>
      </c>
      <c r="I290" s="895">
        <v>12.3554439544678</v>
      </c>
      <c r="J290" s="895">
        <v>13.5696716308594</v>
      </c>
      <c r="K290" s="895">
        <v>14.9571332931519</v>
      </c>
      <c r="L290" s="895">
        <v>15.7562828063965</v>
      </c>
      <c r="M290" s="895">
        <v>16.419845581054702</v>
      </c>
      <c r="N290" s="895">
        <v>17.090215682983398</v>
      </c>
      <c r="O290" s="895">
        <v>17.3671054840088</v>
      </c>
      <c r="P290" s="895">
        <v>17.589653015136701</v>
      </c>
      <c r="Q290" s="895">
        <v>17.8480415344238</v>
      </c>
      <c r="R290" s="895">
        <v>17.911899566650401</v>
      </c>
      <c r="S290" s="895">
        <v>18.041828155517599</v>
      </c>
      <c r="T290" s="895">
        <v>18.112939834594702</v>
      </c>
      <c r="U290" s="895">
        <v>17.862413406372099</v>
      </c>
      <c r="V290" s="895">
        <v>18.047613143920898</v>
      </c>
      <c r="W290" s="895">
        <v>18.333000183105501</v>
      </c>
      <c r="X290" s="895">
        <v>18.6528930664063</v>
      </c>
      <c r="Y290" s="895">
        <v>18.8375339508057</v>
      </c>
      <c r="Z290" s="895">
        <v>19.187860488891602</v>
      </c>
      <c r="AA290" s="306"/>
      <c r="AB290" s="306"/>
      <c r="AC290" s="306"/>
      <c r="AD290" s="306"/>
    </row>
    <row r="291" spans="1:30" x14ac:dyDescent="0.2">
      <c r="A291" s="893" t="s">
        <v>510</v>
      </c>
      <c r="B291" s="895">
        <v>9.5015735626220703</v>
      </c>
      <c r="C291" s="895">
        <v>9.0060253143310494</v>
      </c>
      <c r="D291" s="895">
        <v>10.1816816329956</v>
      </c>
      <c r="E291" s="895">
        <v>6.76324558258057</v>
      </c>
      <c r="F291" s="895">
        <v>7.4289712905883798</v>
      </c>
      <c r="G291" s="895">
        <v>7.7374553680419904</v>
      </c>
      <c r="H291" s="895">
        <v>7.7907910346984899</v>
      </c>
      <c r="I291" s="895">
        <v>7.79954290390015</v>
      </c>
      <c r="J291" s="895">
        <v>7.91036033630371</v>
      </c>
      <c r="K291" s="895">
        <v>8.0721502304077095</v>
      </c>
      <c r="L291" s="895">
        <v>8.2674913406372106</v>
      </c>
      <c r="M291" s="895">
        <v>8.4630060195922905</v>
      </c>
      <c r="N291" s="895">
        <v>8.6615943908691406</v>
      </c>
      <c r="O291" s="895">
        <v>8.9140930175781303</v>
      </c>
      <c r="P291" s="895">
        <v>9.2212562561035192</v>
      </c>
      <c r="Q291" s="895">
        <v>9.4307956695556605</v>
      </c>
      <c r="R291" s="895">
        <v>9.4883728027343803</v>
      </c>
      <c r="S291" s="895">
        <v>9.2674760818481392</v>
      </c>
      <c r="T291" s="895">
        <v>9.2395153045654297</v>
      </c>
      <c r="U291" s="895">
        <v>9.1623344421386701</v>
      </c>
      <c r="V291" s="895">
        <v>9.3142642974853498</v>
      </c>
      <c r="W291" s="895">
        <v>9.5711297988891602</v>
      </c>
      <c r="X291" s="895">
        <v>9.9057645797729492</v>
      </c>
      <c r="Y291" s="895">
        <v>10.151716232299799</v>
      </c>
      <c r="Z291" s="895">
        <v>10.4206848144531</v>
      </c>
      <c r="AA291" s="306"/>
      <c r="AB291" s="306"/>
      <c r="AC291" s="306"/>
      <c r="AD291" s="306"/>
    </row>
    <row r="292" spans="1:30" x14ac:dyDescent="0.2">
      <c r="A292" s="893" t="s">
        <v>614</v>
      </c>
      <c r="B292" s="895">
        <v>3.6353600025177002</v>
      </c>
      <c r="C292" s="895">
        <v>3.6099998950958301</v>
      </c>
      <c r="D292" s="895">
        <v>4.0558156967163104</v>
      </c>
      <c r="E292" s="895">
        <v>4.0487108230590803</v>
      </c>
      <c r="F292" s="895">
        <v>3.9977276325225799</v>
      </c>
      <c r="G292" s="895">
        <v>4.1121706962585396</v>
      </c>
      <c r="H292" s="895">
        <v>4.1809573173522896</v>
      </c>
      <c r="I292" s="895">
        <v>4.2343683242797896</v>
      </c>
      <c r="J292" s="895">
        <v>4.27162742614746</v>
      </c>
      <c r="K292" s="895">
        <v>4.2985162734985396</v>
      </c>
      <c r="L292" s="895">
        <v>4.3192996978759801</v>
      </c>
      <c r="M292" s="895">
        <v>4.3337044715881303</v>
      </c>
      <c r="N292" s="895">
        <v>4.3530845642089799</v>
      </c>
      <c r="O292" s="895">
        <v>4.3696141242981001</v>
      </c>
      <c r="P292" s="895">
        <v>4.3899216651916504</v>
      </c>
      <c r="Q292" s="895">
        <v>4.4470157623290998</v>
      </c>
      <c r="R292" s="895">
        <v>4.5093812942504901</v>
      </c>
      <c r="S292" s="895">
        <v>4.5352845191955602</v>
      </c>
      <c r="T292" s="895">
        <v>4.5618190765380904</v>
      </c>
      <c r="U292" s="895">
        <v>4.5643453598022496</v>
      </c>
      <c r="V292" s="895">
        <v>4.5493078231811497</v>
      </c>
      <c r="W292" s="895">
        <v>4.5490665435790998</v>
      </c>
      <c r="X292" s="895">
        <v>4.5331215858459499</v>
      </c>
      <c r="Y292" s="895">
        <v>4.4955492019653303</v>
      </c>
      <c r="Z292" s="895">
        <v>4.4319190979003897</v>
      </c>
      <c r="AA292" s="306">
        <v>253.732666015625</v>
      </c>
      <c r="AB292" s="306">
        <v>257.28918457031301</v>
      </c>
      <c r="AC292" s="306">
        <v>259.96432495117199</v>
      </c>
      <c r="AD292" s="306">
        <v>262.21316528320301</v>
      </c>
    </row>
    <row r="293" spans="1:30" x14ac:dyDescent="0.2">
      <c r="A293" s="893" t="s">
        <v>627</v>
      </c>
      <c r="B293" s="895">
        <v>1.7776364088058501</v>
      </c>
      <c r="C293" s="895">
        <v>1.81885313987732</v>
      </c>
      <c r="D293" s="895">
        <v>1.9676311016082799</v>
      </c>
      <c r="E293" s="895">
        <v>2.0067975521087602</v>
      </c>
      <c r="F293" s="895">
        <v>1.88941025733948</v>
      </c>
      <c r="G293" s="895">
        <v>1.9042230844497701</v>
      </c>
      <c r="H293" s="895">
        <v>1.89033174514771</v>
      </c>
      <c r="I293" s="895">
        <v>1.9154095649719201</v>
      </c>
      <c r="J293" s="895">
        <v>1.93832087516785</v>
      </c>
      <c r="K293" s="895">
        <v>1.94072294235229</v>
      </c>
      <c r="L293" s="895">
        <v>1.9500694274902299</v>
      </c>
      <c r="M293" s="895">
        <v>1.9586881399154701</v>
      </c>
      <c r="N293" s="895">
        <v>1.9732190370559699</v>
      </c>
      <c r="O293" s="895">
        <v>1.9783339500427199</v>
      </c>
      <c r="P293" s="895">
        <v>1.98810267448425</v>
      </c>
      <c r="Q293" s="895">
        <v>1.9938982725143399</v>
      </c>
      <c r="R293" s="895">
        <v>2.0064799785614</v>
      </c>
      <c r="S293" s="895">
        <v>2.0119984149932901</v>
      </c>
      <c r="T293" s="895">
        <v>2.0163278579711901</v>
      </c>
      <c r="U293" s="895">
        <v>2.0205180644989</v>
      </c>
      <c r="V293" s="895">
        <v>2.0271856784820601</v>
      </c>
      <c r="W293" s="895">
        <v>2.0382561683654798</v>
      </c>
      <c r="X293" s="895">
        <v>2.0508835315704301</v>
      </c>
      <c r="Y293" s="895">
        <v>2.0641281604766801</v>
      </c>
      <c r="Z293" s="895">
        <v>2.0750961303710902</v>
      </c>
      <c r="AA293" s="306">
        <v>208.50216674804699</v>
      </c>
      <c r="AB293" s="306">
        <v>213.246017456055</v>
      </c>
      <c r="AC293" s="306">
        <v>217.97378540039099</v>
      </c>
      <c r="AD293" s="306">
        <v>222.08200073242199</v>
      </c>
    </row>
    <row r="294" spans="1:30" x14ac:dyDescent="0.2">
      <c r="A294" s="893" t="s">
        <v>616</v>
      </c>
      <c r="B294" s="895">
        <v>0</v>
      </c>
      <c r="C294" s="895">
        <v>0</v>
      </c>
      <c r="D294" s="895">
        <v>0</v>
      </c>
      <c r="E294" s="895">
        <v>0</v>
      </c>
      <c r="F294" s="895">
        <v>0</v>
      </c>
      <c r="G294" s="895">
        <v>1.5133428573608401</v>
      </c>
      <c r="H294" s="895">
        <v>1.3742095232009901</v>
      </c>
      <c r="I294" s="895">
        <v>1.19064140319824</v>
      </c>
      <c r="J294" s="895">
        <v>1.3664953708648699</v>
      </c>
      <c r="K294" s="895">
        <v>1.33487153053284</v>
      </c>
      <c r="L294" s="895">
        <v>1.31654036045074</v>
      </c>
      <c r="M294" s="895">
        <v>1.30223417282104</v>
      </c>
      <c r="N294" s="895">
        <v>1.30838906764984</v>
      </c>
      <c r="O294" s="895">
        <v>1.32146644592285</v>
      </c>
      <c r="P294" s="895">
        <v>1.3489345312118499</v>
      </c>
      <c r="Q294" s="895">
        <v>1.3524934053421001</v>
      </c>
      <c r="R294" s="895">
        <v>1.3570195436477701</v>
      </c>
      <c r="S294" s="895">
        <v>1.3626403808593801</v>
      </c>
      <c r="T294" s="895">
        <v>1.37119424343109</v>
      </c>
      <c r="U294" s="895">
        <v>1.3635557889938399</v>
      </c>
      <c r="V294" s="895">
        <v>1.3662919998168901</v>
      </c>
      <c r="W294" s="895">
        <v>1.37254309654236</v>
      </c>
      <c r="X294" s="895">
        <v>1.37609398365021</v>
      </c>
      <c r="Y294" s="895">
        <v>1.3784751892089799</v>
      </c>
      <c r="Z294" s="895">
        <v>1.3805129528045701</v>
      </c>
      <c r="AA294" s="306">
        <v>212.89649963378901</v>
      </c>
      <c r="AB294" s="306">
        <v>216.30204772949199</v>
      </c>
      <c r="AC294" s="306">
        <v>219.267822265625</v>
      </c>
      <c r="AD294" s="306">
        <v>222.079177856445</v>
      </c>
    </row>
    <row r="295" spans="1:30" x14ac:dyDescent="0.2">
      <c r="A295" s="893" t="s">
        <v>479</v>
      </c>
      <c r="B295" s="895">
        <v>26.672916412353501</v>
      </c>
      <c r="C295" s="895">
        <v>26.680915832519499</v>
      </c>
      <c r="D295" s="895">
        <v>27.799331665039102</v>
      </c>
      <c r="E295" s="895">
        <v>26.6892414093018</v>
      </c>
      <c r="F295" s="895">
        <v>24.2756156921387</v>
      </c>
      <c r="G295" s="895">
        <v>25.0947151184082</v>
      </c>
      <c r="H295" s="895">
        <v>25.0493679046631</v>
      </c>
      <c r="I295" s="895">
        <v>25.093559265136701</v>
      </c>
      <c r="J295" s="895">
        <v>25.339256286621101</v>
      </c>
      <c r="K295" s="895">
        <v>25.454051971435501</v>
      </c>
      <c r="L295" s="895">
        <v>25.7708930969238</v>
      </c>
      <c r="M295" s="895">
        <v>26.1124782562256</v>
      </c>
      <c r="N295" s="895">
        <v>26.474697113037099</v>
      </c>
      <c r="O295" s="895">
        <v>26.7419338226318</v>
      </c>
      <c r="P295" s="895">
        <v>27.1641750335693</v>
      </c>
      <c r="Q295" s="895">
        <v>27.529588699340799</v>
      </c>
      <c r="R295" s="895">
        <v>27.7828693389893</v>
      </c>
      <c r="S295" s="895">
        <v>27.754991531372099</v>
      </c>
      <c r="T295" s="895">
        <v>27.792310714721701</v>
      </c>
      <c r="U295" s="895">
        <v>27.7856330871582</v>
      </c>
      <c r="V295" s="895">
        <v>27.867961883544901</v>
      </c>
      <c r="W295" s="895">
        <v>28.2280673980713</v>
      </c>
      <c r="X295" s="895">
        <v>28.6754856109619</v>
      </c>
      <c r="Y295" s="895">
        <v>29.0858860015869</v>
      </c>
      <c r="Z295" s="895">
        <v>29.4564533233643</v>
      </c>
      <c r="AA295" s="306">
        <v>588.97521972656295</v>
      </c>
      <c r="AB295" s="306">
        <v>607.12139892578102</v>
      </c>
      <c r="AC295" s="306">
        <v>615.45501708984398</v>
      </c>
      <c r="AD295" s="306">
        <v>632.78991699218795</v>
      </c>
    </row>
    <row r="296" spans="1:30" x14ac:dyDescent="0.2">
      <c r="AA296" s="306">
        <v>1264.10656738281</v>
      </c>
      <c r="AB296" s="306">
        <v>1293.95861816406</v>
      </c>
      <c r="AC296" s="306">
        <v>1312.66088867188</v>
      </c>
      <c r="AD296" s="306">
        <v>1339.16430664063</v>
      </c>
    </row>
    <row r="297" spans="1:30" x14ac:dyDescent="0.2">
      <c r="A297" s="893" t="s">
        <v>513</v>
      </c>
      <c r="AA297" s="306">
        <v>0.38684526085853599</v>
      </c>
      <c r="AB297" s="306">
        <v>0.443235874176025</v>
      </c>
      <c r="AC297" s="306">
        <v>0.46923574805259699</v>
      </c>
      <c r="AD297" s="306">
        <v>0.51463860273361195</v>
      </c>
    </row>
    <row r="298" spans="1:30" x14ac:dyDescent="0.2">
      <c r="A298" s="893" t="s">
        <v>725</v>
      </c>
      <c r="AA298" s="306">
        <v>1264.49340820313</v>
      </c>
      <c r="AB298" s="306">
        <v>1294.40185546875</v>
      </c>
      <c r="AC298" s="306">
        <v>1313.13012695313</v>
      </c>
      <c r="AD298" s="306">
        <v>1339.67895507813</v>
      </c>
    </row>
    <row r="299" spans="1:30" x14ac:dyDescent="0.2">
      <c r="A299" s="893" t="s">
        <v>473</v>
      </c>
      <c r="B299" s="895">
        <v>231.10064697265599</v>
      </c>
      <c r="C299" s="895">
        <v>238.40081787109401</v>
      </c>
      <c r="D299" s="895">
        <v>250.00378417968801</v>
      </c>
      <c r="E299" s="895">
        <v>223.81915283203099</v>
      </c>
      <c r="F299" s="895">
        <v>215.29118347168</v>
      </c>
      <c r="G299" s="895">
        <v>224.09677124023401</v>
      </c>
      <c r="H299" s="895">
        <v>227.34310913085901</v>
      </c>
      <c r="I299" s="895">
        <v>227.85260009765599</v>
      </c>
      <c r="J299" s="895">
        <v>231.24415588378901</v>
      </c>
      <c r="K299" s="895">
        <v>234.18721008300801</v>
      </c>
      <c r="L299" s="895">
        <v>238.75100708007801</v>
      </c>
      <c r="M299" s="895">
        <v>243.18489074707</v>
      </c>
      <c r="N299" s="895">
        <v>248.169021606445</v>
      </c>
      <c r="O299" s="895">
        <v>252.72660827636699</v>
      </c>
      <c r="P299" s="895">
        <v>258.44952392578102</v>
      </c>
      <c r="Q299" s="895">
        <v>262.50808715820301</v>
      </c>
      <c r="R299" s="895">
        <v>265.94851684570301</v>
      </c>
      <c r="S299" s="895">
        <v>267.30322265625</v>
      </c>
      <c r="T299" s="895">
        <v>270.58847045898398</v>
      </c>
      <c r="U299" s="895">
        <v>272.04168701171898</v>
      </c>
      <c r="V299" s="895">
        <v>276.25186157226602</v>
      </c>
      <c r="W299" s="895">
        <v>282.20260620117199</v>
      </c>
      <c r="X299" s="895">
        <v>288.93267822265602</v>
      </c>
      <c r="Y299" s="895">
        <v>293.60751342773398</v>
      </c>
      <c r="Z299" s="895">
        <v>298.90402221679699</v>
      </c>
      <c r="AA299" s="306"/>
      <c r="AB299" s="306"/>
      <c r="AC299" s="306"/>
      <c r="AD299" s="306"/>
    </row>
    <row r="300" spans="1:30" x14ac:dyDescent="0.2">
      <c r="A300" s="893" t="s">
        <v>480</v>
      </c>
      <c r="B300" s="895">
        <v>170.28274536132801</v>
      </c>
      <c r="C300" s="895">
        <v>172.89260864257801</v>
      </c>
      <c r="D300" s="895">
        <v>183.352294921875</v>
      </c>
      <c r="E300" s="895">
        <v>163.89425659179699</v>
      </c>
      <c r="F300" s="895">
        <v>157.14476013183599</v>
      </c>
      <c r="G300" s="895">
        <v>164.69047546386699</v>
      </c>
      <c r="H300" s="895">
        <v>166.42567443847699</v>
      </c>
      <c r="I300" s="895">
        <v>169.00093078613301</v>
      </c>
      <c r="J300" s="895">
        <v>173.04789733886699</v>
      </c>
      <c r="K300" s="895">
        <v>176.93461608886699</v>
      </c>
      <c r="L300" s="895">
        <v>182.04042053222699</v>
      </c>
      <c r="M300" s="895">
        <v>187.24485778808599</v>
      </c>
      <c r="N300" s="895">
        <v>192.69107055664099</v>
      </c>
      <c r="O300" s="895">
        <v>197.508544921875</v>
      </c>
      <c r="P300" s="895">
        <v>203.26272583007801</v>
      </c>
      <c r="Q300" s="895">
        <v>208.31881713867199</v>
      </c>
      <c r="R300" s="895">
        <v>212.33370971679699</v>
      </c>
      <c r="S300" s="895">
        <v>214.22947692871099</v>
      </c>
      <c r="T300" s="895">
        <v>217.23475646972699</v>
      </c>
      <c r="U300" s="895">
        <v>219.65505981445301</v>
      </c>
      <c r="V300" s="895">
        <v>223.61666870117199</v>
      </c>
      <c r="W300" s="895">
        <v>229.31947326660199</v>
      </c>
      <c r="X300" s="895">
        <v>235.82908630371099</v>
      </c>
      <c r="Y300" s="895">
        <v>241.79779052734401</v>
      </c>
      <c r="Z300" s="895">
        <v>247.76422119140599</v>
      </c>
      <c r="AA300" s="306"/>
      <c r="AB300" s="306"/>
      <c r="AC300" s="306"/>
      <c r="AD300" s="306"/>
    </row>
    <row r="301" spans="1:30" x14ac:dyDescent="0.2">
      <c r="A301" s="893" t="s">
        <v>515</v>
      </c>
      <c r="B301" s="895">
        <v>216.08058166503901</v>
      </c>
      <c r="C301" s="895">
        <v>226.88609313964801</v>
      </c>
      <c r="D301" s="895">
        <v>248.66896057128901</v>
      </c>
      <c r="E301" s="895">
        <v>181.39601135253901</v>
      </c>
      <c r="F301" s="895">
        <v>151.70443725585901</v>
      </c>
      <c r="G301" s="895">
        <v>172.23597717285199</v>
      </c>
      <c r="H301" s="895">
        <v>186.63681030273401</v>
      </c>
      <c r="I301" s="895">
        <v>200.19924926757801</v>
      </c>
      <c r="J301" s="895">
        <v>207.03741455078099</v>
      </c>
      <c r="K301" s="895">
        <v>213.45352172851599</v>
      </c>
      <c r="L301" s="895">
        <v>218.62767028808599</v>
      </c>
      <c r="M301" s="895">
        <v>224.29528808593801</v>
      </c>
      <c r="N301" s="895">
        <v>229.96401977539099</v>
      </c>
      <c r="O301" s="895">
        <v>233.76069641113301</v>
      </c>
      <c r="P301" s="895">
        <v>239.065841674805</v>
      </c>
      <c r="Q301" s="895">
        <v>241.45851135253901</v>
      </c>
      <c r="R301" s="895">
        <v>242.383544921875</v>
      </c>
      <c r="S301" s="895">
        <v>242.41815185546901</v>
      </c>
      <c r="T301" s="895">
        <v>242.89247131347699</v>
      </c>
      <c r="U301" s="895">
        <v>240.916915893555</v>
      </c>
      <c r="V301" s="895">
        <v>241.41357421875</v>
      </c>
      <c r="W301" s="895">
        <v>242.50785827636699</v>
      </c>
      <c r="X301" s="895">
        <v>244.85752868652301</v>
      </c>
      <c r="Y301" s="895">
        <v>245.86729431152301</v>
      </c>
      <c r="Z301" s="895">
        <v>245.87216186523401</v>
      </c>
      <c r="AA301" s="306"/>
      <c r="AB301" s="306"/>
      <c r="AC301" s="306"/>
      <c r="AD301" s="306"/>
    </row>
    <row r="302" spans="1:30" x14ac:dyDescent="0.2">
      <c r="A302" s="893" t="s">
        <v>487</v>
      </c>
      <c r="B302" s="895">
        <v>564.62982177734398</v>
      </c>
      <c r="C302" s="895">
        <v>596.84759521484398</v>
      </c>
      <c r="D302" s="895">
        <v>693.65460205078102</v>
      </c>
      <c r="E302" s="895">
        <v>393.76574707031301</v>
      </c>
      <c r="F302" s="895">
        <v>430.90808105468801</v>
      </c>
      <c r="G302" s="895">
        <v>516.84307861328102</v>
      </c>
      <c r="H302" s="895">
        <v>568.141357421875</v>
      </c>
      <c r="I302" s="895">
        <v>610.89111328125</v>
      </c>
      <c r="J302" s="895">
        <v>646.41064453125</v>
      </c>
      <c r="K302" s="895">
        <v>676.39013671875</v>
      </c>
      <c r="L302" s="895">
        <v>696.72686767578102</v>
      </c>
      <c r="M302" s="895">
        <v>719.33160400390602</v>
      </c>
      <c r="N302" s="895">
        <v>737.13671875</v>
      </c>
      <c r="O302" s="895">
        <v>750.27301025390602</v>
      </c>
      <c r="P302" s="895">
        <v>759.33123779296898</v>
      </c>
      <c r="Q302" s="895">
        <v>760.33734130859398</v>
      </c>
      <c r="R302" s="895">
        <v>761.04602050781295</v>
      </c>
      <c r="S302" s="895">
        <v>771.55059814453102</v>
      </c>
      <c r="T302" s="895">
        <v>780.57421875</v>
      </c>
      <c r="U302" s="895">
        <v>783.147216796875</v>
      </c>
      <c r="V302" s="895">
        <v>796.70227050781295</v>
      </c>
      <c r="W302" s="895">
        <v>794.56842041015602</v>
      </c>
      <c r="X302" s="895">
        <v>811.39251708984398</v>
      </c>
      <c r="Y302" s="895">
        <v>832.07995605468795</v>
      </c>
      <c r="Z302" s="895">
        <v>835.36431884765602</v>
      </c>
      <c r="AA302" s="306"/>
      <c r="AB302" s="306"/>
      <c r="AC302" s="306"/>
      <c r="AD302" s="306"/>
    </row>
    <row r="303" spans="1:30" x14ac:dyDescent="0.2">
      <c r="A303" s="893" t="s">
        <v>516</v>
      </c>
      <c r="B303" s="895">
        <v>1182.09375</v>
      </c>
      <c r="C303" s="895">
        <v>1235.02709960938</v>
      </c>
      <c r="D303" s="895">
        <v>1375.6796875</v>
      </c>
      <c r="E303" s="895">
        <v>962.87518310546898</v>
      </c>
      <c r="F303" s="895">
        <v>955.04846191406295</v>
      </c>
      <c r="G303" s="895">
        <v>1077.86633300781</v>
      </c>
      <c r="H303" s="895">
        <v>1148.54699707031</v>
      </c>
      <c r="I303" s="895">
        <v>1207.94384765625</v>
      </c>
      <c r="J303" s="895">
        <v>1257.74011230469</v>
      </c>
      <c r="K303" s="895">
        <v>1300.96545410156</v>
      </c>
      <c r="L303" s="895">
        <v>1336.14599609375</v>
      </c>
      <c r="M303" s="895">
        <v>1374.056640625</v>
      </c>
      <c r="N303" s="895">
        <v>1407.96081542969</v>
      </c>
      <c r="O303" s="895">
        <v>1434.26879882813</v>
      </c>
      <c r="P303" s="895">
        <v>1460.109375</v>
      </c>
      <c r="Q303" s="895">
        <v>1472.62280273438</v>
      </c>
      <c r="R303" s="895">
        <v>1481.71179199219</v>
      </c>
      <c r="S303" s="895">
        <v>1495.50146484375</v>
      </c>
      <c r="T303" s="895">
        <v>1511.28991699219</v>
      </c>
      <c r="U303" s="895">
        <v>1515.76086425781</v>
      </c>
      <c r="V303" s="895">
        <v>1537.984375</v>
      </c>
      <c r="W303" s="895">
        <v>1548.59838867188</v>
      </c>
      <c r="X303" s="895">
        <v>1581.01184082031</v>
      </c>
      <c r="Y303" s="895">
        <v>1613.3525390625</v>
      </c>
      <c r="Z303" s="895">
        <v>1627.90478515625</v>
      </c>
      <c r="AA303" s="306"/>
      <c r="AB303" s="306"/>
      <c r="AC303" s="306"/>
      <c r="AD303" s="306"/>
    </row>
    <row r="304" spans="1:30" x14ac:dyDescent="0.2">
      <c r="A304" s="893" t="s">
        <v>629</v>
      </c>
      <c r="B304" s="895">
        <v>3.2131362706422799E-2</v>
      </c>
      <c r="C304" s="895">
        <v>4.0145620703697198E-2</v>
      </c>
      <c r="D304" s="895">
        <v>3.7687420845031697E-2</v>
      </c>
      <c r="E304" s="895">
        <v>2.54867300391197E-2</v>
      </c>
      <c r="F304" s="895">
        <v>5.4010055959224701E-2</v>
      </c>
      <c r="G304" s="895">
        <v>6.77362531423569E-2</v>
      </c>
      <c r="H304" s="895">
        <v>8.3178348839283003E-2</v>
      </c>
      <c r="I304" s="895">
        <v>9.4869345426559407E-2</v>
      </c>
      <c r="J304" s="895">
        <v>0.113030456006527</v>
      </c>
      <c r="K304" s="895">
        <v>1.97330021858215</v>
      </c>
      <c r="L304" s="895">
        <v>4.8567194938659703</v>
      </c>
      <c r="M304" s="895">
        <v>6.7303171157836896</v>
      </c>
      <c r="N304" s="895">
        <v>10.514961242675801</v>
      </c>
      <c r="O304" s="895">
        <v>15.7356252670288</v>
      </c>
      <c r="P304" s="895">
        <v>22.100711822509801</v>
      </c>
      <c r="Q304" s="895">
        <v>25.9892463684082</v>
      </c>
      <c r="R304" s="895">
        <v>35.539012908935497</v>
      </c>
      <c r="S304" s="895">
        <v>35.597633361816399</v>
      </c>
      <c r="T304" s="895">
        <v>34.1677055358887</v>
      </c>
      <c r="U304" s="895">
        <v>35.613494873046903</v>
      </c>
      <c r="V304" s="895">
        <v>37.140151977539098</v>
      </c>
      <c r="W304" s="895">
        <v>45.276290893554702</v>
      </c>
      <c r="X304" s="895">
        <v>47.974498748779297</v>
      </c>
      <c r="Y304" s="895">
        <v>53.190200805664098</v>
      </c>
      <c r="Z304" s="895">
        <v>54.179977416992202</v>
      </c>
      <c r="AA304" s="306"/>
      <c r="AB304" s="306"/>
      <c r="AC304" s="306"/>
      <c r="AD304" s="306"/>
    </row>
    <row r="305" spans="1:30" x14ac:dyDescent="0.2">
      <c r="A305" s="893" t="s">
        <v>518</v>
      </c>
      <c r="B305" s="895">
        <v>1182.12585449219</v>
      </c>
      <c r="C305" s="895">
        <v>1235.06726074219</v>
      </c>
      <c r="D305" s="895">
        <v>1375.71740722656</v>
      </c>
      <c r="E305" s="895">
        <v>962.90069580078102</v>
      </c>
      <c r="F305" s="895">
        <v>955.10247802734398</v>
      </c>
      <c r="G305" s="895">
        <v>1077.93408203125</v>
      </c>
      <c r="H305" s="895">
        <v>1148.63012695313</v>
      </c>
      <c r="I305" s="895">
        <v>1208.03869628906</v>
      </c>
      <c r="J305" s="895">
        <v>1257.85314941406</v>
      </c>
      <c r="K305" s="895">
        <v>1302.93872070313</v>
      </c>
      <c r="L305" s="895">
        <v>1341.00268554688</v>
      </c>
      <c r="M305" s="895">
        <v>1380.78698730469</v>
      </c>
      <c r="N305" s="895">
        <v>1418.47583007813</v>
      </c>
      <c r="O305" s="895">
        <v>1450.00439453125</v>
      </c>
      <c r="P305" s="895">
        <v>1482.21008300781</v>
      </c>
      <c r="Q305" s="895">
        <v>1498.61206054688</v>
      </c>
      <c r="R305" s="895">
        <v>1517.25085449219</v>
      </c>
      <c r="S305" s="895">
        <v>1531.09912109375</v>
      </c>
      <c r="T305" s="895">
        <v>1545.45764160156</v>
      </c>
      <c r="U305" s="895">
        <v>1551.37438964844</v>
      </c>
      <c r="V305" s="895">
        <v>1575.12451171875</v>
      </c>
      <c r="W305" s="895">
        <v>1593.87463378906</v>
      </c>
      <c r="X305" s="895">
        <v>1628.986328125</v>
      </c>
      <c r="Y305" s="895">
        <v>1666.54272460938</v>
      </c>
      <c r="Z305" s="895">
        <v>1682.08471679688</v>
      </c>
      <c r="AA305" s="306"/>
      <c r="AB305" s="306"/>
      <c r="AC305" s="306"/>
      <c r="AD305" s="306"/>
    </row>
    <row r="306" spans="1:30" x14ac:dyDescent="0.2">
      <c r="AA306" s="306"/>
      <c r="AB306" s="306"/>
      <c r="AC306" s="306"/>
      <c r="AD306" s="306"/>
    </row>
    <row r="307" spans="1:30" x14ac:dyDescent="0.2">
      <c r="AA307" s="306"/>
      <c r="AB307" s="306"/>
      <c r="AC307" s="306"/>
      <c r="AD307" s="306"/>
    </row>
    <row r="308" spans="1:30" x14ac:dyDescent="0.2">
      <c r="A308" s="893" t="s">
        <v>726</v>
      </c>
      <c r="AA308" s="306"/>
      <c r="AB308" s="306"/>
      <c r="AC308" s="306"/>
      <c r="AD308" s="306"/>
    </row>
    <row r="309" spans="1:30" x14ac:dyDescent="0.2">
      <c r="A309" s="893" t="s">
        <v>473</v>
      </c>
      <c r="AA309" s="306"/>
      <c r="AB309" s="306"/>
      <c r="AC309" s="306"/>
      <c r="AD309" s="306"/>
    </row>
    <row r="310" spans="1:30" x14ac:dyDescent="0.2">
      <c r="A310" s="893" t="s">
        <v>609</v>
      </c>
      <c r="B310" s="895">
        <v>23.2563285827637</v>
      </c>
      <c r="C310" s="895">
        <v>24.973464965820298</v>
      </c>
      <c r="D310" s="895">
        <v>29.096658706665</v>
      </c>
      <c r="E310" s="895">
        <v>22.194786071777301</v>
      </c>
      <c r="F310" s="895">
        <v>21.477947235107401</v>
      </c>
      <c r="G310" s="895">
        <v>24.1509113311768</v>
      </c>
      <c r="H310" s="895">
        <v>26.557428359985401</v>
      </c>
      <c r="I310" s="895">
        <v>28.936630249023398</v>
      </c>
      <c r="J310" s="895">
        <v>31.2247924804688</v>
      </c>
      <c r="K310" s="895">
        <v>33.758499145507798</v>
      </c>
      <c r="L310" s="895">
        <v>35.743316650390597</v>
      </c>
      <c r="M310" s="895">
        <v>37.599853515625</v>
      </c>
      <c r="N310" s="895">
        <v>39.552177429199197</v>
      </c>
      <c r="O310" s="895">
        <v>40.9905815124512</v>
      </c>
      <c r="P310" s="895">
        <v>42.334590911865199</v>
      </c>
      <c r="Q310" s="895">
        <v>43.7123832702637</v>
      </c>
      <c r="R310" s="895">
        <v>44.985881805419901</v>
      </c>
      <c r="S310" s="895">
        <v>46.523696899414098</v>
      </c>
      <c r="T310" s="895">
        <v>47.765018463134801</v>
      </c>
      <c r="U310" s="895">
        <v>48.143123626708999</v>
      </c>
      <c r="V310" s="895">
        <v>49.548942565917997</v>
      </c>
      <c r="W310" s="895">
        <v>50.986961364746101</v>
      </c>
      <c r="X310" s="895">
        <v>52.580905914306598</v>
      </c>
      <c r="Y310" s="895">
        <v>53.965934753417997</v>
      </c>
      <c r="Z310" s="895">
        <v>55.648300170898402</v>
      </c>
      <c r="AA310" s="306"/>
      <c r="AB310" s="306"/>
      <c r="AC310" s="306"/>
      <c r="AD310" s="306"/>
    </row>
    <row r="311" spans="1:30" x14ac:dyDescent="0.2">
      <c r="A311" s="893" t="s">
        <v>610</v>
      </c>
      <c r="B311" s="895">
        <v>17.979913711547901</v>
      </c>
      <c r="C311" s="895">
        <v>19.664405822753899</v>
      </c>
      <c r="D311" s="895">
        <v>24.466548919677699</v>
      </c>
      <c r="E311" s="895">
        <v>16.188474655151399</v>
      </c>
      <c r="F311" s="895">
        <v>13.8549404144287</v>
      </c>
      <c r="G311" s="895">
        <v>16.4927158355713</v>
      </c>
      <c r="H311" s="895">
        <v>18.5955104827881</v>
      </c>
      <c r="I311" s="895">
        <v>20.348911285400401</v>
      </c>
      <c r="J311" s="895">
        <v>22.1809597015381</v>
      </c>
      <c r="K311" s="895">
        <v>24.3712253570557</v>
      </c>
      <c r="L311" s="895">
        <v>25.9372863769531</v>
      </c>
      <c r="M311" s="895">
        <v>27.5034885406494</v>
      </c>
      <c r="N311" s="895">
        <v>29.0146675109863</v>
      </c>
      <c r="O311" s="895">
        <v>30.168525695800799</v>
      </c>
      <c r="P311" s="895">
        <v>31.2883205413818</v>
      </c>
      <c r="Q311" s="895">
        <v>32.275276184082003</v>
      </c>
      <c r="R311" s="895">
        <v>33.246475219726598</v>
      </c>
      <c r="S311" s="895">
        <v>34.4459838867188</v>
      </c>
      <c r="T311" s="895">
        <v>35.640113830566399</v>
      </c>
      <c r="U311" s="895">
        <v>35.882171630859403</v>
      </c>
      <c r="V311" s="895">
        <v>37.065284729003899</v>
      </c>
      <c r="W311" s="895">
        <v>38.310382843017599</v>
      </c>
      <c r="X311" s="895">
        <v>39.641868591308601</v>
      </c>
      <c r="Y311" s="895">
        <v>40.905982971191399</v>
      </c>
      <c r="Z311" s="895">
        <v>42.365245819091797</v>
      </c>
      <c r="AA311" s="306"/>
      <c r="AB311" s="306"/>
      <c r="AC311" s="306"/>
      <c r="AD311" s="306"/>
    </row>
    <row r="312" spans="1:30" x14ac:dyDescent="0.2">
      <c r="A312" s="893" t="s">
        <v>510</v>
      </c>
      <c r="B312" s="895">
        <v>13.3406887054443</v>
      </c>
      <c r="C312" s="895">
        <v>12.691158294677701</v>
      </c>
      <c r="D312" s="895">
        <v>13.2631158828735</v>
      </c>
      <c r="E312" s="895">
        <v>11.061133384704601</v>
      </c>
      <c r="F312" s="895">
        <v>11.614992141723601</v>
      </c>
      <c r="G312" s="895">
        <v>12.061012268066399</v>
      </c>
      <c r="H312" s="895">
        <v>12.1186227798462</v>
      </c>
      <c r="I312" s="895">
        <v>12.236530303955099</v>
      </c>
      <c r="J312" s="895">
        <v>12.476335525512701</v>
      </c>
      <c r="K312" s="895">
        <v>12.8177757263184</v>
      </c>
      <c r="L312" s="895">
        <v>13.333586692810099</v>
      </c>
      <c r="M312" s="895">
        <v>13.900782585144</v>
      </c>
      <c r="N312" s="895">
        <v>14.492022514343301</v>
      </c>
      <c r="O312" s="895">
        <v>15.1641521453857</v>
      </c>
      <c r="P312" s="895">
        <v>15.945101737976101</v>
      </c>
      <c r="Q312" s="895">
        <v>16.661958694458001</v>
      </c>
      <c r="R312" s="895">
        <v>17.186347961425799</v>
      </c>
      <c r="S312" s="895">
        <v>17.308622360229499</v>
      </c>
      <c r="T312" s="895">
        <v>17.6488857269287</v>
      </c>
      <c r="U312" s="895">
        <v>17.9868679046631</v>
      </c>
      <c r="V312" s="895">
        <v>18.635103225708001</v>
      </c>
      <c r="W312" s="895">
        <v>19.4500408172607</v>
      </c>
      <c r="X312" s="895">
        <v>20.3657627105713</v>
      </c>
      <c r="Y312" s="895">
        <v>21.1996364593506</v>
      </c>
      <c r="Z312" s="895">
        <v>22.095756530761701</v>
      </c>
      <c r="AA312" s="306"/>
      <c r="AB312" s="306"/>
      <c r="AC312" s="306"/>
      <c r="AD312" s="306"/>
    </row>
    <row r="313" spans="1:30" x14ac:dyDescent="0.2">
      <c r="A313" s="893" t="s">
        <v>479</v>
      </c>
      <c r="B313" s="895">
        <v>30.388185501098601</v>
      </c>
      <c r="C313" s="895">
        <v>31.181957244873001</v>
      </c>
      <c r="D313" s="895">
        <v>32.471218109130902</v>
      </c>
      <c r="E313" s="895">
        <v>31.722009658813501</v>
      </c>
      <c r="F313" s="895">
        <v>29.6958332061768</v>
      </c>
      <c r="G313" s="895">
        <v>31.365653991699201</v>
      </c>
      <c r="H313" s="895">
        <v>32.001548767089801</v>
      </c>
      <c r="I313" s="895">
        <v>32.924289703369098</v>
      </c>
      <c r="J313" s="895">
        <v>34.030689239502003</v>
      </c>
      <c r="K313" s="895">
        <v>34.890899658203097</v>
      </c>
      <c r="L313" s="895">
        <v>35.995761871337898</v>
      </c>
      <c r="M313" s="895">
        <v>37.227577209472699</v>
      </c>
      <c r="N313" s="895">
        <v>38.5026245117188</v>
      </c>
      <c r="O313" s="895">
        <v>39.672031402587898</v>
      </c>
      <c r="P313" s="895">
        <v>41.180412292480497</v>
      </c>
      <c r="Q313" s="895">
        <v>42.698352813720703</v>
      </c>
      <c r="R313" s="895">
        <v>44.053905487060497</v>
      </c>
      <c r="S313" s="895">
        <v>45.011627197265597</v>
      </c>
      <c r="T313" s="895">
        <v>46.023651123046903</v>
      </c>
      <c r="U313" s="895">
        <v>46.971866607666001</v>
      </c>
      <c r="V313" s="895">
        <v>48.032154083252003</v>
      </c>
      <c r="W313" s="895">
        <v>49.565544128417997</v>
      </c>
      <c r="X313" s="895">
        <v>51.240451812744098</v>
      </c>
      <c r="Y313" s="895">
        <v>52.949665069580099</v>
      </c>
      <c r="Z313" s="895">
        <v>54.583251953125</v>
      </c>
      <c r="AA313" s="306"/>
      <c r="AB313" s="306"/>
      <c r="AC313" s="306"/>
      <c r="AD313" s="306"/>
    </row>
    <row r="314" spans="1:30" x14ac:dyDescent="0.2">
      <c r="AA314" s="306"/>
      <c r="AB314" s="306"/>
      <c r="AC314" s="306"/>
      <c r="AD314" s="306"/>
    </row>
    <row r="315" spans="1:30" x14ac:dyDescent="0.2">
      <c r="A315" s="893" t="s">
        <v>480</v>
      </c>
      <c r="AA315" s="306"/>
      <c r="AB315" s="306"/>
      <c r="AC315" s="306"/>
      <c r="AD315" s="306"/>
    </row>
    <row r="316" spans="1:30" x14ac:dyDescent="0.2">
      <c r="A316" s="893" t="s">
        <v>609</v>
      </c>
      <c r="B316" s="895">
        <v>20.6414604187012</v>
      </c>
      <c r="C316" s="895">
        <v>23.041419982910199</v>
      </c>
      <c r="D316" s="895">
        <v>24.0578727722168</v>
      </c>
      <c r="E316" s="895">
        <v>21.6475944519043</v>
      </c>
      <c r="F316" s="895">
        <v>18.202018737793001</v>
      </c>
      <c r="G316" s="895">
        <v>20.8180141448975</v>
      </c>
      <c r="H316" s="895">
        <v>23.171899795532202</v>
      </c>
      <c r="I316" s="895">
        <v>25.4778232574463</v>
      </c>
      <c r="J316" s="895">
        <v>27.6801948547363</v>
      </c>
      <c r="K316" s="895">
        <v>30.122516632080099</v>
      </c>
      <c r="L316" s="895">
        <v>32.012001037597699</v>
      </c>
      <c r="M316" s="895">
        <v>33.770454406738303</v>
      </c>
      <c r="N316" s="895">
        <v>35.6212158203125</v>
      </c>
      <c r="O316" s="895">
        <v>36.9546508789063</v>
      </c>
      <c r="P316" s="895">
        <v>38.187240600585902</v>
      </c>
      <c r="Q316" s="895">
        <v>39.449775695800803</v>
      </c>
      <c r="R316" s="895">
        <v>40.605808258056598</v>
      </c>
      <c r="S316" s="895">
        <v>42.0293998718262</v>
      </c>
      <c r="T316" s="895">
        <v>43.160079956054702</v>
      </c>
      <c r="U316" s="895">
        <v>43.432140350341797</v>
      </c>
      <c r="V316" s="895">
        <v>44.7312202453613</v>
      </c>
      <c r="W316" s="895">
        <v>46.061283111572301</v>
      </c>
      <c r="X316" s="895">
        <v>47.542713165283203</v>
      </c>
      <c r="Y316" s="895">
        <v>48.814918518066399</v>
      </c>
      <c r="Z316" s="895">
        <v>50.382663726806598</v>
      </c>
      <c r="AA316" s="306"/>
      <c r="AB316" s="306"/>
      <c r="AC316" s="306"/>
      <c r="AD316" s="306"/>
    </row>
    <row r="317" spans="1:30" x14ac:dyDescent="0.2">
      <c r="A317" s="893" t="s">
        <v>610</v>
      </c>
      <c r="B317" s="895">
        <v>14.625953674316399</v>
      </c>
      <c r="C317" s="895">
        <v>16.054100036621101</v>
      </c>
      <c r="D317" s="895">
        <v>21.4175109863281</v>
      </c>
      <c r="E317" s="895">
        <v>14.1806936264038</v>
      </c>
      <c r="F317" s="895">
        <v>11.1656141281128</v>
      </c>
      <c r="G317" s="895">
        <v>13.940697669982899</v>
      </c>
      <c r="H317" s="895">
        <v>16.055301666259801</v>
      </c>
      <c r="I317" s="895">
        <v>18.2004089355469</v>
      </c>
      <c r="J317" s="895">
        <v>20.072311401367202</v>
      </c>
      <c r="K317" s="895">
        <v>21.922914505004901</v>
      </c>
      <c r="L317" s="895">
        <v>23.436100006103501</v>
      </c>
      <c r="M317" s="895">
        <v>24.993484497070298</v>
      </c>
      <c r="N317" s="895">
        <v>26.4673175811768</v>
      </c>
      <c r="O317" s="895">
        <v>27.614213943481399</v>
      </c>
      <c r="P317" s="895">
        <v>28.7058811187744</v>
      </c>
      <c r="Q317" s="895">
        <v>29.4854850769043</v>
      </c>
      <c r="R317" s="895">
        <v>30.5256862640381</v>
      </c>
      <c r="S317" s="895">
        <v>31.597146987915</v>
      </c>
      <c r="T317" s="895">
        <v>32.548923492431598</v>
      </c>
      <c r="U317" s="895">
        <v>32.997859954833999</v>
      </c>
      <c r="V317" s="895">
        <v>34.165657043457003</v>
      </c>
      <c r="W317" s="895">
        <v>35.000114440917997</v>
      </c>
      <c r="X317" s="895">
        <v>36.3691596984863</v>
      </c>
      <c r="Y317" s="895">
        <v>37.943679809570298</v>
      </c>
      <c r="Z317" s="895">
        <v>39.006439208984403</v>
      </c>
      <c r="AA317" s="306"/>
      <c r="AB317" s="306"/>
      <c r="AC317" s="306"/>
      <c r="AD317" s="306"/>
    </row>
    <row r="318" spans="1:30" x14ac:dyDescent="0.2">
      <c r="A318" s="893" t="s">
        <v>723</v>
      </c>
      <c r="B318" s="895">
        <v>8.64862155914307</v>
      </c>
      <c r="C318" s="895">
        <v>10.3074436187744</v>
      </c>
      <c r="D318" s="895">
        <v>13.7067270278931</v>
      </c>
      <c r="E318" s="895">
        <v>6.9139137268066397</v>
      </c>
      <c r="F318" s="895">
        <v>6.0204734802246103</v>
      </c>
      <c r="G318" s="895">
        <v>9.0269355773925799</v>
      </c>
      <c r="H318" s="895">
        <v>10.767860412597701</v>
      </c>
      <c r="I318" s="895">
        <v>12.611166954040501</v>
      </c>
      <c r="J318" s="895">
        <v>14.3083610534668</v>
      </c>
      <c r="K318" s="895">
        <v>16.269037246704102</v>
      </c>
      <c r="L318" s="895">
        <v>17.569841384887699</v>
      </c>
      <c r="M318" s="895">
        <v>18.511304855346701</v>
      </c>
      <c r="N318" s="895">
        <v>19.7891235351563</v>
      </c>
      <c r="O318" s="895">
        <v>20.573390960693398</v>
      </c>
      <c r="P318" s="895">
        <v>21.404872894287099</v>
      </c>
      <c r="Q318" s="895">
        <v>22.193275451660199</v>
      </c>
      <c r="R318" s="895">
        <v>22.9593410491943</v>
      </c>
      <c r="S318" s="895">
        <v>23.7928276062012</v>
      </c>
      <c r="T318" s="895">
        <v>24.398706436157202</v>
      </c>
      <c r="U318" s="895">
        <v>24.292516708373999</v>
      </c>
      <c r="V318" s="895">
        <v>25.0136394500732</v>
      </c>
      <c r="W318" s="895">
        <v>25.751762390136701</v>
      </c>
      <c r="X318" s="895">
        <v>26.606601715087901</v>
      </c>
      <c r="Y318" s="895">
        <v>27.4516487121582</v>
      </c>
      <c r="Z318" s="895">
        <v>28.286119461059599</v>
      </c>
      <c r="AA318" s="306"/>
      <c r="AB318" s="306"/>
      <c r="AC318" s="306"/>
      <c r="AD318" s="306"/>
    </row>
    <row r="319" spans="1:30" x14ac:dyDescent="0.2">
      <c r="A319" s="893" t="s">
        <v>510</v>
      </c>
      <c r="B319" s="895">
        <v>11.5840444564819</v>
      </c>
      <c r="C319" s="895">
        <v>10.9898433685303</v>
      </c>
      <c r="D319" s="895">
        <v>11.588038444519</v>
      </c>
      <c r="E319" s="895">
        <v>9.1930990219116193</v>
      </c>
      <c r="F319" s="895">
        <v>9.8226709365844709</v>
      </c>
      <c r="G319" s="895">
        <v>10.233100891113301</v>
      </c>
      <c r="H319" s="895">
        <v>10.334647178649901</v>
      </c>
      <c r="I319" s="895">
        <v>10.4663095474243</v>
      </c>
      <c r="J319" s="895">
        <v>10.734943389892599</v>
      </c>
      <c r="K319" s="895">
        <v>11.106437683105501</v>
      </c>
      <c r="L319" s="895">
        <v>11.600093841552701</v>
      </c>
      <c r="M319" s="895">
        <v>12.1229543685913</v>
      </c>
      <c r="N319" s="895">
        <v>12.6781578063965</v>
      </c>
      <c r="O319" s="895">
        <v>13.3144483566284</v>
      </c>
      <c r="P319" s="895">
        <v>14.069993019104</v>
      </c>
      <c r="Q319" s="895">
        <v>14.7329454421997</v>
      </c>
      <c r="R319" s="895">
        <v>15.223674774169901</v>
      </c>
      <c r="S319" s="895">
        <v>15.329276084899901</v>
      </c>
      <c r="T319" s="895">
        <v>15.6546773910522</v>
      </c>
      <c r="U319" s="895">
        <v>15.9318437576294</v>
      </c>
      <c r="V319" s="895">
        <v>16.5416469573975</v>
      </c>
      <c r="W319" s="895">
        <v>17.316057205200199</v>
      </c>
      <c r="X319" s="895">
        <v>18.194717407226602</v>
      </c>
      <c r="Y319" s="895">
        <v>18.967941284179702</v>
      </c>
      <c r="Z319" s="895">
        <v>19.811794281005898</v>
      </c>
      <c r="AA319" s="306"/>
      <c r="AB319" s="306"/>
      <c r="AC319" s="306"/>
      <c r="AD319" s="306"/>
    </row>
    <row r="320" spans="1:30" x14ac:dyDescent="0.2">
      <c r="A320" s="893" t="s">
        <v>479</v>
      </c>
      <c r="B320" s="895">
        <v>27.631908416748001</v>
      </c>
      <c r="C320" s="895">
        <v>28.029735565185501</v>
      </c>
      <c r="D320" s="895">
        <v>29.6960258483887</v>
      </c>
      <c r="E320" s="895">
        <v>28.491619110107401</v>
      </c>
      <c r="F320" s="895">
        <v>25.7724418640137</v>
      </c>
      <c r="G320" s="895">
        <v>26.858903884887699</v>
      </c>
      <c r="H320" s="895">
        <v>27.045906066894499</v>
      </c>
      <c r="I320" s="895">
        <v>27.5620422363281</v>
      </c>
      <c r="J320" s="895">
        <v>28.370775222778299</v>
      </c>
      <c r="K320" s="895">
        <v>29.106733322143601</v>
      </c>
      <c r="L320" s="895">
        <v>30.1617736816406</v>
      </c>
      <c r="M320" s="895">
        <v>31.290737152099599</v>
      </c>
      <c r="N320" s="895">
        <v>32.536418914794901</v>
      </c>
      <c r="O320" s="895">
        <v>33.661582946777301</v>
      </c>
      <c r="P320" s="895">
        <v>35.072307586669901</v>
      </c>
      <c r="Q320" s="895">
        <v>36.4632377624512</v>
      </c>
      <c r="R320" s="895">
        <v>37.713531494140597</v>
      </c>
      <c r="S320" s="895">
        <v>38.535266876220703</v>
      </c>
      <c r="T320" s="895">
        <v>39.429233551025398</v>
      </c>
      <c r="U320" s="895">
        <v>40.172752380371101</v>
      </c>
      <c r="V320" s="895">
        <v>41.0662841796875</v>
      </c>
      <c r="W320" s="895">
        <v>42.386928558349602</v>
      </c>
      <c r="X320" s="895">
        <v>43.920989990234403</v>
      </c>
      <c r="Y320" s="895">
        <v>45.4139213562012</v>
      </c>
      <c r="Z320" s="895">
        <v>46.925571441650398</v>
      </c>
      <c r="AA320" s="306"/>
      <c r="AB320" s="306"/>
      <c r="AC320" s="306"/>
      <c r="AD320" s="306"/>
    </row>
    <row r="321" spans="1:30" x14ac:dyDescent="0.2">
      <c r="AA321" s="306"/>
      <c r="AB321" s="306"/>
      <c r="AC321" s="306"/>
      <c r="AD321" s="306"/>
    </row>
    <row r="322" spans="1:30" x14ac:dyDescent="0.2">
      <c r="A322" s="893" t="s">
        <v>612</v>
      </c>
      <c r="AA322" s="306"/>
      <c r="AB322" s="306"/>
      <c r="AC322" s="306"/>
      <c r="AD322" s="306"/>
    </row>
    <row r="323" spans="1:30" x14ac:dyDescent="0.2">
      <c r="A323" s="893" t="s">
        <v>609</v>
      </c>
      <c r="B323" s="895">
        <v>20.489143371581999</v>
      </c>
      <c r="C323" s="895">
        <v>23.3795166015625</v>
      </c>
      <c r="D323" s="895">
        <v>27.232301712036101</v>
      </c>
      <c r="E323" s="895">
        <v>22.957033157348601</v>
      </c>
      <c r="F323" s="895">
        <v>17.265552520751999</v>
      </c>
      <c r="G323" s="895">
        <v>19.8652458190918</v>
      </c>
      <c r="H323" s="895">
        <v>22.207704544067401</v>
      </c>
      <c r="I323" s="895">
        <v>24.495702743530298</v>
      </c>
      <c r="J323" s="895">
        <v>26.6714878082275</v>
      </c>
      <c r="K323" s="895">
        <v>29.0830192565918</v>
      </c>
      <c r="L323" s="895">
        <v>30.951156616210898</v>
      </c>
      <c r="M323" s="895">
        <v>32.690711975097699</v>
      </c>
      <c r="N323" s="895">
        <v>34.514808654785199</v>
      </c>
      <c r="O323" s="895">
        <v>35.846107482910199</v>
      </c>
      <c r="P323" s="895">
        <v>37.040077209472699</v>
      </c>
      <c r="Q323" s="895">
        <v>38.301750183105497</v>
      </c>
      <c r="R323" s="895">
        <v>39.421558380127003</v>
      </c>
      <c r="S323" s="895">
        <v>40.814861297607401</v>
      </c>
      <c r="T323" s="895">
        <v>41.884078979492202</v>
      </c>
      <c r="U323" s="895">
        <v>42.155609130859403</v>
      </c>
      <c r="V323" s="895">
        <v>43.402267456054702</v>
      </c>
      <c r="W323" s="895">
        <v>44.705905914306598</v>
      </c>
      <c r="X323" s="895">
        <v>46.153343200683601</v>
      </c>
      <c r="Y323" s="895">
        <v>47.236614227294901</v>
      </c>
      <c r="Z323" s="895">
        <v>48.820529937744098</v>
      </c>
      <c r="AA323" s="306"/>
      <c r="AB323" s="306"/>
      <c r="AC323" s="306"/>
      <c r="AD323" s="306"/>
    </row>
    <row r="324" spans="1:30" x14ac:dyDescent="0.2">
      <c r="A324" s="893" t="s">
        <v>610</v>
      </c>
      <c r="B324" s="895">
        <v>15.3226671218872</v>
      </c>
      <c r="C324" s="895">
        <v>16.8219394683838</v>
      </c>
      <c r="D324" s="895">
        <v>22.4200763702393</v>
      </c>
      <c r="E324" s="895">
        <v>14.749831199646</v>
      </c>
      <c r="F324" s="895">
        <v>11.025536537170399</v>
      </c>
      <c r="G324" s="895">
        <v>14.0721025466919</v>
      </c>
      <c r="H324" s="895">
        <v>16.2283020019531</v>
      </c>
      <c r="I324" s="895">
        <v>18.6841716766357</v>
      </c>
      <c r="J324" s="895">
        <v>20.619239807128899</v>
      </c>
      <c r="K324" s="895">
        <v>22.302150726318398</v>
      </c>
      <c r="L324" s="895">
        <v>23.831027984619102</v>
      </c>
      <c r="M324" s="895">
        <v>25.434989929199201</v>
      </c>
      <c r="N324" s="895">
        <v>26.940843582153299</v>
      </c>
      <c r="O324" s="895">
        <v>28.1489963531494</v>
      </c>
      <c r="P324" s="895">
        <v>29.2844352722168</v>
      </c>
      <c r="Q324" s="895">
        <v>29.987220764160199</v>
      </c>
      <c r="R324" s="895">
        <v>31.1475830078125</v>
      </c>
      <c r="S324" s="895">
        <v>32.191192626953097</v>
      </c>
      <c r="T324" s="895">
        <v>33.043167114257798</v>
      </c>
      <c r="U324" s="895">
        <v>33.6753120422363</v>
      </c>
      <c r="V324" s="895">
        <v>34.892765045166001</v>
      </c>
      <c r="W324" s="895">
        <v>35.508182525634801</v>
      </c>
      <c r="X324" s="895">
        <v>36.966400146484403</v>
      </c>
      <c r="Y324" s="895">
        <v>38.821296691894503</v>
      </c>
      <c r="Z324" s="895">
        <v>39.679729461669901</v>
      </c>
      <c r="AA324" s="306"/>
      <c r="AB324" s="306"/>
      <c r="AC324" s="306"/>
      <c r="AD324" s="306"/>
    </row>
    <row r="325" spans="1:30" x14ac:dyDescent="0.2">
      <c r="A325" s="893" t="s">
        <v>611</v>
      </c>
      <c r="B325" s="895">
        <v>8.9709205627441406</v>
      </c>
      <c r="C325" s="895">
        <v>10.5954837799072</v>
      </c>
      <c r="D325" s="895">
        <v>14.049506187439</v>
      </c>
      <c r="E325" s="895">
        <v>7.1343002319335902</v>
      </c>
      <c r="F325" s="895">
        <v>10.215766906738301</v>
      </c>
      <c r="G325" s="895">
        <v>12.8617763519287</v>
      </c>
      <c r="H325" s="895">
        <v>14.814771652221699</v>
      </c>
      <c r="I325" s="895">
        <v>16.696189880371101</v>
      </c>
      <c r="J325" s="895">
        <v>18.396284103393601</v>
      </c>
      <c r="K325" s="895">
        <v>20.378862380981399</v>
      </c>
      <c r="L325" s="895">
        <v>21.7460041046143</v>
      </c>
      <c r="M325" s="895">
        <v>22.969861984252901</v>
      </c>
      <c r="N325" s="895">
        <v>24.3396511077881</v>
      </c>
      <c r="O325" s="895">
        <v>25.3345756530762</v>
      </c>
      <c r="P325" s="895">
        <v>26.3205471038818</v>
      </c>
      <c r="Q325" s="895">
        <v>27.310920715331999</v>
      </c>
      <c r="R325" s="895">
        <v>28.174968719482401</v>
      </c>
      <c r="S325" s="895">
        <v>29.129919052123999</v>
      </c>
      <c r="T325" s="895">
        <v>29.910713195800799</v>
      </c>
      <c r="U325" s="895">
        <v>30.004579544067401</v>
      </c>
      <c r="V325" s="895">
        <v>30.867444992065401</v>
      </c>
      <c r="W325" s="895">
        <v>31.741449356079102</v>
      </c>
      <c r="X325" s="895">
        <v>32.901214599609403</v>
      </c>
      <c r="Y325" s="895">
        <v>33.791465759277301</v>
      </c>
      <c r="Z325" s="895">
        <v>34.9404487609863</v>
      </c>
      <c r="AA325" s="306"/>
      <c r="AB325" s="306"/>
      <c r="AC325" s="306"/>
      <c r="AD325" s="306"/>
    </row>
    <row r="326" spans="1:30" x14ac:dyDescent="0.2">
      <c r="A326" s="893" t="s">
        <v>613</v>
      </c>
      <c r="B326" s="895">
        <v>7.7454247474670401</v>
      </c>
      <c r="C326" s="895">
        <v>7.5152516365051296</v>
      </c>
      <c r="D326" s="895">
        <v>8.9947338104247994</v>
      </c>
      <c r="E326" s="895">
        <v>5.0039734840393102</v>
      </c>
      <c r="F326" s="895">
        <v>5.7063522338867196</v>
      </c>
      <c r="G326" s="895">
        <v>6.1171517372131303</v>
      </c>
      <c r="H326" s="895">
        <v>6.2487673759460396</v>
      </c>
      <c r="I326" s="895">
        <v>6.4428400993347203</v>
      </c>
      <c r="J326" s="895">
        <v>6.7520828247070304</v>
      </c>
      <c r="K326" s="895">
        <v>7.1508984565734899</v>
      </c>
      <c r="L326" s="895">
        <v>7.5258989334106401</v>
      </c>
      <c r="M326" s="895">
        <v>7.9240221977233896</v>
      </c>
      <c r="N326" s="895">
        <v>8.3488731384277308</v>
      </c>
      <c r="O326" s="895">
        <v>8.8619937896728498</v>
      </c>
      <c r="P326" s="895">
        <v>9.4837093353271502</v>
      </c>
      <c r="Q326" s="895">
        <v>9.9987487792968803</v>
      </c>
      <c r="R326" s="895">
        <v>10.352954864501999</v>
      </c>
      <c r="S326" s="895">
        <v>10.3336448669434</v>
      </c>
      <c r="T326" s="895">
        <v>10.549848556518601</v>
      </c>
      <c r="U326" s="895">
        <v>10.6489877700806</v>
      </c>
      <c r="V326" s="895">
        <v>11.076291084289601</v>
      </c>
      <c r="W326" s="895">
        <v>11.6912574768066</v>
      </c>
      <c r="X326" s="895">
        <v>12.4464559555054</v>
      </c>
      <c r="Y326" s="895">
        <v>13.0579080581665</v>
      </c>
      <c r="Z326" s="895">
        <v>13.758059501647899</v>
      </c>
      <c r="AA326" s="306"/>
      <c r="AB326" s="306"/>
      <c r="AC326" s="306"/>
      <c r="AD326" s="306"/>
    </row>
    <row r="327" spans="1:30" x14ac:dyDescent="0.2">
      <c r="A327" s="893" t="s">
        <v>614</v>
      </c>
      <c r="B327" s="895">
        <v>3.53999996185303</v>
      </c>
      <c r="C327" s="895">
        <v>3.6099998950958301</v>
      </c>
      <c r="D327" s="895">
        <v>4.1449666023254403</v>
      </c>
      <c r="E327" s="895">
        <v>4.1784791946411097</v>
      </c>
      <c r="F327" s="895">
        <v>4.1485314369201696</v>
      </c>
      <c r="G327" s="895">
        <v>4.3175525665283203</v>
      </c>
      <c r="H327" s="895">
        <v>4.44484186172485</v>
      </c>
      <c r="I327" s="895">
        <v>4.5821456909179696</v>
      </c>
      <c r="J327" s="895">
        <v>4.7206311225891104</v>
      </c>
      <c r="K327" s="895">
        <v>4.8563599586486799</v>
      </c>
      <c r="L327" s="895">
        <v>4.9913563728332502</v>
      </c>
      <c r="M327" s="895">
        <v>5.1233406066894496</v>
      </c>
      <c r="N327" s="895">
        <v>5.2680139541626003</v>
      </c>
      <c r="O327" s="895">
        <v>5.4137320518493697</v>
      </c>
      <c r="P327" s="895">
        <v>5.5743689537048304</v>
      </c>
      <c r="Q327" s="895">
        <v>5.7906579971313503</v>
      </c>
      <c r="R327" s="895">
        <v>6.0209679603576696</v>
      </c>
      <c r="S327" s="895">
        <v>6.20045709609985</v>
      </c>
      <c r="T327" s="895">
        <v>6.3775997161865199</v>
      </c>
      <c r="U327" s="895">
        <v>6.5161404609680202</v>
      </c>
      <c r="V327" s="895">
        <v>6.6299972534179696</v>
      </c>
      <c r="W327" s="895">
        <v>6.7667918205261204</v>
      </c>
      <c r="X327" s="895">
        <v>6.88553714752197</v>
      </c>
      <c r="Y327" s="895">
        <v>6.9704546928405797</v>
      </c>
      <c r="Z327" s="895">
        <v>7.0137753486633301</v>
      </c>
    </row>
    <row r="328" spans="1:30" x14ac:dyDescent="0.2">
      <c r="A328" s="893" t="s">
        <v>615</v>
      </c>
      <c r="B328" s="895">
        <v>2.3399634361267099</v>
      </c>
      <c r="C328" s="895">
        <v>2.4299483299255402</v>
      </c>
      <c r="D328" s="895">
        <v>2.5979068279266402</v>
      </c>
      <c r="E328" s="895">
        <v>2.52754878997803</v>
      </c>
      <c r="F328" s="895">
        <v>2.4808654785156299</v>
      </c>
      <c r="G328" s="895">
        <v>2.6002757549285902</v>
      </c>
      <c r="H328" s="895">
        <v>2.6509947776794398</v>
      </c>
      <c r="I328" s="895">
        <v>2.73208808898926</v>
      </c>
      <c r="J328" s="895">
        <v>2.8122007846832302</v>
      </c>
      <c r="K328" s="895">
        <v>2.8687095642089799</v>
      </c>
      <c r="L328" s="895">
        <v>2.94158983230591</v>
      </c>
      <c r="M328" s="895">
        <v>3.0178208351135298</v>
      </c>
      <c r="N328" s="895">
        <v>3.1028199195861799</v>
      </c>
      <c r="O328" s="895">
        <v>3.17316722869873</v>
      </c>
      <c r="P328" s="895">
        <v>3.2616541385650599</v>
      </c>
      <c r="Q328" s="895">
        <v>3.3479356765747101</v>
      </c>
      <c r="R328" s="895">
        <v>3.4371068477630602</v>
      </c>
      <c r="S328" s="895">
        <v>3.5193088054657</v>
      </c>
      <c r="T328" s="895">
        <v>3.6053638458252002</v>
      </c>
      <c r="U328" s="895">
        <v>3.6816923618316699</v>
      </c>
      <c r="V328" s="895">
        <v>3.7800858020782502</v>
      </c>
      <c r="W328" s="895">
        <v>3.88063645362854</v>
      </c>
      <c r="X328" s="895">
        <v>3.98858737945557</v>
      </c>
      <c r="Y328" s="895">
        <v>4.1003923416137704</v>
      </c>
      <c r="Z328" s="895">
        <v>4.2166938781738299</v>
      </c>
    </row>
    <row r="329" spans="1:30" x14ac:dyDescent="0.2">
      <c r="A329" s="893" t="s">
        <v>616</v>
      </c>
      <c r="B329" s="895">
        <v>0</v>
      </c>
      <c r="C329" s="895">
        <v>0</v>
      </c>
      <c r="D329" s="895">
        <v>0</v>
      </c>
      <c r="E329" s="895">
        <v>0</v>
      </c>
      <c r="F329" s="895">
        <v>0</v>
      </c>
      <c r="G329" s="895">
        <v>1.5889266729354901</v>
      </c>
      <c r="H329" s="895">
        <v>1.46094393730164</v>
      </c>
      <c r="I329" s="895">
        <v>1.28843116760254</v>
      </c>
      <c r="J329" s="895">
        <v>1.5101318359375</v>
      </c>
      <c r="K329" s="895">
        <v>1.50810551643372</v>
      </c>
      <c r="L329" s="895">
        <v>1.5213859081268299</v>
      </c>
      <c r="M329" s="895">
        <v>1.53951179981232</v>
      </c>
      <c r="N329" s="895">
        <v>1.58338570594788</v>
      </c>
      <c r="O329" s="895">
        <v>1.63723039627075</v>
      </c>
      <c r="P329" s="895">
        <v>1.71289122104645</v>
      </c>
      <c r="Q329" s="895">
        <v>1.76114201545715</v>
      </c>
      <c r="R329" s="895">
        <v>1.8119050264358501</v>
      </c>
      <c r="S329" s="895">
        <v>1.8629466295242301</v>
      </c>
      <c r="T329" s="895">
        <v>1.9169825315475499</v>
      </c>
      <c r="U329" s="895">
        <v>1.9466364383697501</v>
      </c>
      <c r="V329" s="895">
        <v>1.9911848306655899</v>
      </c>
      <c r="W329" s="895">
        <v>2.0416746139526398</v>
      </c>
      <c r="X329" s="895">
        <v>2.09020328521729</v>
      </c>
      <c r="Y329" s="895">
        <v>2.1373581886291499</v>
      </c>
      <c r="Z329" s="895">
        <v>2.1847438812255899</v>
      </c>
    </row>
    <row r="330" spans="1:30" x14ac:dyDescent="0.2">
      <c r="A330" s="893" t="s">
        <v>479</v>
      </c>
      <c r="B330" s="895">
        <v>17.918214797973601</v>
      </c>
      <c r="C330" s="895">
        <v>18.6226921081543</v>
      </c>
      <c r="D330" s="895">
        <v>20.7813816070557</v>
      </c>
      <c r="E330" s="895">
        <v>19.773582458496101</v>
      </c>
      <c r="F330" s="895">
        <v>17.462970733642599</v>
      </c>
      <c r="G330" s="895">
        <v>18.126573562622099</v>
      </c>
      <c r="H330" s="895">
        <v>18.238889694213899</v>
      </c>
      <c r="I330" s="895">
        <v>18.4867153167725</v>
      </c>
      <c r="J330" s="895">
        <v>19.006654739379901</v>
      </c>
      <c r="K330" s="895">
        <v>19.565620422363299</v>
      </c>
      <c r="L330" s="895">
        <v>20.355871200561499</v>
      </c>
      <c r="M330" s="895">
        <v>21.173530578613299</v>
      </c>
      <c r="N330" s="895">
        <v>22.037576675415</v>
      </c>
      <c r="O330" s="895">
        <v>22.867145538330099</v>
      </c>
      <c r="P330" s="895">
        <v>23.876249313354499</v>
      </c>
      <c r="Q330" s="895">
        <v>24.851699829101602</v>
      </c>
      <c r="R330" s="895">
        <v>25.777753829956101</v>
      </c>
      <c r="S330" s="895">
        <v>26.392097473144499</v>
      </c>
      <c r="T330" s="895">
        <v>27.017583847045898</v>
      </c>
      <c r="U330" s="895">
        <v>27.588447570800799</v>
      </c>
      <c r="V330" s="895">
        <v>28.206142425537099</v>
      </c>
      <c r="W330" s="895">
        <v>29.1773777008057</v>
      </c>
      <c r="X330" s="895">
        <v>30.336851119995099</v>
      </c>
      <c r="Y330" s="895">
        <v>31.4674072265625</v>
      </c>
      <c r="Z330" s="895">
        <v>32.538986206054702</v>
      </c>
    </row>
    <row r="332" spans="1:30" x14ac:dyDescent="0.2">
      <c r="A332" s="893" t="s">
        <v>487</v>
      </c>
    </row>
    <row r="333" spans="1:30" x14ac:dyDescent="0.2">
      <c r="A333" s="893" t="s">
        <v>617</v>
      </c>
      <c r="B333" s="895">
        <v>21.711509704589801</v>
      </c>
      <c r="C333" s="895">
        <v>25.0072345733643</v>
      </c>
      <c r="D333" s="895">
        <v>29.391622543335</v>
      </c>
      <c r="E333" s="895">
        <v>22.380046844482401</v>
      </c>
      <c r="F333" s="895">
        <v>21.3089294433594</v>
      </c>
      <c r="G333" s="895">
        <v>23.935417175293001</v>
      </c>
      <c r="H333" s="895">
        <v>26.369024276733398</v>
      </c>
      <c r="I333" s="895">
        <v>28.752412796020501</v>
      </c>
      <c r="J333" s="895">
        <v>31.0282287597656</v>
      </c>
      <c r="K333" s="895">
        <v>33.547065734863303</v>
      </c>
      <c r="L333" s="895">
        <v>35.514869689941399</v>
      </c>
      <c r="M333" s="895">
        <v>37.352748870849602</v>
      </c>
      <c r="N333" s="895">
        <v>39.287044525146499</v>
      </c>
      <c r="O333" s="895">
        <v>40.7039604187012</v>
      </c>
      <c r="P333" s="895">
        <v>42.024444580078097</v>
      </c>
      <c r="Q333" s="895">
        <v>43.379894256591797</v>
      </c>
      <c r="R333" s="895">
        <v>44.630382537841797</v>
      </c>
      <c r="S333" s="895">
        <v>46.145259857177699</v>
      </c>
      <c r="T333" s="895">
        <v>47.363857269287102</v>
      </c>
      <c r="U333" s="895">
        <v>47.7197074890137</v>
      </c>
      <c r="V333" s="895">
        <v>49.102500915527301</v>
      </c>
      <c r="W333" s="895">
        <v>50.517303466796903</v>
      </c>
      <c r="X333" s="895">
        <v>52.086456298828097</v>
      </c>
      <c r="Y333" s="895">
        <v>53.442653656005902</v>
      </c>
      <c r="Z333" s="895">
        <v>55.104091644287102</v>
      </c>
    </row>
    <row r="334" spans="1:30" x14ac:dyDescent="0.2">
      <c r="A334" s="893" t="s">
        <v>618</v>
      </c>
      <c r="B334" s="895">
        <v>24.84494972229</v>
      </c>
      <c r="C334" s="895">
        <v>26.818180084228501</v>
      </c>
      <c r="D334" s="895">
        <v>34.822681427002003</v>
      </c>
      <c r="E334" s="895">
        <v>21.049989700317401</v>
      </c>
      <c r="F334" s="895">
        <v>19.580844879150401</v>
      </c>
      <c r="G334" s="895">
        <v>23.622909545898398</v>
      </c>
      <c r="H334" s="895">
        <v>25.881950378418001</v>
      </c>
      <c r="I334" s="895">
        <v>28.009447097778299</v>
      </c>
      <c r="J334" s="895">
        <v>30.2537937164307</v>
      </c>
      <c r="K334" s="895">
        <v>28.866632461547901</v>
      </c>
      <c r="L334" s="895">
        <v>30.4276523590088</v>
      </c>
      <c r="M334" s="895">
        <v>31.969417572021499</v>
      </c>
      <c r="N334" s="895">
        <v>32.765193939208999</v>
      </c>
      <c r="O334" s="895">
        <v>35.757926940917997</v>
      </c>
      <c r="P334" s="895">
        <v>37.577915191650398</v>
      </c>
      <c r="Q334" s="895">
        <v>38.662086486816399</v>
      </c>
      <c r="R334" s="895">
        <v>39.8419189453125</v>
      </c>
      <c r="S334" s="895">
        <v>41.092353820800803</v>
      </c>
      <c r="T334" s="895">
        <v>42.114028930664098</v>
      </c>
      <c r="U334" s="895">
        <v>42.893341064453097</v>
      </c>
      <c r="V334" s="895">
        <v>44.2104301452637</v>
      </c>
      <c r="W334" s="895">
        <v>44.896373748779297</v>
      </c>
      <c r="X334" s="895">
        <v>46.4299926757813</v>
      </c>
      <c r="Y334" s="895">
        <v>48.419319152832003</v>
      </c>
      <c r="Z334" s="895">
        <v>48.957271575927699</v>
      </c>
    </row>
    <row r="335" spans="1:30" x14ac:dyDescent="0.2">
      <c r="A335" s="893" t="s">
        <v>619</v>
      </c>
      <c r="B335" s="895">
        <v>21.213121414184599</v>
      </c>
      <c r="C335" s="895">
        <v>22.982162475585898</v>
      </c>
      <c r="D335" s="895">
        <v>26.749811172485401</v>
      </c>
      <c r="E335" s="895">
        <v>16.175968170166001</v>
      </c>
      <c r="F335" s="895">
        <v>18.381326675415</v>
      </c>
      <c r="G335" s="895">
        <v>21.693702697753899</v>
      </c>
      <c r="H335" s="895">
        <v>23.709007263183601</v>
      </c>
      <c r="I335" s="895">
        <v>25.449525833129901</v>
      </c>
      <c r="J335" s="895">
        <v>27.424634933471701</v>
      </c>
      <c r="K335" s="895">
        <v>29.529468536376999</v>
      </c>
      <c r="L335" s="895">
        <v>31.27219581604</v>
      </c>
      <c r="M335" s="895">
        <v>33.093906402587898</v>
      </c>
      <c r="N335" s="895">
        <v>34.856166839599602</v>
      </c>
      <c r="O335" s="895">
        <v>36.438858032226598</v>
      </c>
      <c r="P335" s="895">
        <v>38.015861511230497</v>
      </c>
      <c r="Q335" s="895">
        <v>39.139541625976598</v>
      </c>
      <c r="R335" s="895">
        <v>40.478176116943402</v>
      </c>
      <c r="S335" s="895">
        <v>41.691452026367202</v>
      </c>
      <c r="T335" s="895">
        <v>42.679801940917997</v>
      </c>
      <c r="U335" s="895">
        <v>43.464977264404297</v>
      </c>
      <c r="V335" s="895">
        <v>44.780059814453097</v>
      </c>
      <c r="W335" s="895">
        <v>45.673988342285199</v>
      </c>
      <c r="X335" s="895">
        <v>47.254981994628899</v>
      </c>
      <c r="Y335" s="895">
        <v>49.557445526122997</v>
      </c>
      <c r="Z335" s="895">
        <v>49.9830131530762</v>
      </c>
    </row>
    <row r="336" spans="1:30" x14ac:dyDescent="0.2">
      <c r="A336" s="893" t="s">
        <v>620</v>
      </c>
      <c r="B336" s="895">
        <v>14.844763755798301</v>
      </c>
      <c r="C336" s="895">
        <v>16.0964660644531</v>
      </c>
      <c r="D336" s="895">
        <v>22.673322677612301</v>
      </c>
      <c r="E336" s="895">
        <v>10.878761291503899</v>
      </c>
      <c r="F336" s="895">
        <v>10.805939674377401</v>
      </c>
      <c r="G336" s="895">
        <v>13.641165733337401</v>
      </c>
      <c r="H336" s="895">
        <v>15.7883806228638</v>
      </c>
      <c r="I336" s="895">
        <v>17.847295761108398</v>
      </c>
      <c r="J336" s="895">
        <v>19.768560409545898</v>
      </c>
      <c r="K336" s="895">
        <v>21.6021404266357</v>
      </c>
      <c r="L336" s="895">
        <v>23.1407794952393</v>
      </c>
      <c r="M336" s="895">
        <v>24.738756179809599</v>
      </c>
      <c r="N336" s="895">
        <v>26.200944900512699</v>
      </c>
      <c r="O336" s="895">
        <v>27.323936462402301</v>
      </c>
      <c r="P336" s="895">
        <v>28.3911018371582</v>
      </c>
      <c r="Q336" s="895">
        <v>29.343944549560501</v>
      </c>
      <c r="R336" s="895">
        <v>30.208518981933601</v>
      </c>
      <c r="S336" s="895">
        <v>31.274351119995099</v>
      </c>
      <c r="T336" s="895">
        <v>32.279064178466797</v>
      </c>
      <c r="U336" s="895">
        <v>32.661514282226598</v>
      </c>
      <c r="V336" s="895">
        <v>33.853298187255902</v>
      </c>
      <c r="W336" s="895">
        <v>34.868740081787102</v>
      </c>
      <c r="X336" s="895">
        <v>36.320652008056598</v>
      </c>
      <c r="Y336" s="895">
        <v>37.773586273193402</v>
      </c>
      <c r="Z336" s="895">
        <v>39.040420532226598</v>
      </c>
    </row>
    <row r="337" spans="1:70" x14ac:dyDescent="0.2">
      <c r="A337" s="893" t="s">
        <v>724</v>
      </c>
      <c r="B337" s="895">
        <v>19.740650177001999</v>
      </c>
      <c r="C337" s="895">
        <v>20.921422958373999</v>
      </c>
      <c r="D337" s="895">
        <v>27.660943984985401</v>
      </c>
      <c r="E337" s="895">
        <v>15.872093200683601</v>
      </c>
      <c r="F337" s="895">
        <v>15.1842641830444</v>
      </c>
      <c r="G337" s="895">
        <v>17.936090469360401</v>
      </c>
      <c r="H337" s="895">
        <v>20.100133895873999</v>
      </c>
      <c r="I337" s="895">
        <v>22.737785339355501</v>
      </c>
      <c r="J337" s="895">
        <v>24.745433807373001</v>
      </c>
      <c r="K337" s="895">
        <v>26.438911437988299</v>
      </c>
      <c r="L337" s="895">
        <v>28.0228977203369</v>
      </c>
      <c r="M337" s="895">
        <v>29.7338352203369</v>
      </c>
      <c r="N337" s="895">
        <v>31.2589511871338</v>
      </c>
      <c r="O337" s="895">
        <v>32.543869018554702</v>
      </c>
      <c r="P337" s="895">
        <v>33.764415740966797</v>
      </c>
      <c r="Q337" s="895">
        <v>34.490653991699197</v>
      </c>
      <c r="R337" s="895">
        <v>35.692588806152301</v>
      </c>
      <c r="S337" s="895">
        <v>36.884777069091797</v>
      </c>
      <c r="T337" s="895">
        <v>37.7488403320313</v>
      </c>
      <c r="U337" s="895">
        <v>38.541912078857401</v>
      </c>
      <c r="V337" s="895">
        <v>39.811958312988303</v>
      </c>
      <c r="W337" s="895">
        <v>40.433952331542997</v>
      </c>
      <c r="X337" s="895">
        <v>41.980552673339801</v>
      </c>
      <c r="Y337" s="895">
        <v>44.0175971984863</v>
      </c>
      <c r="Z337" s="895">
        <v>44.845256805419901</v>
      </c>
    </row>
    <row r="338" spans="1:70" x14ac:dyDescent="0.2">
      <c r="A338" s="893" t="s">
        <v>611</v>
      </c>
      <c r="B338" s="895">
        <v>7.9912142753601101</v>
      </c>
      <c r="C338" s="895">
        <v>9.4357099533081108</v>
      </c>
      <c r="D338" s="895">
        <v>14.5987691879272</v>
      </c>
      <c r="E338" s="895">
        <v>6.5974926948547399</v>
      </c>
      <c r="F338" s="895">
        <v>6.8336348533630398</v>
      </c>
      <c r="G338" s="895">
        <v>9.1002550125122106</v>
      </c>
      <c r="H338" s="895">
        <v>10.9850196838379</v>
      </c>
      <c r="I338" s="895">
        <v>12.7856092453003</v>
      </c>
      <c r="J338" s="895">
        <v>14.3925485610962</v>
      </c>
      <c r="K338" s="895">
        <v>16.284711837768601</v>
      </c>
      <c r="L338" s="895">
        <v>17.587419509887699</v>
      </c>
      <c r="M338" s="895">
        <v>18.815961837768601</v>
      </c>
      <c r="N338" s="895">
        <v>20.079933166503899</v>
      </c>
      <c r="O338" s="895">
        <v>21.0047607421875</v>
      </c>
      <c r="P338" s="895">
        <v>21.793167114257798</v>
      </c>
      <c r="Q338" s="895">
        <v>22.696048736572301</v>
      </c>
      <c r="R338" s="895">
        <v>23.3086338043213</v>
      </c>
      <c r="S338" s="895">
        <v>24.011238098144499</v>
      </c>
      <c r="T338" s="895">
        <v>24.648492813110401</v>
      </c>
      <c r="U338" s="895">
        <v>24.8559169769287</v>
      </c>
      <c r="V338" s="895">
        <v>25.6537380218506</v>
      </c>
      <c r="W338" s="895">
        <v>26.666080474853501</v>
      </c>
      <c r="X338" s="895">
        <v>27.731492996215799</v>
      </c>
      <c r="Y338" s="895">
        <v>28.609724044799801</v>
      </c>
      <c r="Z338" s="895">
        <v>29.807550430297901</v>
      </c>
    </row>
    <row r="339" spans="1:70" x14ac:dyDescent="0.2">
      <c r="A339" s="893" t="s">
        <v>622</v>
      </c>
      <c r="B339" s="895">
        <v>15.1338348388672</v>
      </c>
      <c r="C339" s="895">
        <v>15.4958410263062</v>
      </c>
      <c r="D339" s="895">
        <v>17.260919570922901</v>
      </c>
      <c r="E339" s="895">
        <v>13.197589874267599</v>
      </c>
      <c r="F339" s="895">
        <v>14.011960029602101</v>
      </c>
      <c r="G339" s="895">
        <v>14.5198259353638</v>
      </c>
      <c r="H339" s="895">
        <v>14.7125358581543</v>
      </c>
      <c r="I339" s="895">
        <v>14.9809007644653</v>
      </c>
      <c r="J339" s="895">
        <v>15.3987216949463</v>
      </c>
      <c r="K339" s="895">
        <v>15.929105758666999</v>
      </c>
      <c r="L339" s="895">
        <v>16.444049835205099</v>
      </c>
      <c r="M339" s="895">
        <v>16.986526489257798</v>
      </c>
      <c r="N339" s="895">
        <v>17.562019348144499</v>
      </c>
      <c r="O339" s="895">
        <v>18.214298248291001</v>
      </c>
      <c r="P339" s="895">
        <v>18.978889465331999</v>
      </c>
      <c r="Q339" s="895">
        <v>19.653842926025401</v>
      </c>
      <c r="R339" s="895">
        <v>20.151586532592798</v>
      </c>
      <c r="S339" s="895">
        <v>20.264110565185501</v>
      </c>
      <c r="T339" s="895">
        <v>20.6345119476318</v>
      </c>
      <c r="U339" s="895">
        <v>20.930568695068398</v>
      </c>
      <c r="V339" s="895">
        <v>21.5493049621582</v>
      </c>
      <c r="W339" s="895">
        <v>22.330928802490199</v>
      </c>
      <c r="X339" s="895">
        <v>23.217420578002901</v>
      </c>
      <c r="Y339" s="895">
        <v>23.984209060668899</v>
      </c>
      <c r="Z339" s="895">
        <v>24.842088699340799</v>
      </c>
    </row>
    <row r="340" spans="1:70" x14ac:dyDescent="0.2">
      <c r="A340" s="893" t="s">
        <v>479</v>
      </c>
      <c r="B340" s="895">
        <v>29.552911758422901</v>
      </c>
      <c r="C340" s="895">
        <v>30.777971267700199</v>
      </c>
      <c r="D340" s="895">
        <v>34.475650787353501</v>
      </c>
      <c r="E340" s="895">
        <v>32.511272430419901</v>
      </c>
      <c r="F340" s="895">
        <v>28.3578701019287</v>
      </c>
      <c r="G340" s="895">
        <v>29.9883632659912</v>
      </c>
      <c r="H340" s="895">
        <v>30.793474197387699</v>
      </c>
      <c r="I340" s="895">
        <v>31.290824890136701</v>
      </c>
      <c r="J340" s="895">
        <v>31.788017272949201</v>
      </c>
      <c r="K340" s="895">
        <v>32.228786468505902</v>
      </c>
      <c r="L340" s="895">
        <v>33.101249694824197</v>
      </c>
      <c r="M340" s="895">
        <v>33.873565673828097</v>
      </c>
      <c r="N340" s="895">
        <v>34.876777648925803</v>
      </c>
      <c r="O340" s="895">
        <v>35.790927886962898</v>
      </c>
      <c r="P340" s="895">
        <v>37.005527496337898</v>
      </c>
      <c r="Q340" s="895">
        <v>38.374465942382798</v>
      </c>
      <c r="R340" s="895">
        <v>39.741268157958999</v>
      </c>
      <c r="S340" s="895">
        <v>40.743644714355497</v>
      </c>
      <c r="T340" s="895">
        <v>41.832027435302699</v>
      </c>
      <c r="U340" s="895">
        <v>42.8788452148438</v>
      </c>
      <c r="V340" s="895">
        <v>44.165149688720703</v>
      </c>
      <c r="W340" s="895">
        <v>45.822151184082003</v>
      </c>
      <c r="X340" s="895">
        <v>47.770866394042997</v>
      </c>
      <c r="Y340" s="895">
        <v>49.4786567687988</v>
      </c>
      <c r="Z340" s="895">
        <v>51.408214569091797</v>
      </c>
    </row>
    <row r="341" spans="1:70" x14ac:dyDescent="0.2">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
      <c r="A342" s="893" t="s">
        <v>623</v>
      </c>
    </row>
    <row r="343" spans="1:70" x14ac:dyDescent="0.2">
      <c r="A343" s="893" t="s">
        <v>610</v>
      </c>
      <c r="B343" s="895">
        <v>13.411901473999</v>
      </c>
      <c r="C343" s="895">
        <v>14.7725219726563</v>
      </c>
      <c r="D343" s="895">
        <v>19.598173141479499</v>
      </c>
      <c r="E343" s="895">
        <v>12.9002075195313</v>
      </c>
      <c r="F343" s="895">
        <v>10.160784721374499</v>
      </c>
      <c r="G343" s="895">
        <v>12.683879852294901</v>
      </c>
      <c r="H343" s="895">
        <v>14.742367744445801</v>
      </c>
      <c r="I343" s="895">
        <v>16.466316223144499</v>
      </c>
      <c r="J343" s="895">
        <v>18.200975418090799</v>
      </c>
      <c r="K343" s="895">
        <v>20.294946670532202</v>
      </c>
      <c r="L343" s="895">
        <v>21.762416839599599</v>
      </c>
      <c r="M343" s="895">
        <v>23.219928741455099</v>
      </c>
      <c r="N343" s="895">
        <v>24.625257492065401</v>
      </c>
      <c r="O343" s="895">
        <v>25.658937454223601</v>
      </c>
      <c r="P343" s="895">
        <v>26.641567230224599</v>
      </c>
      <c r="Q343" s="895">
        <v>27.554689407348601</v>
      </c>
      <c r="R343" s="895">
        <v>28.433355331420898</v>
      </c>
      <c r="S343" s="895">
        <v>29.525194168090799</v>
      </c>
      <c r="T343" s="895">
        <v>30.595668792724599</v>
      </c>
      <c r="U343" s="895">
        <v>30.812200546264599</v>
      </c>
      <c r="V343" s="895">
        <v>31.8765468597412</v>
      </c>
      <c r="W343" s="895">
        <v>33.023826599121101</v>
      </c>
      <c r="X343" s="895">
        <v>34.249851226806598</v>
      </c>
      <c r="Y343" s="895">
        <v>35.370849609375</v>
      </c>
      <c r="Z343" s="895">
        <v>36.733474731445298</v>
      </c>
    </row>
    <row r="344" spans="1:70" x14ac:dyDescent="0.2">
      <c r="A344" s="893" t="s">
        <v>611</v>
      </c>
      <c r="B344" s="895">
        <v>8.1584053039550799</v>
      </c>
      <c r="C344" s="895">
        <v>8.5664386749267596</v>
      </c>
      <c r="D344" s="895">
        <v>14.623919486999499</v>
      </c>
      <c r="E344" s="895">
        <v>6.72200632095337</v>
      </c>
      <c r="F344" s="895">
        <v>6.9281921386718803</v>
      </c>
      <c r="G344" s="895">
        <v>9.7774429321289098</v>
      </c>
      <c r="H344" s="895">
        <v>11.688641548156699</v>
      </c>
      <c r="I344" s="895">
        <v>13.5591955184937</v>
      </c>
      <c r="J344" s="895">
        <v>15.198254585266101</v>
      </c>
      <c r="K344" s="895">
        <v>17.122402191162099</v>
      </c>
      <c r="L344" s="895">
        <v>18.4469089508057</v>
      </c>
      <c r="M344" s="895">
        <v>19.645553588867202</v>
      </c>
      <c r="N344" s="895">
        <v>20.905046463012699</v>
      </c>
      <c r="O344" s="895">
        <v>21.461814880371101</v>
      </c>
      <c r="P344" s="895">
        <v>22.275539398193398</v>
      </c>
      <c r="Q344" s="895">
        <v>23.178005218505898</v>
      </c>
      <c r="R344" s="895">
        <v>23.921798706054702</v>
      </c>
      <c r="S344" s="895">
        <v>24.712652206420898</v>
      </c>
      <c r="T344" s="895">
        <v>25.390251159668001</v>
      </c>
      <c r="U344" s="895">
        <v>25.605690002441399</v>
      </c>
      <c r="V344" s="895">
        <v>26.419223785400401</v>
      </c>
      <c r="W344" s="895">
        <v>27.371679306030298</v>
      </c>
      <c r="X344" s="895">
        <v>28.437421798706101</v>
      </c>
      <c r="Y344" s="895">
        <v>29.318086624145501</v>
      </c>
      <c r="Z344" s="895">
        <v>30.4597358703613</v>
      </c>
    </row>
    <row r="345" spans="1:70" x14ac:dyDescent="0.2">
      <c r="A345" s="893" t="s">
        <v>510</v>
      </c>
      <c r="B345" s="895">
        <v>6.8695855140686</v>
      </c>
      <c r="C345" s="895">
        <v>7.0191597938537598</v>
      </c>
      <c r="D345" s="895">
        <v>9.0666198730468803</v>
      </c>
      <c r="E345" s="895">
        <v>4.70163822174072</v>
      </c>
      <c r="F345" s="895">
        <v>5.3228030204772896</v>
      </c>
      <c r="G345" s="895">
        <v>5.7259230613708496</v>
      </c>
      <c r="H345" s="895">
        <v>5.8670849800109899</v>
      </c>
      <c r="I345" s="895">
        <v>5.9947657585143999</v>
      </c>
      <c r="J345" s="895">
        <v>6.2809138298034703</v>
      </c>
      <c r="K345" s="895">
        <v>6.6566915512084996</v>
      </c>
      <c r="L345" s="895">
        <v>7.0282440185546902</v>
      </c>
      <c r="M345" s="895">
        <v>7.4117355346679696</v>
      </c>
      <c r="N345" s="895">
        <v>7.8389544486999503</v>
      </c>
      <c r="O345" s="895">
        <v>8.3448457717895508</v>
      </c>
      <c r="P345" s="895">
        <v>8.9240303039550799</v>
      </c>
      <c r="Q345" s="895">
        <v>9.4456386566162092</v>
      </c>
      <c r="R345" s="895">
        <v>9.7849264144897496</v>
      </c>
      <c r="S345" s="895">
        <v>9.7760477066040004</v>
      </c>
      <c r="T345" s="895">
        <v>10.055270195007299</v>
      </c>
      <c r="U345" s="895">
        <v>10.193024635314901</v>
      </c>
      <c r="V345" s="895">
        <v>10.610521316528301</v>
      </c>
      <c r="W345" s="895">
        <v>11.20911693573</v>
      </c>
      <c r="X345" s="895">
        <v>11.9389839172363</v>
      </c>
      <c r="Y345" s="895">
        <v>12.519255638122599</v>
      </c>
      <c r="Z345" s="895">
        <v>13.197782516479499</v>
      </c>
    </row>
    <row r="346" spans="1:70" x14ac:dyDescent="0.2">
      <c r="A346" s="893" t="s">
        <v>624</v>
      </c>
      <c r="B346" s="895">
        <v>1.6900001764297501</v>
      </c>
      <c r="C346" s="895">
        <v>1.7800002098083501</v>
      </c>
      <c r="D346" s="895">
        <v>1.97352075576782</v>
      </c>
      <c r="E346" s="895">
        <v>2.0458421707153298</v>
      </c>
      <c r="F346" s="895">
        <v>1.9325078725814799</v>
      </c>
      <c r="G346" s="895">
        <v>1.9669165611267101</v>
      </c>
      <c r="H346" s="895">
        <v>1.97483730316162</v>
      </c>
      <c r="I346" s="895">
        <v>2.0363006591796902</v>
      </c>
      <c r="J346" s="895">
        <v>2.1044862270355198</v>
      </c>
      <c r="K346" s="895">
        <v>2.15470170974731</v>
      </c>
      <c r="L346" s="895">
        <v>2.2153303623199498</v>
      </c>
      <c r="M346" s="895">
        <v>2.2768745422363299</v>
      </c>
      <c r="N346" s="895">
        <v>2.3487181663513201</v>
      </c>
      <c r="O346" s="895">
        <v>2.4114518165588401</v>
      </c>
      <c r="P346" s="895">
        <v>2.4841165542602499</v>
      </c>
      <c r="Q346" s="895">
        <v>2.5551335811614999</v>
      </c>
      <c r="R346" s="895">
        <v>2.63751268386841</v>
      </c>
      <c r="S346" s="895">
        <v>2.7085535526275599</v>
      </c>
      <c r="T346" s="895">
        <v>2.7758009433746298</v>
      </c>
      <c r="U346" s="895">
        <v>2.84079241752625</v>
      </c>
      <c r="V346" s="895">
        <v>2.9094073772430402</v>
      </c>
      <c r="W346" s="895">
        <v>2.9860992431640598</v>
      </c>
      <c r="X346" s="895">
        <v>3.0685904026031499</v>
      </c>
      <c r="Y346" s="895">
        <v>3.1531631946563698</v>
      </c>
      <c r="Z346" s="895">
        <v>3.23557353019714</v>
      </c>
    </row>
    <row r="348" spans="1:70" x14ac:dyDescent="0.2">
      <c r="A348" s="893" t="s">
        <v>625</v>
      </c>
    </row>
    <row r="349" spans="1:70" x14ac:dyDescent="0.2">
      <c r="A349" s="893" t="s">
        <v>609</v>
      </c>
      <c r="B349" s="895">
        <v>15.246436119079601</v>
      </c>
      <c r="C349" s="895">
        <v>18.5313529968262</v>
      </c>
      <c r="D349" s="895">
        <v>20.134397506713899</v>
      </c>
      <c r="E349" s="895">
        <v>16.9350070953369</v>
      </c>
      <c r="F349" s="895">
        <v>16.912326812744102</v>
      </c>
      <c r="G349" s="895">
        <v>19.346534729003899</v>
      </c>
      <c r="H349" s="895">
        <v>21.4945392608643</v>
      </c>
      <c r="I349" s="895">
        <v>23.604782104492202</v>
      </c>
      <c r="J349" s="895">
        <v>25.696203231811499</v>
      </c>
      <c r="K349" s="895">
        <v>28.031579971313501</v>
      </c>
      <c r="L349" s="895">
        <v>29.828712463378899</v>
      </c>
      <c r="M349" s="895">
        <v>31.479301452636701</v>
      </c>
      <c r="N349" s="895">
        <v>33.231895446777301</v>
      </c>
      <c r="O349" s="895">
        <v>34.5145874023438</v>
      </c>
      <c r="P349" s="895">
        <v>35.698520660400398</v>
      </c>
      <c r="Q349" s="895">
        <v>36.883983612060497</v>
      </c>
      <c r="R349" s="895">
        <v>37.996242523193402</v>
      </c>
      <c r="S349" s="895">
        <v>39.337680816650398</v>
      </c>
      <c r="T349" s="895">
        <v>40.431327819824197</v>
      </c>
      <c r="U349" s="895">
        <v>40.7233276367188</v>
      </c>
      <c r="V349" s="895">
        <v>41.9925727844238</v>
      </c>
      <c r="W349" s="895">
        <v>43.322719573974602</v>
      </c>
      <c r="X349" s="895">
        <v>44.788909912109403</v>
      </c>
      <c r="Y349" s="895">
        <v>45.941520690917997</v>
      </c>
      <c r="Z349" s="895">
        <v>47.553462982177699</v>
      </c>
    </row>
    <row r="350" spans="1:70" x14ac:dyDescent="0.2">
      <c r="A350" s="893" t="s">
        <v>618</v>
      </c>
      <c r="B350" s="895">
        <v>24.84494972229</v>
      </c>
      <c r="C350" s="895">
        <v>26.818180084228501</v>
      </c>
      <c r="D350" s="895">
        <v>34.822681427002003</v>
      </c>
      <c r="E350" s="895">
        <v>21.049989700317401</v>
      </c>
      <c r="F350" s="895">
        <v>19.580844879150401</v>
      </c>
      <c r="G350" s="895">
        <v>23.622909545898398</v>
      </c>
      <c r="H350" s="895">
        <v>25.881950378418001</v>
      </c>
      <c r="I350" s="895">
        <v>28.009447097778299</v>
      </c>
      <c r="J350" s="895">
        <v>30.2537937164307</v>
      </c>
      <c r="K350" s="895">
        <v>28.866632461547901</v>
      </c>
      <c r="L350" s="895">
        <v>30.4276523590088</v>
      </c>
      <c r="M350" s="895">
        <v>31.969417572021499</v>
      </c>
      <c r="N350" s="895">
        <v>32.765193939208999</v>
      </c>
      <c r="O350" s="895">
        <v>35.757926940917997</v>
      </c>
      <c r="P350" s="895">
        <v>37.577915191650398</v>
      </c>
      <c r="Q350" s="895">
        <v>38.662086486816399</v>
      </c>
      <c r="R350" s="895">
        <v>39.8419189453125</v>
      </c>
      <c r="S350" s="895">
        <v>41.092353820800803</v>
      </c>
      <c r="T350" s="895">
        <v>42.114028930664098</v>
      </c>
      <c r="U350" s="895">
        <v>42.893341064453097</v>
      </c>
      <c r="V350" s="895">
        <v>44.2104301452637</v>
      </c>
      <c r="W350" s="895">
        <v>44.896373748779297</v>
      </c>
      <c r="X350" s="895">
        <v>46.4299926757813</v>
      </c>
      <c r="Y350" s="895">
        <v>48.419319152832003</v>
      </c>
      <c r="Z350" s="895">
        <v>48.957271575927699</v>
      </c>
    </row>
    <row r="351" spans="1:70" x14ac:dyDescent="0.2">
      <c r="A351" s="893" t="s">
        <v>619</v>
      </c>
      <c r="B351" s="895">
        <v>21.081119537353501</v>
      </c>
      <c r="C351" s="895">
        <v>22.8191947937012</v>
      </c>
      <c r="D351" s="895">
        <v>26.582485198974599</v>
      </c>
      <c r="E351" s="895">
        <v>16.308473587036101</v>
      </c>
      <c r="F351" s="895">
        <v>18.3791694641113</v>
      </c>
      <c r="G351" s="895">
        <v>21.690732955932599</v>
      </c>
      <c r="H351" s="895">
        <v>23.705785751342798</v>
      </c>
      <c r="I351" s="895">
        <v>25.446578979492202</v>
      </c>
      <c r="J351" s="895">
        <v>27.421388626098601</v>
      </c>
      <c r="K351" s="895">
        <v>29.526109695434599</v>
      </c>
      <c r="L351" s="895">
        <v>31.268815994262699</v>
      </c>
      <c r="M351" s="895">
        <v>33.090030670166001</v>
      </c>
      <c r="N351" s="895">
        <v>34.852634429931598</v>
      </c>
      <c r="O351" s="895">
        <v>36.4355278015137</v>
      </c>
      <c r="P351" s="895">
        <v>38.011890411377003</v>
      </c>
      <c r="Q351" s="895">
        <v>39.135532379150398</v>
      </c>
      <c r="R351" s="895">
        <v>40.475978851318402</v>
      </c>
      <c r="S351" s="895">
        <v>41.687484741210902</v>
      </c>
      <c r="T351" s="895">
        <v>42.675270080566399</v>
      </c>
      <c r="U351" s="895">
        <v>43.460239410400398</v>
      </c>
      <c r="V351" s="895">
        <v>44.775581359863303</v>
      </c>
      <c r="W351" s="895">
        <v>45.668975830078097</v>
      </c>
      <c r="X351" s="895">
        <v>47.250167846679702</v>
      </c>
      <c r="Y351" s="895">
        <v>49.551605224609403</v>
      </c>
      <c r="Z351" s="895">
        <v>49.978668212890597</v>
      </c>
    </row>
    <row r="352" spans="1:70" x14ac:dyDescent="0.2">
      <c r="A352" s="893" t="s">
        <v>626</v>
      </c>
      <c r="B352" s="895">
        <v>14.844763755798301</v>
      </c>
      <c r="C352" s="895">
        <v>16.0964660644531</v>
      </c>
      <c r="D352" s="895">
        <v>22.673322677612301</v>
      </c>
      <c r="E352" s="895">
        <v>10.878761291503899</v>
      </c>
      <c r="F352" s="895">
        <v>10.805939674377401</v>
      </c>
      <c r="G352" s="895">
        <v>13.641165733337401</v>
      </c>
      <c r="H352" s="895">
        <v>15.7883806228638</v>
      </c>
      <c r="I352" s="895">
        <v>17.847295761108398</v>
      </c>
      <c r="J352" s="895">
        <v>19.768560409545898</v>
      </c>
      <c r="K352" s="895">
        <v>21.6021404266357</v>
      </c>
      <c r="L352" s="895">
        <v>23.1407794952393</v>
      </c>
      <c r="M352" s="895">
        <v>24.738756179809599</v>
      </c>
      <c r="N352" s="895">
        <v>26.200944900512699</v>
      </c>
      <c r="O352" s="895">
        <v>27.323936462402301</v>
      </c>
      <c r="P352" s="895">
        <v>28.3911018371582</v>
      </c>
      <c r="Q352" s="895">
        <v>29.343944549560501</v>
      </c>
      <c r="R352" s="895">
        <v>30.208518981933601</v>
      </c>
      <c r="S352" s="895">
        <v>31.274351119995099</v>
      </c>
      <c r="T352" s="895">
        <v>32.279064178466797</v>
      </c>
      <c r="U352" s="895">
        <v>32.661514282226598</v>
      </c>
      <c r="V352" s="895">
        <v>33.853298187255902</v>
      </c>
      <c r="W352" s="895">
        <v>34.868740081787102</v>
      </c>
      <c r="X352" s="895">
        <v>36.320652008056598</v>
      </c>
      <c r="Y352" s="895">
        <v>37.773586273193402</v>
      </c>
      <c r="Z352" s="895">
        <v>39.040420532226598</v>
      </c>
    </row>
    <row r="353" spans="1:70" x14ac:dyDescent="0.2">
      <c r="A353" s="893" t="s">
        <v>610</v>
      </c>
      <c r="B353" s="895">
        <v>18.668458938598601</v>
      </c>
      <c r="C353" s="895">
        <v>19.9431552886963</v>
      </c>
      <c r="D353" s="895">
        <v>26.286823272705099</v>
      </c>
      <c r="E353" s="895">
        <v>15.636975288391101</v>
      </c>
      <c r="F353" s="895">
        <v>14.1092176437378</v>
      </c>
      <c r="G353" s="895">
        <v>16.902593612670898</v>
      </c>
      <c r="H353" s="895">
        <v>19.1516017913818</v>
      </c>
      <c r="I353" s="895">
        <v>21.744958877563501</v>
      </c>
      <c r="J353" s="895">
        <v>23.745824813842798</v>
      </c>
      <c r="K353" s="895">
        <v>25.478622436523398</v>
      </c>
      <c r="L353" s="895">
        <v>27.0623779296875</v>
      </c>
      <c r="M353" s="895">
        <v>28.722316741943398</v>
      </c>
      <c r="N353" s="895">
        <v>30.288469314575199</v>
      </c>
      <c r="O353" s="895">
        <v>31.560461044311499</v>
      </c>
      <c r="P353" s="895">
        <v>32.757129669189503</v>
      </c>
      <c r="Q353" s="895">
        <v>33.523193359375</v>
      </c>
      <c r="R353" s="895">
        <v>34.769081115722699</v>
      </c>
      <c r="S353" s="895">
        <v>35.882114410400398</v>
      </c>
      <c r="T353" s="895">
        <v>36.791599273681598</v>
      </c>
      <c r="U353" s="895">
        <v>37.5217895507813</v>
      </c>
      <c r="V353" s="895">
        <v>38.800697326660199</v>
      </c>
      <c r="W353" s="895">
        <v>39.467311859130902</v>
      </c>
      <c r="X353" s="895">
        <v>40.997920989990199</v>
      </c>
      <c r="Y353" s="895">
        <v>42.937191009521499</v>
      </c>
      <c r="Z353" s="895">
        <v>43.857540130615199</v>
      </c>
    </row>
    <row r="354" spans="1:70" x14ac:dyDescent="0.2">
      <c r="A354" s="893" t="s">
        <v>611</v>
      </c>
      <c r="B354" s="895">
        <v>8.2036781311035192</v>
      </c>
      <c r="C354" s="895">
        <v>9.3672227859497106</v>
      </c>
      <c r="D354" s="895">
        <v>14.4897508621216</v>
      </c>
      <c r="E354" s="895">
        <v>6.7128052711486799</v>
      </c>
      <c r="F354" s="895">
        <v>7.1757683753967303</v>
      </c>
      <c r="G354" s="895">
        <v>9.6609458923339808</v>
      </c>
      <c r="H354" s="895">
        <v>11.544206619262701</v>
      </c>
      <c r="I354" s="895">
        <v>13.370221138000501</v>
      </c>
      <c r="J354" s="895">
        <v>14.996021270751999</v>
      </c>
      <c r="K354" s="895">
        <v>16.898206710815401</v>
      </c>
      <c r="L354" s="895">
        <v>18.207862854003899</v>
      </c>
      <c r="M354" s="895">
        <v>19.411674499511701</v>
      </c>
      <c r="N354" s="895">
        <v>20.6822299957275</v>
      </c>
      <c r="O354" s="895">
        <v>21.516969680786101</v>
      </c>
      <c r="P354" s="895">
        <v>22.335527420043899</v>
      </c>
      <c r="Q354" s="895">
        <v>23.2407321929932</v>
      </c>
      <c r="R354" s="895">
        <v>23.916133880615199</v>
      </c>
      <c r="S354" s="895">
        <v>24.6660556793213</v>
      </c>
      <c r="T354" s="895">
        <v>25.322589874267599</v>
      </c>
      <c r="U354" s="895">
        <v>25.500698089599599</v>
      </c>
      <c r="V354" s="895">
        <v>26.3019409179688</v>
      </c>
      <c r="W354" s="895">
        <v>27.270561218261701</v>
      </c>
      <c r="X354" s="895">
        <v>28.332614898681602</v>
      </c>
      <c r="Y354" s="895">
        <v>29.2080383300781</v>
      </c>
      <c r="Z354" s="895">
        <v>30.365930557251001</v>
      </c>
    </row>
    <row r="355" spans="1:70" x14ac:dyDescent="0.2">
      <c r="A355" s="893" t="s">
        <v>510</v>
      </c>
      <c r="B355" s="895">
        <v>9.2523355484008807</v>
      </c>
      <c r="C355" s="895">
        <v>9.0060253143310494</v>
      </c>
      <c r="D355" s="895">
        <v>10.405486106872599</v>
      </c>
      <c r="E355" s="895">
        <v>6.98002004623413</v>
      </c>
      <c r="F355" s="895">
        <v>7.7092094421386701</v>
      </c>
      <c r="G355" s="895">
        <v>8.12390232086182</v>
      </c>
      <c r="H355" s="895">
        <v>8.2825136184692401</v>
      </c>
      <c r="I355" s="895">
        <v>8.4401350021362305</v>
      </c>
      <c r="J355" s="895">
        <v>8.7418422698974592</v>
      </c>
      <c r="K355" s="895">
        <v>9.1197204589843803</v>
      </c>
      <c r="L355" s="895">
        <v>9.5538625717163104</v>
      </c>
      <c r="M355" s="895">
        <v>10.0050344467163</v>
      </c>
      <c r="N355" s="895">
        <v>10.4820852279663</v>
      </c>
      <c r="O355" s="895">
        <v>11.0441122055054</v>
      </c>
      <c r="P355" s="895">
        <v>11.7092485427856</v>
      </c>
      <c r="Q355" s="895">
        <v>12.280260086059601</v>
      </c>
      <c r="R355" s="895">
        <v>12.668963432311999</v>
      </c>
      <c r="S355" s="895">
        <v>12.670117378234901</v>
      </c>
      <c r="T355" s="895">
        <v>12.917200088501</v>
      </c>
      <c r="U355" s="895">
        <v>13.0803108215332</v>
      </c>
      <c r="V355" s="895">
        <v>13.574273109436</v>
      </c>
      <c r="W355" s="895">
        <v>14.23717212677</v>
      </c>
      <c r="X355" s="895">
        <v>15.0462560653687</v>
      </c>
      <c r="Y355" s="895">
        <v>15.740474700927701</v>
      </c>
      <c r="Z355" s="895">
        <v>16.4913539886475</v>
      </c>
    </row>
    <row r="356" spans="1:70" ht="13.5" thickBot="1" x14ac:dyDescent="0.25">
      <c r="A356" s="893" t="s">
        <v>614</v>
      </c>
      <c r="B356" s="895">
        <v>3.53999996185303</v>
      </c>
      <c r="C356" s="895">
        <v>3.6099998950958301</v>
      </c>
      <c r="D356" s="895">
        <v>4.1449666023254403</v>
      </c>
      <c r="E356" s="895">
        <v>4.1784791946411097</v>
      </c>
      <c r="F356" s="895">
        <v>4.1485314369201696</v>
      </c>
      <c r="G356" s="895">
        <v>4.3175525665283203</v>
      </c>
      <c r="H356" s="895">
        <v>4.44484186172485</v>
      </c>
      <c r="I356" s="895">
        <v>4.5821456909179696</v>
      </c>
      <c r="J356" s="895">
        <v>4.7206311225891104</v>
      </c>
      <c r="K356" s="895">
        <v>4.8563599586486799</v>
      </c>
      <c r="L356" s="895">
        <v>4.9913563728332502</v>
      </c>
      <c r="M356" s="895">
        <v>5.1233406066894496</v>
      </c>
      <c r="N356" s="895">
        <v>5.2680139541626003</v>
      </c>
      <c r="O356" s="895">
        <v>5.4137320518493697</v>
      </c>
      <c r="P356" s="895">
        <v>5.5743689537048304</v>
      </c>
      <c r="Q356" s="895">
        <v>5.7906579971313503</v>
      </c>
      <c r="R356" s="895">
        <v>6.0209679603576696</v>
      </c>
      <c r="S356" s="895">
        <v>6.20045709609985</v>
      </c>
      <c r="T356" s="895">
        <v>6.3775997161865199</v>
      </c>
      <c r="U356" s="895">
        <v>6.5161404609680202</v>
      </c>
      <c r="V356" s="895">
        <v>6.6299972534179696</v>
      </c>
      <c r="W356" s="895">
        <v>6.7667918205261204</v>
      </c>
      <c r="X356" s="895">
        <v>6.88553714752197</v>
      </c>
      <c r="Y356" s="895">
        <v>6.9704546928405797</v>
      </c>
      <c r="Z356" s="895">
        <v>7.0137753486633301</v>
      </c>
    </row>
    <row r="357" spans="1:70" ht="13.5" thickBot="1" x14ac:dyDescent="0.25">
      <c r="A357" s="893" t="s">
        <v>627</v>
      </c>
      <c r="B357" s="895">
        <v>1.73100674152374</v>
      </c>
      <c r="C357" s="895">
        <v>1.81885313987732</v>
      </c>
      <c r="D357" s="895">
        <v>2.01088166236877</v>
      </c>
      <c r="E357" s="895">
        <v>2.0711190700531001</v>
      </c>
      <c r="F357" s="895">
        <v>1.96068322658539</v>
      </c>
      <c r="G357" s="895">
        <v>1.99932932853699</v>
      </c>
      <c r="H357" s="895">
        <v>2.0096416473388699</v>
      </c>
      <c r="I357" s="895">
        <v>2.07272601127625</v>
      </c>
      <c r="J357" s="895">
        <v>2.1420636177063002</v>
      </c>
      <c r="K357" s="895">
        <v>2.1925818920135498</v>
      </c>
      <c r="L357" s="895">
        <v>2.2534883022308301</v>
      </c>
      <c r="M357" s="895">
        <v>2.3155770301818799</v>
      </c>
      <c r="N357" s="895">
        <v>2.38794946670532</v>
      </c>
      <c r="O357" s="895">
        <v>2.4510562419891402</v>
      </c>
      <c r="P357" s="895">
        <v>2.52451372146606</v>
      </c>
      <c r="Q357" s="895">
        <v>2.5963439941406299</v>
      </c>
      <c r="R357" s="895">
        <v>2.6790707111358598</v>
      </c>
      <c r="S357" s="895">
        <v>2.7507226467132599</v>
      </c>
      <c r="T357" s="895">
        <v>2.8189043998718302</v>
      </c>
      <c r="U357" s="895">
        <v>2.8845274448394802</v>
      </c>
      <c r="V357" s="895">
        <v>2.9543473720550502</v>
      </c>
      <c r="W357" s="895">
        <v>3.0319309234619101</v>
      </c>
      <c r="X357" s="895">
        <v>3.1151678562164302</v>
      </c>
      <c r="Y357" s="895">
        <v>3.20047926902771</v>
      </c>
      <c r="Z357" s="895">
        <v>3.2839629650115998</v>
      </c>
      <c r="AA357" s="283">
        <f>Z527+($AI$357-$Y$527)/10</f>
        <v>8.0623037763536161</v>
      </c>
      <c r="AB357" s="283">
        <f t="shared" ref="AB357:AH357" si="21">AA357+($AI$357-$Y$527)/10</f>
        <v>8.1146083992868938</v>
      </c>
      <c r="AC357" s="283">
        <f t="shared" si="21"/>
        <v>8.1669130222201716</v>
      </c>
      <c r="AD357" s="283">
        <f t="shared" si="21"/>
        <v>8.2192176451534493</v>
      </c>
      <c r="AE357" s="283">
        <f t="shared" si="21"/>
        <v>8.2715222680867271</v>
      </c>
      <c r="AF357" s="283">
        <f t="shared" si="21"/>
        <v>8.3238268910200048</v>
      </c>
      <c r="AG357" s="283">
        <f t="shared" si="21"/>
        <v>8.3761315139532826</v>
      </c>
      <c r="AH357" s="283">
        <f t="shared" si="21"/>
        <v>8.4284361368865603</v>
      </c>
      <c r="AI357" s="284">
        <f>T527*$E$742</f>
        <v>8.4807407598198452</v>
      </c>
      <c r="AJ357" s="283">
        <f>AI357+($AX$357-$AI$357)/15</f>
        <v>8.5767365137369804</v>
      </c>
      <c r="AK357" s="283">
        <f t="shared" ref="AK357:AW357" si="22">AJ357+($AX$357-$AI$357)/15</f>
        <v>8.6727322676541156</v>
      </c>
      <c r="AL357" s="283">
        <f t="shared" si="22"/>
        <v>8.7687280215712509</v>
      </c>
      <c r="AM357" s="283">
        <f t="shared" si="22"/>
        <v>8.8647237754883861</v>
      </c>
      <c r="AN357" s="283">
        <f t="shared" si="22"/>
        <v>8.9607195294055213</v>
      </c>
      <c r="AO357" s="283">
        <f t="shared" si="22"/>
        <v>9.0567152833226565</v>
      </c>
      <c r="AP357" s="283">
        <f t="shared" si="22"/>
        <v>9.1527110372397917</v>
      </c>
      <c r="AQ357" s="283">
        <f t="shared" si="22"/>
        <v>9.248706791156927</v>
      </c>
      <c r="AR357" s="283">
        <f t="shared" si="22"/>
        <v>9.3447025450740622</v>
      </c>
      <c r="AS357" s="283">
        <f t="shared" si="22"/>
        <v>9.4406982989911974</v>
      </c>
      <c r="AT357" s="283">
        <f t="shared" si="22"/>
        <v>9.5366940529083326</v>
      </c>
      <c r="AU357" s="283">
        <f t="shared" si="22"/>
        <v>9.6326898068254678</v>
      </c>
      <c r="AV357" s="283">
        <f t="shared" si="22"/>
        <v>9.728685560742603</v>
      </c>
      <c r="AW357" s="283">
        <f t="shared" si="22"/>
        <v>9.8246813146597383</v>
      </c>
      <c r="AX357" s="284">
        <f>AI357*$B$742</f>
        <v>9.9206770685768717</v>
      </c>
      <c r="AY357" s="283">
        <f>AX357+($BM$357-$AX$357)/15</f>
        <v>10.018909165246043</v>
      </c>
      <c r="AZ357" s="283">
        <f t="shared" ref="AZ357:BL357" si="23">AY357+($BM$357-$AX$357)/15</f>
        <v>10.117141261915215</v>
      </c>
      <c r="BA357" s="283">
        <f t="shared" si="23"/>
        <v>10.215373358584387</v>
      </c>
      <c r="BB357" s="283">
        <f t="shared" si="23"/>
        <v>10.313605455253558</v>
      </c>
      <c r="BC357" s="283">
        <f t="shared" si="23"/>
        <v>10.41183755192273</v>
      </c>
      <c r="BD357" s="283">
        <f t="shared" si="23"/>
        <v>10.510069648591902</v>
      </c>
      <c r="BE357" s="283">
        <f t="shared" si="23"/>
        <v>10.608301745261073</v>
      </c>
      <c r="BF357" s="283">
        <f t="shared" si="23"/>
        <v>10.706533841930245</v>
      </c>
      <c r="BG357" s="283">
        <f t="shared" si="23"/>
        <v>10.804765938599417</v>
      </c>
      <c r="BH357" s="283">
        <f t="shared" si="23"/>
        <v>10.902998035268588</v>
      </c>
      <c r="BI357" s="283">
        <f t="shared" si="23"/>
        <v>11.00123013193776</v>
      </c>
      <c r="BJ357" s="283">
        <f t="shared" si="23"/>
        <v>11.099462228606932</v>
      </c>
      <c r="BK357" s="283">
        <f t="shared" si="23"/>
        <v>11.197694325276103</v>
      </c>
      <c r="BL357" s="283">
        <f t="shared" si="23"/>
        <v>11.295926421945275</v>
      </c>
      <c r="BM357" s="284">
        <f>AX357*$C$742</f>
        <v>11.394158518614441</v>
      </c>
      <c r="BN357" s="283">
        <f>BM357+($BR$357-$BM$357)/5</f>
        <v>11.506980665059427</v>
      </c>
      <c r="BO357" s="283">
        <f>BN357+($BR$357-$BM$357)/5</f>
        <v>11.619802811504412</v>
      </c>
      <c r="BP357" s="283">
        <f>BO357+($BR$357-$BM$357)/5</f>
        <v>11.732624957949398</v>
      </c>
      <c r="BQ357" s="283">
        <f>BP357+($BR$357-$BM$357)/5</f>
        <v>11.845447104394383</v>
      </c>
      <c r="BR357" s="284">
        <f>BM357*$D$742</f>
        <v>11.95826925083937</v>
      </c>
    </row>
    <row r="358" spans="1:70" ht="13.5" thickBot="1" x14ac:dyDescent="0.25">
      <c r="A358" s="893" t="s">
        <v>616</v>
      </c>
      <c r="B358" s="895">
        <v>0</v>
      </c>
      <c r="C358" s="895">
        <v>0</v>
      </c>
      <c r="D358" s="895">
        <v>0</v>
      </c>
      <c r="E358" s="895">
        <v>0</v>
      </c>
      <c r="F358" s="895">
        <v>0</v>
      </c>
      <c r="G358" s="895">
        <v>1.5889266729354901</v>
      </c>
      <c r="H358" s="895">
        <v>1.46094393730164</v>
      </c>
      <c r="I358" s="895">
        <v>1.28843116760254</v>
      </c>
      <c r="J358" s="895">
        <v>1.5101318359375</v>
      </c>
      <c r="K358" s="895">
        <v>1.50810551643372</v>
      </c>
      <c r="L358" s="895">
        <v>1.5213859081268299</v>
      </c>
      <c r="M358" s="895">
        <v>1.53951179981232</v>
      </c>
      <c r="N358" s="895">
        <v>1.58338570594788</v>
      </c>
      <c r="O358" s="895">
        <v>1.63723039627075</v>
      </c>
      <c r="P358" s="895">
        <v>1.71289122104645</v>
      </c>
      <c r="Q358" s="895">
        <v>1.76114201545715</v>
      </c>
      <c r="R358" s="895">
        <v>1.8119050264358501</v>
      </c>
      <c r="S358" s="895">
        <v>1.8629466295242301</v>
      </c>
      <c r="T358" s="895">
        <v>1.9169825315475499</v>
      </c>
      <c r="U358" s="895">
        <v>1.9466364383697501</v>
      </c>
      <c r="V358" s="895">
        <v>1.9911848306655899</v>
      </c>
      <c r="W358" s="895">
        <v>2.0416746139526398</v>
      </c>
      <c r="X358" s="895">
        <v>2.09020328521729</v>
      </c>
      <c r="Y358" s="895">
        <v>2.1373581886291499</v>
      </c>
      <c r="Z358" s="895">
        <v>2.1847438812255899</v>
      </c>
      <c r="AA358" s="285">
        <f>Z528+($AI$358-$Y$528)/10</f>
        <v>22.224617194901626</v>
      </c>
      <c r="AB358" s="285">
        <f t="shared" ref="AB358:AH358" si="24">AA358+($AI$358-$Y$528)/10</f>
        <v>22.135413455621489</v>
      </c>
      <c r="AC358" s="285">
        <f t="shared" si="24"/>
        <v>22.046209716341352</v>
      </c>
      <c r="AD358" s="285">
        <f t="shared" si="24"/>
        <v>21.957005977061215</v>
      </c>
      <c r="AE358" s="285">
        <f t="shared" si="24"/>
        <v>21.867802237781078</v>
      </c>
      <c r="AF358" s="285">
        <f t="shared" si="24"/>
        <v>21.778598498500941</v>
      </c>
      <c r="AG358" s="285">
        <f t="shared" si="24"/>
        <v>21.689394759220804</v>
      </c>
      <c r="AH358" s="285">
        <f t="shared" si="24"/>
        <v>21.600191019940667</v>
      </c>
      <c r="AI358" s="286">
        <f>T528*$E$745</f>
        <v>21.510987280660522</v>
      </c>
      <c r="AJ358" s="285">
        <f>AI358+($AX$358-$AI$358)/15</f>
        <v>21.502530865644818</v>
      </c>
      <c r="AK358" s="285">
        <f t="shared" ref="AK358:AW358" si="25">AJ358+($AX$358-$AI$358)/15</f>
        <v>21.494074450629114</v>
      </c>
      <c r="AL358" s="285">
        <f t="shared" si="25"/>
        <v>21.48561803561341</v>
      </c>
      <c r="AM358" s="285">
        <f t="shared" si="25"/>
        <v>21.477161620597705</v>
      </c>
      <c r="AN358" s="285">
        <f t="shared" si="25"/>
        <v>21.468705205582001</v>
      </c>
      <c r="AO358" s="285">
        <f t="shared" si="25"/>
        <v>21.460248790566297</v>
      </c>
      <c r="AP358" s="285">
        <f t="shared" si="25"/>
        <v>21.451792375550593</v>
      </c>
      <c r="AQ358" s="285">
        <f t="shared" si="25"/>
        <v>21.443335960534888</v>
      </c>
      <c r="AR358" s="285">
        <f t="shared" si="25"/>
        <v>21.434879545519184</v>
      </c>
      <c r="AS358" s="285">
        <f t="shared" si="25"/>
        <v>21.42642313050348</v>
      </c>
      <c r="AT358" s="285">
        <f t="shared" si="25"/>
        <v>21.417966715487776</v>
      </c>
      <c r="AU358" s="285">
        <f t="shared" si="25"/>
        <v>21.409510300472071</v>
      </c>
      <c r="AV358" s="285">
        <f t="shared" si="25"/>
        <v>21.401053885456367</v>
      </c>
      <c r="AW358" s="285">
        <f t="shared" si="25"/>
        <v>21.392597470440663</v>
      </c>
      <c r="AX358" s="286">
        <f>AI358*$B$745</f>
        <v>21.384141055424955</v>
      </c>
      <c r="AY358" s="285">
        <f>AX358+($BM$358-$AX$358)/15</f>
        <v>21.397725276976207</v>
      </c>
      <c r="AZ358" s="285">
        <f t="shared" ref="AZ358:BL358" si="26">AY358+($BM$358-$AX$358)/15</f>
        <v>21.411309498527459</v>
      </c>
      <c r="BA358" s="285">
        <f t="shared" si="26"/>
        <v>21.42489372007871</v>
      </c>
      <c r="BB358" s="285">
        <f t="shared" si="26"/>
        <v>21.438477941629962</v>
      </c>
      <c r="BC358" s="285">
        <f t="shared" si="26"/>
        <v>21.452062163181214</v>
      </c>
      <c r="BD358" s="285">
        <f t="shared" si="26"/>
        <v>21.465646384732466</v>
      </c>
      <c r="BE358" s="285">
        <f t="shared" si="26"/>
        <v>21.479230606283718</v>
      </c>
      <c r="BF358" s="285">
        <f t="shared" si="26"/>
        <v>21.49281482783497</v>
      </c>
      <c r="BG358" s="285">
        <f t="shared" si="26"/>
        <v>21.506399049386221</v>
      </c>
      <c r="BH358" s="285">
        <f t="shared" si="26"/>
        <v>21.519983270937473</v>
      </c>
      <c r="BI358" s="285">
        <f t="shared" si="26"/>
        <v>21.533567492488725</v>
      </c>
      <c r="BJ358" s="285">
        <f t="shared" si="26"/>
        <v>21.547151714039977</v>
      </c>
      <c r="BK358" s="285">
        <f t="shared" si="26"/>
        <v>21.560735935591229</v>
      </c>
      <c r="BL358" s="285">
        <f t="shared" si="26"/>
        <v>21.574320157142481</v>
      </c>
      <c r="BM358" s="286">
        <f>AX358*$C$745</f>
        <v>21.587904378693722</v>
      </c>
      <c r="BN358" s="285">
        <f>BM358+($BR$358-$BM$358)/5</f>
        <v>21.601618040381013</v>
      </c>
      <c r="BO358" s="285">
        <f>BN358+($BR$358-$BM$358)/5</f>
        <v>21.615331702068303</v>
      </c>
      <c r="BP358" s="285">
        <f>BO358+($BR$358-$BM$358)/5</f>
        <v>21.629045363755594</v>
      </c>
      <c r="BQ358" s="285">
        <f>BP358+($BR$358-$BM$358)/5</f>
        <v>21.642759025442885</v>
      </c>
      <c r="BR358" s="286">
        <f>BM358*$D$745</f>
        <v>21.656472687130176</v>
      </c>
    </row>
    <row r="359" spans="1:70" x14ac:dyDescent="0.2">
      <c r="A359" s="893" t="s">
        <v>479</v>
      </c>
      <c r="B359" s="895">
        <v>25.973251342773398</v>
      </c>
      <c r="C359" s="895">
        <v>26.680915832519499</v>
      </c>
      <c r="D359" s="895">
        <v>28.4103908538818</v>
      </c>
      <c r="E359" s="895">
        <v>27.544679641723601</v>
      </c>
      <c r="F359" s="895">
        <v>25.191349029541001</v>
      </c>
      <c r="G359" s="895">
        <v>26.348068237304702</v>
      </c>
      <c r="H359" s="895">
        <v>26.6303806304932</v>
      </c>
      <c r="I359" s="895">
        <v>27.154542922973601</v>
      </c>
      <c r="J359" s="895">
        <v>28.002742767333999</v>
      </c>
      <c r="K359" s="895">
        <v>28.757371902465799</v>
      </c>
      <c r="L359" s="895">
        <v>29.780685424804702</v>
      </c>
      <c r="M359" s="895">
        <v>30.870384216308601</v>
      </c>
      <c r="N359" s="895">
        <v>32.039138793945298</v>
      </c>
      <c r="O359" s="895">
        <v>33.131908416747997</v>
      </c>
      <c r="P359" s="895">
        <v>34.493354797363303</v>
      </c>
      <c r="Q359" s="895">
        <v>35.847507476806598</v>
      </c>
      <c r="R359" s="895">
        <v>37.095943450927699</v>
      </c>
      <c r="S359" s="895">
        <v>37.945499420166001</v>
      </c>
      <c r="T359" s="895">
        <v>38.854724884033203</v>
      </c>
      <c r="U359" s="895">
        <v>39.667263031005902</v>
      </c>
      <c r="V359" s="895">
        <v>40.613765716552699</v>
      </c>
      <c r="W359" s="895">
        <v>41.989593505859403</v>
      </c>
      <c r="X359" s="895">
        <v>43.556324005127003</v>
      </c>
      <c r="Y359" s="895">
        <v>45.098350524902301</v>
      </c>
      <c r="Z359" s="895">
        <v>46.616588592529297</v>
      </c>
    </row>
    <row r="361" spans="1:70" x14ac:dyDescent="0.2">
      <c r="A361" s="893" t="s">
        <v>513</v>
      </c>
    </row>
    <row r="362" spans="1:70" x14ac:dyDescent="0.2">
      <c r="A362" s="893" t="s">
        <v>727</v>
      </c>
    </row>
    <row r="363" spans="1:70" x14ac:dyDescent="0.2">
      <c r="A363" s="893" t="s">
        <v>473</v>
      </c>
      <c r="B363" s="895">
        <v>225.03859096661196</v>
      </c>
      <c r="C363" s="895">
        <v>238.40081787109398</v>
      </c>
      <c r="D363" s="895">
        <v>255.49913625772319</v>
      </c>
      <c r="E363" s="895">
        <v>230.9929746666815</v>
      </c>
      <c r="F363" s="895">
        <v>223.41247611699868</v>
      </c>
      <c r="G363" s="895">
        <v>235.2892736225177</v>
      </c>
      <c r="H363" s="895">
        <v>241.6920712265439</v>
      </c>
      <c r="I363" s="895">
        <v>246.56659612211084</v>
      </c>
      <c r="J363" s="895">
        <v>255.55094332875294</v>
      </c>
      <c r="K363" s="895">
        <v>264.57905396662414</v>
      </c>
      <c r="L363" s="895">
        <v>275.89920726734971</v>
      </c>
      <c r="M363" s="895">
        <v>287.49516661999758</v>
      </c>
      <c r="N363" s="895">
        <v>300.32909110683801</v>
      </c>
      <c r="O363" s="895">
        <v>313.11554742582229</v>
      </c>
      <c r="P363" s="895">
        <v>328.18192619930682</v>
      </c>
      <c r="Q363" s="895">
        <v>341.8235015289352</v>
      </c>
      <c r="R363" s="895">
        <v>355.09694320426638</v>
      </c>
      <c r="S363" s="895">
        <v>365.44612056098629</v>
      </c>
      <c r="T363" s="895">
        <v>378.29315112389759</v>
      </c>
      <c r="U363" s="895">
        <v>388.37155634393389</v>
      </c>
      <c r="V363" s="895">
        <v>402.59953615177363</v>
      </c>
      <c r="W363" s="895">
        <v>419.77981120164446</v>
      </c>
      <c r="X363" s="895">
        <v>438.87123825530841</v>
      </c>
      <c r="Y363" s="895">
        <v>455.24534715742953</v>
      </c>
      <c r="Z363" s="895">
        <v>473.03338245571979</v>
      </c>
    </row>
    <row r="364" spans="1:70" x14ac:dyDescent="0.2">
      <c r="A364" s="893" t="s">
        <v>480</v>
      </c>
      <c r="B364" s="895">
        <v>165.81601818957134</v>
      </c>
      <c r="C364" s="895">
        <v>172.89260864257801</v>
      </c>
      <c r="D364" s="895">
        <v>187.38257557629601</v>
      </c>
      <c r="E364" s="895">
        <v>169.14737359110225</v>
      </c>
      <c r="F364" s="895">
        <v>163.07263216137929</v>
      </c>
      <c r="G364" s="895">
        <v>172.91593328178766</v>
      </c>
      <c r="H364" s="895">
        <v>176.9297785804325</v>
      </c>
      <c r="I364" s="895">
        <v>182.88131988639063</v>
      </c>
      <c r="J364" s="895">
        <v>191.23749630338142</v>
      </c>
      <c r="K364" s="895">
        <v>199.89645601118545</v>
      </c>
      <c r="L364" s="895">
        <v>210.36479941888081</v>
      </c>
      <c r="M364" s="895">
        <v>221.36240217535854</v>
      </c>
      <c r="N364" s="895">
        <v>233.19080564556924</v>
      </c>
      <c r="O364" s="895">
        <v>244.70314616363081</v>
      </c>
      <c r="P364" s="895">
        <v>258.1051490216438</v>
      </c>
      <c r="Q364" s="895">
        <v>271.26123343313407</v>
      </c>
      <c r="R364" s="895">
        <v>283.50995205362011</v>
      </c>
      <c r="S364" s="895">
        <v>292.88584879534454</v>
      </c>
      <c r="T364" s="895">
        <v>303.70259464185926</v>
      </c>
      <c r="U364" s="895">
        <v>313.58347456242666</v>
      </c>
      <c r="V364" s="895">
        <v>325.89089746765683</v>
      </c>
      <c r="W364" s="895">
        <v>341.11550736031069</v>
      </c>
      <c r="X364" s="895">
        <v>358.21009848865214</v>
      </c>
      <c r="Y364" s="895">
        <v>374.9131546581271</v>
      </c>
      <c r="Z364" s="895">
        <v>392.1016075075479</v>
      </c>
    </row>
    <row r="365" spans="1:70" ht="13.5" thickBot="1" x14ac:dyDescent="0.25">
      <c r="A365" s="893" t="s">
        <v>515</v>
      </c>
      <c r="B365" s="895">
        <v>210.41252056252281</v>
      </c>
      <c r="C365" s="895">
        <v>226.88609313964801</v>
      </c>
      <c r="D365" s="895">
        <v>254.13497179068762</v>
      </c>
      <c r="E365" s="895">
        <v>187.2100922767749</v>
      </c>
      <c r="F365" s="895">
        <v>157.4270874391178</v>
      </c>
      <c r="G365" s="895">
        <v>180.83829470805441</v>
      </c>
      <c r="H365" s="895">
        <v>198.41655822177904</v>
      </c>
      <c r="I365" s="895">
        <v>216.64201952030527</v>
      </c>
      <c r="J365" s="895">
        <v>228.79975664936245</v>
      </c>
      <c r="K365" s="895">
        <v>241.15463361452254</v>
      </c>
      <c r="L365" s="895">
        <v>252.64480203410886</v>
      </c>
      <c r="M365" s="895">
        <v>265.1637238738445</v>
      </c>
      <c r="N365" s="895">
        <v>278.29776899368039</v>
      </c>
      <c r="O365" s="895">
        <v>289.61773721654419</v>
      </c>
      <c r="P365" s="895">
        <v>303.56832242347855</v>
      </c>
      <c r="Q365" s="895">
        <v>314.41390898844122</v>
      </c>
      <c r="R365" s="895">
        <v>323.63277263436424</v>
      </c>
      <c r="S365" s="895">
        <v>331.42426143912343</v>
      </c>
      <c r="T365" s="895">
        <v>339.57307272400601</v>
      </c>
      <c r="U365" s="895">
        <v>343.93727888891527</v>
      </c>
      <c r="V365" s="895">
        <v>351.82746805051073</v>
      </c>
      <c r="W365" s="895">
        <v>360.73339056833169</v>
      </c>
      <c r="X365" s="895">
        <v>371.92375563686846</v>
      </c>
      <c r="Y365" s="895">
        <v>381.22301587849751</v>
      </c>
      <c r="Z365" s="895">
        <v>389.10731115707301</v>
      </c>
    </row>
    <row r="366" spans="1:70" ht="13.5" thickBot="1" x14ac:dyDescent="0.25">
      <c r="A366" s="893" t="s">
        <v>487</v>
      </c>
      <c r="B366" s="895">
        <v>549.81888270324475</v>
      </c>
      <c r="C366" s="895">
        <v>596.84759521484398</v>
      </c>
      <c r="D366" s="895">
        <v>708.90187629235277</v>
      </c>
      <c r="E366" s="895">
        <v>406.38667462869051</v>
      </c>
      <c r="F366" s="895">
        <v>447.16295305198071</v>
      </c>
      <c r="G366" s="895">
        <v>542.65678113398656</v>
      </c>
      <c r="H366" s="895">
        <v>604.00010341071868</v>
      </c>
      <c r="I366" s="895">
        <v>661.06483901631009</v>
      </c>
      <c r="J366" s="895">
        <v>714.35686387994281</v>
      </c>
      <c r="K366" s="895">
        <v>764.16924059162022</v>
      </c>
      <c r="L366" s="895">
        <v>805.13331786340132</v>
      </c>
      <c r="M366" s="895">
        <v>850.39970498506295</v>
      </c>
      <c r="N366" s="895">
        <v>892.06783074940802</v>
      </c>
      <c r="O366" s="895">
        <v>929.55049698437085</v>
      </c>
      <c r="P366" s="895">
        <v>964.20679928883487</v>
      </c>
      <c r="Q366" s="895">
        <v>990.06920191633094</v>
      </c>
      <c r="R366" s="895">
        <v>1016.1557534719609</v>
      </c>
      <c r="S366" s="895">
        <v>1054.8326731961108</v>
      </c>
      <c r="T366" s="895">
        <v>1091.2729592511287</v>
      </c>
      <c r="U366" s="895">
        <v>1118.0349113947391</v>
      </c>
      <c r="V366" s="895">
        <v>1161.085260138974</v>
      </c>
      <c r="W366" s="895">
        <v>1181.9301954596156</v>
      </c>
      <c r="X366" s="895">
        <v>1232.4560893451367</v>
      </c>
      <c r="Y366" s="895">
        <v>1290.1595195386233</v>
      </c>
      <c r="Z366" s="895">
        <v>1322.0136898683704</v>
      </c>
      <c r="AA366" s="283">
        <f>Z536+($AI$366-$Y$536)/10</f>
        <v>5.5334229650972304</v>
      </c>
      <c r="AB366" s="283">
        <f t="shared" ref="AB366:AH366" si="27">AA366+($AI$366-$Y$536)/10</f>
        <v>5.5639341150042458</v>
      </c>
      <c r="AC366" s="283">
        <f t="shared" si="27"/>
        <v>5.5944452649112613</v>
      </c>
      <c r="AD366" s="283">
        <f t="shared" si="27"/>
        <v>5.6249564148182767</v>
      </c>
      <c r="AE366" s="283">
        <f t="shared" si="27"/>
        <v>5.6554675647252921</v>
      </c>
      <c r="AF366" s="283">
        <f t="shared" si="27"/>
        <v>5.6859787146323075</v>
      </c>
      <c r="AG366" s="283">
        <f t="shared" si="27"/>
        <v>5.716489864539323</v>
      </c>
      <c r="AH366" s="283">
        <f t="shared" si="27"/>
        <v>5.7470010144463384</v>
      </c>
      <c r="AI366" s="284">
        <f>T536*$E$742</f>
        <v>5.7775121643533494</v>
      </c>
      <c r="AJ366" s="283">
        <f>AI366+($AX$366-$AI$366)/15</f>
        <v>5.8429093568498098</v>
      </c>
      <c r="AK366" s="283">
        <f t="shared" ref="AK366:AW366" si="28">AJ366+($AX$366-$AI$366)/15</f>
        <v>5.9083065493462703</v>
      </c>
      <c r="AL366" s="283">
        <f t="shared" si="28"/>
        <v>5.9737037418427308</v>
      </c>
      <c r="AM366" s="283">
        <f t="shared" si="28"/>
        <v>6.0391009343391913</v>
      </c>
      <c r="AN366" s="283">
        <f t="shared" si="28"/>
        <v>6.1044981268356517</v>
      </c>
      <c r="AO366" s="283">
        <f t="shared" si="28"/>
        <v>6.1698953193321122</v>
      </c>
      <c r="AP366" s="283">
        <f t="shared" si="28"/>
        <v>6.2352925118285727</v>
      </c>
      <c r="AQ366" s="283">
        <f t="shared" si="28"/>
        <v>6.3006897043250332</v>
      </c>
      <c r="AR366" s="283">
        <f t="shared" si="28"/>
        <v>6.3660868968214936</v>
      </c>
      <c r="AS366" s="283">
        <f t="shared" si="28"/>
        <v>6.4314840893179541</v>
      </c>
      <c r="AT366" s="283">
        <f t="shared" si="28"/>
        <v>6.4968812818144146</v>
      </c>
      <c r="AU366" s="283">
        <f t="shared" si="28"/>
        <v>6.5622784743108751</v>
      </c>
      <c r="AV366" s="283">
        <f t="shared" si="28"/>
        <v>6.6276756668073356</v>
      </c>
      <c r="AW366" s="283">
        <f t="shared" si="28"/>
        <v>6.693072859303796</v>
      </c>
      <c r="AX366" s="284">
        <f>AI366*$B$742</f>
        <v>6.7584700518002592</v>
      </c>
      <c r="AY366" s="283">
        <f>AX366+($BM$366-$AX$366)/15</f>
        <v>6.8253907547799981</v>
      </c>
      <c r="AZ366" s="283">
        <f t="shared" ref="AZ366:BL366" si="29">AY366+($BM$366-$AX$366)/15</f>
        <v>6.8923114577597371</v>
      </c>
      <c r="BA366" s="283">
        <f t="shared" si="29"/>
        <v>6.959232160739476</v>
      </c>
      <c r="BB366" s="283">
        <f t="shared" si="29"/>
        <v>7.026152863719215</v>
      </c>
      <c r="BC366" s="283">
        <f t="shared" si="29"/>
        <v>7.0930735666989539</v>
      </c>
      <c r="BD366" s="283">
        <f t="shared" si="29"/>
        <v>7.1599942696786929</v>
      </c>
      <c r="BE366" s="283">
        <f t="shared" si="29"/>
        <v>7.2269149726584319</v>
      </c>
      <c r="BF366" s="283">
        <f t="shared" si="29"/>
        <v>7.2938356756381708</v>
      </c>
      <c r="BG366" s="283">
        <f t="shared" si="29"/>
        <v>7.3607563786179098</v>
      </c>
      <c r="BH366" s="283">
        <f t="shared" si="29"/>
        <v>7.4276770815976487</v>
      </c>
      <c r="BI366" s="283">
        <f t="shared" si="29"/>
        <v>7.4945977845773877</v>
      </c>
      <c r="BJ366" s="283">
        <f t="shared" si="29"/>
        <v>7.5615184875571266</v>
      </c>
      <c r="BK366" s="283">
        <f t="shared" si="29"/>
        <v>7.6284391905368656</v>
      </c>
      <c r="BL366" s="283">
        <f t="shared" si="29"/>
        <v>7.6953598935166045</v>
      </c>
      <c r="BM366" s="284">
        <f>AX366*$C$742</f>
        <v>7.7622805964963462</v>
      </c>
      <c r="BN366" s="283">
        <f>BM366+($BR$366-$BM$366)/5</f>
        <v>7.8391407838260445</v>
      </c>
      <c r="BO366" s="283">
        <f>BN366+($BR$366-$BM$366)/5</f>
        <v>7.9160009711557429</v>
      </c>
      <c r="BP366" s="283">
        <f>BO366+($BR$366-$BM$366)/5</f>
        <v>7.9928611584854412</v>
      </c>
      <c r="BQ366" s="283">
        <f>BP366+($BR$366-$BM$366)/5</f>
        <v>8.0697213458151396</v>
      </c>
      <c r="BR366" s="284">
        <f>BM366*$D$742</f>
        <v>8.1465815331448379</v>
      </c>
    </row>
    <row r="367" spans="1:70" x14ac:dyDescent="0.2">
      <c r="A367" s="893" t="s">
        <v>516</v>
      </c>
      <c r="B367" s="895">
        <v>1151.0859678463546</v>
      </c>
      <c r="C367" s="895">
        <v>1235.02709960938</v>
      </c>
      <c r="D367" s="895">
        <v>1405.9186066996403</v>
      </c>
      <c r="E367" s="895">
        <v>993.73713091111074</v>
      </c>
      <c r="F367" s="895">
        <v>991.07514876947641</v>
      </c>
      <c r="G367" s="895">
        <v>1131.7003147881212</v>
      </c>
      <c r="H367" s="895">
        <v>1221.038560105055</v>
      </c>
      <c r="I367" s="895">
        <v>1307.1547250090439</v>
      </c>
      <c r="J367" s="895">
        <v>1389.9450601614428</v>
      </c>
      <c r="K367" s="895">
        <v>1469.7993497059265</v>
      </c>
      <c r="L367" s="895">
        <v>1544.0421618496678</v>
      </c>
      <c r="M367" s="895">
        <v>1624.4209976542634</v>
      </c>
      <c r="N367" s="895">
        <v>1703.8854780296228</v>
      </c>
      <c r="O367" s="895">
        <v>1776.9868521708881</v>
      </c>
      <c r="P367" s="895">
        <v>1854.0622550605767</v>
      </c>
      <c r="Q367" s="895">
        <v>1917.5679054742993</v>
      </c>
      <c r="R367" s="895">
        <v>1978.3954213642144</v>
      </c>
      <c r="S367" s="895">
        <v>2044.5889248527621</v>
      </c>
      <c r="T367" s="895">
        <v>2112.8417777408945</v>
      </c>
      <c r="U367" s="895">
        <v>2163.9271994062915</v>
      </c>
      <c r="V367" s="895">
        <v>2241.4031618089139</v>
      </c>
      <c r="W367" s="895">
        <v>2303.558949985179</v>
      </c>
      <c r="X367" s="895">
        <v>2401.4612280803153</v>
      </c>
      <c r="Y367" s="895">
        <v>2501.5410135735665</v>
      </c>
      <c r="Z367" s="895">
        <v>2576.2560875804752</v>
      </c>
    </row>
    <row r="368" spans="1:70" ht="13.5" thickBot="1" x14ac:dyDescent="0.25">
      <c r="A368" s="893" t="s">
        <v>629</v>
      </c>
      <c r="B368" s="895">
        <v>3.1288517293273019E-2</v>
      </c>
      <c r="C368" s="895">
        <v>4.0145620703697205E-2</v>
      </c>
      <c r="D368" s="895">
        <v>3.8515830891447944E-2</v>
      </c>
      <c r="E368" s="895">
        <v>2.6303627333810531E-2</v>
      </c>
      <c r="F368" s="895">
        <v>5.6047443014104255E-2</v>
      </c>
      <c r="G368" s="895">
        <v>7.1119337023784479E-2</v>
      </c>
      <c r="H368" s="895">
        <v>8.8428224145552056E-2</v>
      </c>
      <c r="I368" s="895">
        <v>0.10266115711707489</v>
      </c>
      <c r="J368" s="895">
        <v>0.12491143634290662</v>
      </c>
      <c r="K368" s="895">
        <v>2.2293869286864165</v>
      </c>
      <c r="L368" s="895">
        <v>5.6123954184121017</v>
      </c>
      <c r="M368" s="895">
        <v>7.9566359351664051</v>
      </c>
      <c r="N368" s="895">
        <v>12.724991751969894</v>
      </c>
      <c r="O368" s="895">
        <v>19.495647700796784</v>
      </c>
      <c r="P368" s="895">
        <v>28.06371652814466</v>
      </c>
      <c r="Q368" s="895">
        <v>33.841758141316177</v>
      </c>
      <c r="R368" s="895">
        <v>47.452021910622882</v>
      </c>
      <c r="S368" s="895">
        <v>48.667640008057987</v>
      </c>
      <c r="T368" s="895">
        <v>47.767774332439714</v>
      </c>
      <c r="U368" s="895">
        <v>50.842459413568172</v>
      </c>
      <c r="V368" s="895">
        <v>54.12672288853372</v>
      </c>
      <c r="W368" s="895">
        <v>67.349033728123644</v>
      </c>
      <c r="X368" s="895">
        <v>72.870357898145016</v>
      </c>
      <c r="Y368" s="895">
        <v>82.472655922369356</v>
      </c>
      <c r="Z368" s="895">
        <v>85.74303480046683</v>
      </c>
    </row>
    <row r="369" spans="1:70" ht="13.5" thickBot="1" x14ac:dyDescent="0.25">
      <c r="A369" s="893" t="s">
        <v>518</v>
      </c>
      <c r="B369" s="895">
        <v>1151.1172301979784</v>
      </c>
      <c r="C369" s="895">
        <v>1235.06726074219</v>
      </c>
      <c r="D369" s="895">
        <v>1405.957155546361</v>
      </c>
      <c r="E369" s="895">
        <v>993.76346133595302</v>
      </c>
      <c r="F369" s="895">
        <v>991.13120249830877</v>
      </c>
      <c r="G369" s="895">
        <v>1131.7714475332546</v>
      </c>
      <c r="H369" s="895">
        <v>1221.1269368042056</v>
      </c>
      <c r="I369" s="895">
        <v>1307.2573637523753</v>
      </c>
      <c r="J369" s="895">
        <v>1390.0699789505047</v>
      </c>
      <c r="K369" s="895">
        <v>1472.0286986549243</v>
      </c>
      <c r="L369" s="895">
        <v>1549.6545225531884</v>
      </c>
      <c r="M369" s="895">
        <v>1632.3776685401217</v>
      </c>
      <c r="N369" s="895">
        <v>1716.6105344121597</v>
      </c>
      <c r="O369" s="895">
        <v>1796.4824632434897</v>
      </c>
      <c r="P369" s="895">
        <v>1882.1259667447755</v>
      </c>
      <c r="Q369" s="895">
        <v>1951.4096785174786</v>
      </c>
      <c r="R369" s="895">
        <v>2025.8475094892897</v>
      </c>
      <c r="S369" s="895">
        <v>2093.2565961526161</v>
      </c>
      <c r="T369" s="895">
        <v>2160.609578738799</v>
      </c>
      <c r="U369" s="895">
        <v>2214.7697023873047</v>
      </c>
      <c r="V369" s="895">
        <v>2295.5298624598372</v>
      </c>
      <c r="W369" s="895">
        <v>2370.9079156203875</v>
      </c>
      <c r="X369" s="895">
        <v>2474.3315685955818</v>
      </c>
      <c r="Y369" s="895">
        <v>2584.0136458368329</v>
      </c>
      <c r="Z369" s="895">
        <v>2661.9990499371279</v>
      </c>
      <c r="AA369" s="285">
        <f>Z539+($AI$369-$Y$539)/10</f>
        <v>15.611683809514826</v>
      </c>
      <c r="AB369" s="285">
        <f t="shared" ref="AB369:AH369" si="30">AA369+($AI$369-$Y$539)/10</f>
        <v>15.541748469704389</v>
      </c>
      <c r="AC369" s="285">
        <f t="shared" si="30"/>
        <v>15.471813129893953</v>
      </c>
      <c r="AD369" s="285">
        <f t="shared" si="30"/>
        <v>15.401877790083516</v>
      </c>
      <c r="AE369" s="285">
        <f t="shared" si="30"/>
        <v>15.331942450273079</v>
      </c>
      <c r="AF369" s="285">
        <f t="shared" si="30"/>
        <v>15.262007110462642</v>
      </c>
      <c r="AG369" s="285">
        <f t="shared" si="30"/>
        <v>15.192071770652205</v>
      </c>
      <c r="AH369" s="285">
        <f t="shared" si="30"/>
        <v>15.122136430841769</v>
      </c>
      <c r="AI369" s="286">
        <f>T539*$E$745</f>
        <v>15.052201091031337</v>
      </c>
      <c r="AJ369" s="285">
        <f>AI369+($AX$369-$AI$369)/15</f>
        <v>15.046283758755285</v>
      </c>
      <c r="AK369" s="285">
        <f t="shared" ref="AK369:AW369" si="31">AJ369+($AX$369-$AI$369)/15</f>
        <v>15.040366426479233</v>
      </c>
      <c r="AL369" s="285">
        <f t="shared" si="31"/>
        <v>15.034449094203181</v>
      </c>
      <c r="AM369" s="285">
        <f t="shared" si="31"/>
        <v>15.028531761927129</v>
      </c>
      <c r="AN369" s="285">
        <f t="shared" si="31"/>
        <v>15.022614429651076</v>
      </c>
      <c r="AO369" s="285">
        <f t="shared" si="31"/>
        <v>15.016697097375024</v>
      </c>
      <c r="AP369" s="285">
        <f t="shared" si="31"/>
        <v>15.010779765098972</v>
      </c>
      <c r="AQ369" s="285">
        <f t="shared" si="31"/>
        <v>15.00486243282292</v>
      </c>
      <c r="AR369" s="285">
        <f t="shared" si="31"/>
        <v>14.998945100546868</v>
      </c>
      <c r="AS369" s="285">
        <f t="shared" si="31"/>
        <v>14.993027768270816</v>
      </c>
      <c r="AT369" s="285">
        <f t="shared" si="31"/>
        <v>14.987110435994763</v>
      </c>
      <c r="AU369" s="285">
        <f t="shared" si="31"/>
        <v>14.981193103718711</v>
      </c>
      <c r="AV369" s="285">
        <f t="shared" si="31"/>
        <v>14.975275771442659</v>
      </c>
      <c r="AW369" s="285">
        <f t="shared" si="31"/>
        <v>14.969358439166607</v>
      </c>
      <c r="AX369" s="286">
        <f>AI369*$B$745</f>
        <v>14.963441106890555</v>
      </c>
      <c r="AY369" s="285">
        <f>AX369+($BM$369-$AX$369)/15</f>
        <v>14.972946595029557</v>
      </c>
      <c r="AZ369" s="285">
        <f t="shared" ref="AZ369:BL369" si="32">AY369+($BM$369-$AX$369)/15</f>
        <v>14.982452083168559</v>
      </c>
      <c r="BA369" s="285">
        <f t="shared" si="32"/>
        <v>14.991957571307561</v>
      </c>
      <c r="BB369" s="285">
        <f t="shared" si="32"/>
        <v>15.001463059446563</v>
      </c>
      <c r="BC369" s="285">
        <f t="shared" si="32"/>
        <v>15.010968547585565</v>
      </c>
      <c r="BD369" s="285">
        <f t="shared" si="32"/>
        <v>15.020474035724567</v>
      </c>
      <c r="BE369" s="285">
        <f t="shared" si="32"/>
        <v>15.029979523863569</v>
      </c>
      <c r="BF369" s="285">
        <f t="shared" si="32"/>
        <v>15.03948501200257</v>
      </c>
      <c r="BG369" s="285">
        <f t="shared" si="32"/>
        <v>15.048990500141572</v>
      </c>
      <c r="BH369" s="285">
        <f t="shared" si="32"/>
        <v>15.058495988280574</v>
      </c>
      <c r="BI369" s="285">
        <f t="shared" si="32"/>
        <v>15.068001476419576</v>
      </c>
      <c r="BJ369" s="285">
        <f t="shared" si="32"/>
        <v>15.077506964558578</v>
      </c>
      <c r="BK369" s="285">
        <f t="shared" si="32"/>
        <v>15.08701245269758</v>
      </c>
      <c r="BL369" s="285">
        <f t="shared" si="32"/>
        <v>15.096517940836582</v>
      </c>
      <c r="BM369" s="286">
        <f>AX369*$C$745</f>
        <v>15.106023428975591</v>
      </c>
      <c r="BN369" s="285">
        <f>BM369+($BR$369-$BM$369)/5</f>
        <v>15.115619492174282</v>
      </c>
      <c r="BO369" s="285">
        <f>BN369+($BR$369-$BM$369)/5</f>
        <v>15.125215555372973</v>
      </c>
      <c r="BP369" s="285">
        <f>BO369+($BR$369-$BM$369)/5</f>
        <v>15.134811618571664</v>
      </c>
      <c r="BQ369" s="285">
        <f>BP369+($BR$369-$BM$369)/5</f>
        <v>15.144407681770355</v>
      </c>
      <c r="BR369" s="286">
        <f>BM369*$D$745</f>
        <v>15.154003744969049</v>
      </c>
    </row>
    <row r="373" spans="1:70" ht="13.5" thickBot="1" x14ac:dyDescent="0.25">
      <c r="A373" s="893" t="s">
        <v>630</v>
      </c>
    </row>
    <row r="374" spans="1:70" ht="13.5" thickBot="1" x14ac:dyDescent="0.25">
      <c r="A374" s="893" t="s">
        <v>631</v>
      </c>
      <c r="AA374" s="287">
        <f>Z544+($AI$374-$Y$544)/10</f>
        <v>11.584123362673006</v>
      </c>
      <c r="AB374" s="287">
        <f t="shared" ref="AB374:AH374" si="33">AA374+($AI$374-$Y$544)/10</f>
        <v>11.952852829654059</v>
      </c>
      <c r="AC374" s="287">
        <f t="shared" si="33"/>
        <v>12.321582296635112</v>
      </c>
      <c r="AD374" s="287">
        <f t="shared" si="33"/>
        <v>12.690311763616165</v>
      </c>
      <c r="AE374" s="287">
        <f t="shared" si="33"/>
        <v>13.059041230597218</v>
      </c>
      <c r="AF374" s="287">
        <f t="shared" si="33"/>
        <v>13.427770697578271</v>
      </c>
      <c r="AG374" s="287">
        <f t="shared" si="33"/>
        <v>13.796500164559324</v>
      </c>
      <c r="AH374" s="287">
        <f t="shared" si="33"/>
        <v>14.165229631540377</v>
      </c>
      <c r="AI374" s="288">
        <f>T544*$E$744</f>
        <v>14.533959098521429</v>
      </c>
      <c r="AJ374" s="287">
        <f>AI374+($AX$374-$AI$374)/15</f>
        <v>14.687791105011014</v>
      </c>
      <c r="AK374" s="287">
        <f t="shared" ref="AK374:AW374" si="34">AJ374+($AX$374-$AI$374)/15</f>
        <v>14.841623111500599</v>
      </c>
      <c r="AL374" s="287">
        <f t="shared" si="34"/>
        <v>14.995455117990184</v>
      </c>
      <c r="AM374" s="287">
        <f t="shared" si="34"/>
        <v>15.14928712447977</v>
      </c>
      <c r="AN374" s="287">
        <f t="shared" si="34"/>
        <v>15.303119130969355</v>
      </c>
      <c r="AO374" s="287">
        <f t="shared" si="34"/>
        <v>15.45695113745894</v>
      </c>
      <c r="AP374" s="287">
        <f t="shared" si="34"/>
        <v>15.610783143948526</v>
      </c>
      <c r="AQ374" s="287">
        <f t="shared" si="34"/>
        <v>15.764615150438111</v>
      </c>
      <c r="AR374" s="287">
        <f t="shared" si="34"/>
        <v>15.918447156927696</v>
      </c>
      <c r="AS374" s="287">
        <f t="shared" si="34"/>
        <v>16.072279163417281</v>
      </c>
      <c r="AT374" s="287">
        <f t="shared" si="34"/>
        <v>16.226111169906865</v>
      </c>
      <c r="AU374" s="287">
        <f t="shared" si="34"/>
        <v>16.379943176396448</v>
      </c>
      <c r="AV374" s="287">
        <f t="shared" si="34"/>
        <v>16.533775182886032</v>
      </c>
      <c r="AW374" s="287">
        <f t="shared" si="34"/>
        <v>16.687607189375615</v>
      </c>
      <c r="AX374" s="288">
        <f>AI374*$B$744</f>
        <v>16.841439195865195</v>
      </c>
      <c r="AY374" s="287">
        <f>AX374+($BM$374-$AX$374)/15</f>
        <v>16.937333989857837</v>
      </c>
      <c r="AZ374" s="287">
        <f t="shared" ref="AZ374:BL374" si="35">AY374+($BM$374-$AX$374)/15</f>
        <v>17.033228783850479</v>
      </c>
      <c r="BA374" s="287">
        <f t="shared" si="35"/>
        <v>17.129123577843121</v>
      </c>
      <c r="BB374" s="287">
        <f t="shared" si="35"/>
        <v>17.225018371835763</v>
      </c>
      <c r="BC374" s="287">
        <f t="shared" si="35"/>
        <v>17.320913165828404</v>
      </c>
      <c r="BD374" s="287">
        <f t="shared" si="35"/>
        <v>17.416807959821046</v>
      </c>
      <c r="BE374" s="287">
        <f t="shared" si="35"/>
        <v>17.512702753813688</v>
      </c>
      <c r="BF374" s="287">
        <f t="shared" si="35"/>
        <v>17.60859754780633</v>
      </c>
      <c r="BG374" s="287">
        <f t="shared" si="35"/>
        <v>17.704492341798971</v>
      </c>
      <c r="BH374" s="287">
        <f t="shared" si="35"/>
        <v>17.800387135791613</v>
      </c>
      <c r="BI374" s="287">
        <f t="shared" si="35"/>
        <v>17.896281929784255</v>
      </c>
      <c r="BJ374" s="287">
        <f t="shared" si="35"/>
        <v>17.992176723776897</v>
      </c>
      <c r="BK374" s="287">
        <f t="shared" si="35"/>
        <v>18.088071517769539</v>
      </c>
      <c r="BL374" s="287">
        <f t="shared" si="35"/>
        <v>18.18396631176218</v>
      </c>
      <c r="BM374" s="288">
        <f>AX374*$C$744</f>
        <v>18.27986110575484</v>
      </c>
      <c r="BN374" s="287">
        <f>BM374+($BR$374-$BM$374)/5</f>
        <v>18.383946243287554</v>
      </c>
      <c r="BO374" s="287">
        <f>BN374+($BR$374-$BM$374)/5</f>
        <v>18.488031380820267</v>
      </c>
      <c r="BP374" s="287">
        <f>BO374+($BR$374-$BM$374)/5</f>
        <v>18.592116518352981</v>
      </c>
      <c r="BQ374" s="287">
        <f>BP374+($BR$374-$BM$374)/5</f>
        <v>18.696201655885694</v>
      </c>
      <c r="BR374" s="288">
        <f>BM374*$D$744</f>
        <v>18.800286793418415</v>
      </c>
    </row>
    <row r="375" spans="1:70" ht="13.5" thickBot="1" x14ac:dyDescent="0.25">
      <c r="A375" s="893" t="s">
        <v>632</v>
      </c>
    </row>
    <row r="376" spans="1:70" ht="13.5" thickBot="1" x14ac:dyDescent="0.25">
      <c r="A376" s="893" t="s">
        <v>728</v>
      </c>
      <c r="AA376" s="287">
        <f>Z546+($AI$376-$Y$546)/10</f>
        <v>13.665763245709009</v>
      </c>
      <c r="AB376" s="287">
        <f t="shared" ref="AB376:AH376" si="36">AA376+($AI$376-$Y$546)/10</f>
        <v>14.091688195895063</v>
      </c>
      <c r="AC376" s="287">
        <f t="shared" si="36"/>
        <v>14.517613146081118</v>
      </c>
      <c r="AD376" s="287">
        <f t="shared" si="36"/>
        <v>14.943538096267172</v>
      </c>
      <c r="AE376" s="287">
        <f t="shared" si="36"/>
        <v>15.369463046453227</v>
      </c>
      <c r="AF376" s="287">
        <f t="shared" si="36"/>
        <v>15.795387996639281</v>
      </c>
      <c r="AG376" s="287">
        <f t="shared" si="36"/>
        <v>16.221312946825336</v>
      </c>
      <c r="AH376" s="287">
        <f t="shared" si="36"/>
        <v>16.64723789701139</v>
      </c>
      <c r="AI376" s="288">
        <f>T546*$E$744</f>
        <v>17.073162847197445</v>
      </c>
      <c r="AJ376" s="287">
        <f>AI376+($AX$376-$AI$376)/15</f>
        <v>17.253870586919582</v>
      </c>
      <c r="AK376" s="287">
        <f t="shared" ref="AK376:AW376" si="37">AJ376+($AX$376-$AI$376)/15</f>
        <v>17.43457832664172</v>
      </c>
      <c r="AL376" s="287">
        <f t="shared" si="37"/>
        <v>17.615286066363858</v>
      </c>
      <c r="AM376" s="287">
        <f t="shared" si="37"/>
        <v>17.795993806085995</v>
      </c>
      <c r="AN376" s="287">
        <f t="shared" si="37"/>
        <v>17.976701545808133</v>
      </c>
      <c r="AO376" s="287">
        <f t="shared" si="37"/>
        <v>18.157409285530271</v>
      </c>
      <c r="AP376" s="287">
        <f t="shared" si="37"/>
        <v>18.338117025252409</v>
      </c>
      <c r="AQ376" s="287">
        <f t="shared" si="37"/>
        <v>18.518824764974546</v>
      </c>
      <c r="AR376" s="287">
        <f t="shared" si="37"/>
        <v>18.699532504696684</v>
      </c>
      <c r="AS376" s="287">
        <f t="shared" si="37"/>
        <v>18.880240244418822</v>
      </c>
      <c r="AT376" s="287">
        <f t="shared" si="37"/>
        <v>19.060947984140959</v>
      </c>
      <c r="AU376" s="287">
        <f t="shared" si="37"/>
        <v>19.241655723863097</v>
      </c>
      <c r="AV376" s="287">
        <f t="shared" si="37"/>
        <v>19.422363463585235</v>
      </c>
      <c r="AW376" s="287">
        <f t="shared" si="37"/>
        <v>19.603071203307373</v>
      </c>
      <c r="AX376" s="288">
        <f>AI376*$B$744</f>
        <v>19.783778943029514</v>
      </c>
      <c r="AY376" s="287">
        <f>AX376+($BM$376-$AX$376)/15</f>
        <v>19.896427356509733</v>
      </c>
      <c r="AZ376" s="287">
        <f t="shared" ref="AZ376:BL376" si="38">AY376+($BM$376-$AX$376)/15</f>
        <v>20.009075769989952</v>
      </c>
      <c r="BA376" s="287">
        <f t="shared" si="38"/>
        <v>20.121724183470171</v>
      </c>
      <c r="BB376" s="287">
        <f t="shared" si="38"/>
        <v>20.23437259695039</v>
      </c>
      <c r="BC376" s="287">
        <f t="shared" si="38"/>
        <v>20.347021010430609</v>
      </c>
      <c r="BD376" s="287">
        <f t="shared" si="38"/>
        <v>20.459669423910828</v>
      </c>
      <c r="BE376" s="287">
        <f t="shared" si="38"/>
        <v>20.572317837391047</v>
      </c>
      <c r="BF376" s="287">
        <f t="shared" si="38"/>
        <v>20.684966250871266</v>
      </c>
      <c r="BG376" s="287">
        <f t="shared" si="38"/>
        <v>20.797614664351485</v>
      </c>
      <c r="BH376" s="287">
        <f t="shared" si="38"/>
        <v>20.910263077831704</v>
      </c>
      <c r="BI376" s="287">
        <f t="shared" si="38"/>
        <v>21.022911491311923</v>
      </c>
      <c r="BJ376" s="287">
        <f t="shared" si="38"/>
        <v>21.135559904792142</v>
      </c>
      <c r="BK376" s="287">
        <f t="shared" si="38"/>
        <v>21.248208318272361</v>
      </c>
      <c r="BL376" s="287">
        <f t="shared" si="38"/>
        <v>21.36085673175258</v>
      </c>
      <c r="BM376" s="288">
        <f>AX376*$C$744</f>
        <v>21.47350514523281</v>
      </c>
      <c r="BN376" s="287">
        <f>BM376+($BR$376-$BM$376)/5</f>
        <v>21.595774823509927</v>
      </c>
      <c r="BO376" s="287">
        <f>BN376+($BR$376-$BM$376)/5</f>
        <v>21.718044501787045</v>
      </c>
      <c r="BP376" s="287">
        <f>BO376+($BR$376-$BM$376)/5</f>
        <v>21.840314180064162</v>
      </c>
      <c r="BQ376" s="287">
        <f>BP376+($BR$376-$BM$376)/5</f>
        <v>21.962583858341279</v>
      </c>
      <c r="BR376" s="288">
        <f>BM376*$D$744</f>
        <v>22.084853536618393</v>
      </c>
    </row>
    <row r="377" spans="1:70" x14ac:dyDescent="0.2">
      <c r="A377" s="893" t="s">
        <v>729</v>
      </c>
    </row>
    <row r="378" spans="1:70" x14ac:dyDescent="0.2">
      <c r="A378" s="893" t="s">
        <v>649</v>
      </c>
    </row>
    <row r="379" spans="1:70" ht="13.5" thickBot="1" x14ac:dyDescent="0.25">
      <c r="A379" s="893" t="s">
        <v>650</v>
      </c>
    </row>
    <row r="380" spans="1:70" ht="13.5" thickBot="1" x14ac:dyDescent="0.25">
      <c r="A380" s="893" t="s">
        <v>651</v>
      </c>
      <c r="AA380" s="289">
        <f>Z550+($AI$380-$Y$550)/10</f>
        <v>17.944433063730909</v>
      </c>
      <c r="AB380" s="289">
        <f t="shared" ref="AB380:AH380" si="39">AA380+($AI$380-$Y$550)/10</f>
        <v>17.852387205459664</v>
      </c>
      <c r="AC380" s="289">
        <f t="shared" si="39"/>
        <v>17.760341347188419</v>
      </c>
      <c r="AD380" s="289">
        <f t="shared" si="39"/>
        <v>17.668295488917174</v>
      </c>
      <c r="AE380" s="289">
        <f t="shared" si="39"/>
        <v>17.576249630645929</v>
      </c>
      <c r="AF380" s="289">
        <f t="shared" si="39"/>
        <v>17.484203772374684</v>
      </c>
      <c r="AG380" s="289">
        <f t="shared" si="39"/>
        <v>17.392157914103439</v>
      </c>
      <c r="AH380" s="289">
        <f t="shared" si="39"/>
        <v>17.300112055832194</v>
      </c>
      <c r="AI380" s="290">
        <f>T550*$E$747</f>
        <v>17.208066197560942</v>
      </c>
      <c r="AJ380" s="289">
        <f>AI380+($AX$380-$AI$380)/15</f>
        <v>17.219509839491277</v>
      </c>
      <c r="AK380" s="289">
        <f t="shared" ref="AK380:AW380" si="40">AJ380+($AX$380-$AI$380)/15</f>
        <v>17.230953481421611</v>
      </c>
      <c r="AL380" s="289">
        <f t="shared" si="40"/>
        <v>17.242397123351946</v>
      </c>
      <c r="AM380" s="289">
        <f t="shared" si="40"/>
        <v>17.253840765282281</v>
      </c>
      <c r="AN380" s="289">
        <f t="shared" si="40"/>
        <v>17.265284407212615</v>
      </c>
      <c r="AO380" s="289">
        <f t="shared" si="40"/>
        <v>17.27672804914295</v>
      </c>
      <c r="AP380" s="289">
        <f t="shared" si="40"/>
        <v>17.288171691073284</v>
      </c>
      <c r="AQ380" s="289">
        <f t="shared" si="40"/>
        <v>17.299615333003619</v>
      </c>
      <c r="AR380" s="289">
        <f t="shared" si="40"/>
        <v>17.311058974933953</v>
      </c>
      <c r="AS380" s="289">
        <f t="shared" si="40"/>
        <v>17.322502616864288</v>
      </c>
      <c r="AT380" s="289">
        <f t="shared" si="40"/>
        <v>17.333946258794622</v>
      </c>
      <c r="AU380" s="289">
        <f t="shared" si="40"/>
        <v>17.345389900724957</v>
      </c>
      <c r="AV380" s="289">
        <f t="shared" si="40"/>
        <v>17.356833542655291</v>
      </c>
      <c r="AW380" s="289">
        <f t="shared" si="40"/>
        <v>17.368277184585626</v>
      </c>
      <c r="AX380" s="290">
        <f>AI380*$B$747</f>
        <v>17.379720826515971</v>
      </c>
      <c r="AY380" s="289">
        <f>AX380+($BM$380-$AX$380)/15</f>
        <v>17.385626979648983</v>
      </c>
      <c r="AZ380" s="289">
        <f t="shared" ref="AZ380:BL380" si="41">AY380+($BM$380-$AX$380)/15</f>
        <v>17.391533132781994</v>
      </c>
      <c r="BA380" s="289">
        <f t="shared" si="41"/>
        <v>17.397439285915006</v>
      </c>
      <c r="BB380" s="289">
        <f t="shared" si="41"/>
        <v>17.403345439048017</v>
      </c>
      <c r="BC380" s="289">
        <f t="shared" si="41"/>
        <v>17.409251592181029</v>
      </c>
      <c r="BD380" s="289">
        <f t="shared" si="41"/>
        <v>17.41515774531404</v>
      </c>
      <c r="BE380" s="289">
        <f t="shared" si="41"/>
        <v>17.421063898447052</v>
      </c>
      <c r="BF380" s="289">
        <f t="shared" si="41"/>
        <v>17.426970051580064</v>
      </c>
      <c r="BG380" s="289">
        <f t="shared" si="41"/>
        <v>17.432876204713075</v>
      </c>
      <c r="BH380" s="289">
        <f t="shared" si="41"/>
        <v>17.438782357846087</v>
      </c>
      <c r="BI380" s="289">
        <f t="shared" si="41"/>
        <v>17.444688510979098</v>
      </c>
      <c r="BJ380" s="289">
        <f t="shared" si="41"/>
        <v>17.45059466411211</v>
      </c>
      <c r="BK380" s="289">
        <f t="shared" si="41"/>
        <v>17.456500817245121</v>
      </c>
      <c r="BL380" s="289">
        <f t="shared" si="41"/>
        <v>17.462406970378133</v>
      </c>
      <c r="BM380" s="290">
        <f>AX380*$C$747</f>
        <v>17.468313123511169</v>
      </c>
      <c r="BN380" s="289">
        <f>BM380+($BR$380-$BM$380)/5</f>
        <v>17.474249382977746</v>
      </c>
      <c r="BO380" s="289">
        <f>BN380+($BR$380-$BM$380)/5</f>
        <v>17.480185642444322</v>
      </c>
      <c r="BP380" s="289">
        <f>BO380+($BR$380-$BM$380)/5</f>
        <v>17.486121901910899</v>
      </c>
      <c r="BQ380" s="289">
        <f>BP380+($BR$380-$BM$380)/5</f>
        <v>17.492058161377475</v>
      </c>
      <c r="BR380" s="290">
        <f>BM380*$D$747</f>
        <v>17.497994420844059</v>
      </c>
    </row>
    <row r="381" spans="1:70" x14ac:dyDescent="0.2">
      <c r="A381" s="893" t="s">
        <v>652</v>
      </c>
    </row>
    <row r="382" spans="1:70" x14ac:dyDescent="0.2">
      <c r="A382" s="893" t="s">
        <v>653</v>
      </c>
    </row>
    <row r="383" spans="1:70" x14ac:dyDescent="0.2">
      <c r="A383" s="893" t="s">
        <v>654</v>
      </c>
    </row>
    <row r="384" spans="1:70" x14ac:dyDescent="0.2">
      <c r="A384" s="893" t="s">
        <v>545</v>
      </c>
    </row>
    <row r="385" spans="1:70" x14ac:dyDescent="0.2">
      <c r="A385" s="893" t="s">
        <v>730</v>
      </c>
    </row>
    <row r="386" spans="1:70" x14ac:dyDescent="0.2">
      <c r="A386" s="893" t="s">
        <v>731</v>
      </c>
    </row>
    <row r="387" spans="1:70" x14ac:dyDescent="0.2">
      <c r="A387" s="893" t="s">
        <v>732</v>
      </c>
    </row>
    <row r="388" spans="1:70" x14ac:dyDescent="0.2">
      <c r="A388" s="893" t="s">
        <v>733</v>
      </c>
    </row>
    <row r="389" spans="1:70" x14ac:dyDescent="0.2">
      <c r="A389" s="893" t="s">
        <v>734</v>
      </c>
    </row>
    <row r="390" spans="1:70" x14ac:dyDescent="0.2">
      <c r="A390" s="893" t="s">
        <v>735</v>
      </c>
    </row>
    <row r="391" spans="1:70" ht="13.5" thickBot="1" x14ac:dyDescent="0.25">
      <c r="A391" s="893" t="s">
        <v>736</v>
      </c>
    </row>
    <row r="392" spans="1:70" ht="13.5" thickBot="1" x14ac:dyDescent="0.25">
      <c r="A392" s="893" t="s">
        <v>737</v>
      </c>
      <c r="AA392" s="283">
        <f>Z562+($AI$392-$Y$562)/10</f>
        <v>5.5024940130181221</v>
      </c>
      <c r="AB392" s="283">
        <f t="shared" ref="AB392:AH392" si="42">AA392+($AI$392-$Y$562)/10</f>
        <v>5.5327298577229831</v>
      </c>
      <c r="AC392" s="283">
        <f t="shared" si="42"/>
        <v>5.5629657024278441</v>
      </c>
      <c r="AD392" s="283">
        <f t="shared" si="42"/>
        <v>5.593201547132705</v>
      </c>
      <c r="AE392" s="283">
        <f t="shared" si="42"/>
        <v>5.623437391837566</v>
      </c>
      <c r="AF392" s="283">
        <f t="shared" si="42"/>
        <v>5.6536732365424269</v>
      </c>
      <c r="AG392" s="283">
        <f t="shared" si="42"/>
        <v>5.6839090812472879</v>
      </c>
      <c r="AH392" s="283">
        <f t="shared" si="42"/>
        <v>5.7141449259521488</v>
      </c>
      <c r="AI392" s="284">
        <f>T562*$E$742</f>
        <v>5.7443807706570116</v>
      </c>
      <c r="AJ392" s="283">
        <f>AI392+($AX$392-$AI$392)/15</f>
        <v>5.809402940121136</v>
      </c>
      <c r="AK392" s="283">
        <f t="shared" ref="AK392:AW392" si="43">AJ392+($AX$392-$AI$392)/15</f>
        <v>5.8744251095852604</v>
      </c>
      <c r="AL392" s="283">
        <f t="shared" si="43"/>
        <v>5.9394472790493849</v>
      </c>
      <c r="AM392" s="283">
        <f t="shared" si="43"/>
        <v>6.0044694485135093</v>
      </c>
      <c r="AN392" s="283">
        <f t="shared" si="43"/>
        <v>6.0694916179776337</v>
      </c>
      <c r="AO392" s="283">
        <f t="shared" si="43"/>
        <v>6.1345137874417581</v>
      </c>
      <c r="AP392" s="283">
        <f t="shared" si="43"/>
        <v>6.1995359569058825</v>
      </c>
      <c r="AQ392" s="283">
        <f t="shared" si="43"/>
        <v>6.264558126370007</v>
      </c>
      <c r="AR392" s="283">
        <f t="shared" si="43"/>
        <v>6.3295802958341314</v>
      </c>
      <c r="AS392" s="283">
        <f t="shared" si="43"/>
        <v>6.3946024652982558</v>
      </c>
      <c r="AT392" s="283">
        <f t="shared" si="43"/>
        <v>6.4596246347623802</v>
      </c>
      <c r="AU392" s="283">
        <f t="shared" si="43"/>
        <v>6.5246468042265047</v>
      </c>
      <c r="AV392" s="283">
        <f t="shared" si="43"/>
        <v>6.5896689736906291</v>
      </c>
      <c r="AW392" s="283">
        <f t="shared" si="43"/>
        <v>6.6546911431547535</v>
      </c>
      <c r="AX392" s="284">
        <f>AI392*$B$742</f>
        <v>6.7197133126188779</v>
      </c>
      <c r="AY392" s="283">
        <f>AX392+($BM$392-$AX$392)/15</f>
        <v>6.7862502559294402</v>
      </c>
      <c r="AZ392" s="283">
        <f t="shared" ref="AZ392:BL392" si="44">AY392+($BM$392-$AX$392)/15</f>
        <v>6.8527871992400025</v>
      </c>
      <c r="BA392" s="283">
        <f t="shared" si="44"/>
        <v>6.9193241425505647</v>
      </c>
      <c r="BB392" s="283">
        <f t="shared" si="44"/>
        <v>6.985861085861127</v>
      </c>
      <c r="BC392" s="283">
        <f t="shared" si="44"/>
        <v>7.0523980291716892</v>
      </c>
      <c r="BD392" s="283">
        <f t="shared" si="44"/>
        <v>7.1189349724822515</v>
      </c>
      <c r="BE392" s="283">
        <f t="shared" si="44"/>
        <v>7.1854719157928137</v>
      </c>
      <c r="BF392" s="283">
        <f t="shared" si="44"/>
        <v>7.252008859103376</v>
      </c>
      <c r="BG392" s="283">
        <f t="shared" si="44"/>
        <v>7.3185458024139383</v>
      </c>
      <c r="BH392" s="283">
        <f t="shared" si="44"/>
        <v>7.3850827457245005</v>
      </c>
      <c r="BI392" s="283">
        <f t="shared" si="44"/>
        <v>7.4516196890350628</v>
      </c>
      <c r="BJ392" s="283">
        <f t="shared" si="44"/>
        <v>7.518156632345625</v>
      </c>
      <c r="BK392" s="283">
        <f t="shared" si="44"/>
        <v>7.5846935756561873</v>
      </c>
      <c r="BL392" s="283">
        <f t="shared" si="44"/>
        <v>7.6512305189667495</v>
      </c>
      <c r="BM392" s="284">
        <f>AX392*$C$742</f>
        <v>7.7177674622773127</v>
      </c>
      <c r="BN392" s="283">
        <f>BM392+($BR$392-$BM$392)/5</f>
        <v>7.7941868915344088</v>
      </c>
      <c r="BO392" s="283">
        <f>BN392+($BR$392-$BM$392)/5</f>
        <v>7.8706063207915049</v>
      </c>
      <c r="BP392" s="283">
        <f>BO392+($BR$392-$BM$392)/5</f>
        <v>7.947025750048601</v>
      </c>
      <c r="BQ392" s="283">
        <f>BP392+($BR$392-$BM$392)/5</f>
        <v>8.023445179305698</v>
      </c>
      <c r="BR392" s="284">
        <f>BM392*$D$742</f>
        <v>8.099864608562795</v>
      </c>
    </row>
    <row r="393" spans="1:70" ht="13.5" thickBot="1" x14ac:dyDescent="0.25">
      <c r="A393" s="893" t="s">
        <v>738</v>
      </c>
      <c r="AA393" s="291">
        <f>Z563+($AI$393-$Y$563)/10</f>
        <v>1.3116492415795387</v>
      </c>
      <c r="AB393" s="291">
        <f t="shared" ref="AB393:AH393" si="45">AA393+($AI$393-$Y$563)/10</f>
        <v>1.314474997718583</v>
      </c>
      <c r="AC393" s="291">
        <f t="shared" si="45"/>
        <v>1.3173007538576273</v>
      </c>
      <c r="AD393" s="291">
        <f t="shared" si="45"/>
        <v>1.3201265099966717</v>
      </c>
      <c r="AE393" s="291">
        <f t="shared" si="45"/>
        <v>1.322952266135716</v>
      </c>
      <c r="AF393" s="291">
        <f t="shared" si="45"/>
        <v>1.3257780222747604</v>
      </c>
      <c r="AG393" s="291">
        <f t="shared" si="45"/>
        <v>1.3286037784138047</v>
      </c>
      <c r="AH393" s="291">
        <f t="shared" si="45"/>
        <v>1.3314295345528491</v>
      </c>
      <c r="AI393" s="292">
        <f>T563*$E$740</f>
        <v>1.3342552906918941</v>
      </c>
      <c r="AJ393" s="291">
        <f>AI393+($AX$393-$AI$393)/15</f>
        <v>1.3381671025139799</v>
      </c>
      <c r="AK393" s="291">
        <f t="shared" ref="AK393:AW393" si="46">AJ393+($AX$393-$AI$393)/15</f>
        <v>1.3420789143360656</v>
      </c>
      <c r="AL393" s="291">
        <f t="shared" si="46"/>
        <v>1.3459907261581514</v>
      </c>
      <c r="AM393" s="291">
        <f t="shared" si="46"/>
        <v>1.3499025379802372</v>
      </c>
      <c r="AN393" s="291">
        <f t="shared" si="46"/>
        <v>1.353814349802323</v>
      </c>
      <c r="AO393" s="291">
        <f t="shared" si="46"/>
        <v>1.3577261616244087</v>
      </c>
      <c r="AP393" s="291">
        <f t="shared" si="46"/>
        <v>1.3616379734464945</v>
      </c>
      <c r="AQ393" s="291">
        <f t="shared" si="46"/>
        <v>1.3655497852685803</v>
      </c>
      <c r="AR393" s="291">
        <f t="shared" si="46"/>
        <v>1.3694615970906661</v>
      </c>
      <c r="AS393" s="291">
        <f t="shared" si="46"/>
        <v>1.3733734089127518</v>
      </c>
      <c r="AT393" s="291">
        <f t="shared" si="46"/>
        <v>1.3772852207348376</v>
      </c>
      <c r="AU393" s="291">
        <f t="shared" si="46"/>
        <v>1.3811970325569234</v>
      </c>
      <c r="AV393" s="291">
        <f t="shared" si="46"/>
        <v>1.3851088443790092</v>
      </c>
      <c r="AW393" s="291">
        <f t="shared" si="46"/>
        <v>1.3890206562010949</v>
      </c>
      <c r="AX393" s="292">
        <f>AI393*$B$740</f>
        <v>1.3929324680231794</v>
      </c>
      <c r="AY393" s="291">
        <f>AX393+($BM$393-$AX$393)/15</f>
        <v>1.3955742685410359</v>
      </c>
      <c r="AZ393" s="291">
        <f t="shared" ref="AZ393:BL393" si="47">AY393+($BM$393-$AX$393)/15</f>
        <v>1.3982160690588925</v>
      </c>
      <c r="BA393" s="291">
        <f t="shared" si="47"/>
        <v>1.4008578695767491</v>
      </c>
      <c r="BB393" s="291">
        <f t="shared" si="47"/>
        <v>1.4034996700946056</v>
      </c>
      <c r="BC393" s="291">
        <f t="shared" si="47"/>
        <v>1.4061414706124622</v>
      </c>
      <c r="BD393" s="291">
        <f t="shared" si="47"/>
        <v>1.4087832711303188</v>
      </c>
      <c r="BE393" s="291">
        <f t="shared" si="47"/>
        <v>1.4114250716481753</v>
      </c>
      <c r="BF393" s="291">
        <f t="shared" si="47"/>
        <v>1.4140668721660319</v>
      </c>
      <c r="BG393" s="291">
        <f t="shared" si="47"/>
        <v>1.4167086726838884</v>
      </c>
      <c r="BH393" s="291">
        <f t="shared" si="47"/>
        <v>1.419350473201745</v>
      </c>
      <c r="BI393" s="291">
        <f t="shared" si="47"/>
        <v>1.4219922737196016</v>
      </c>
      <c r="BJ393" s="291">
        <f t="shared" si="47"/>
        <v>1.4246340742374581</v>
      </c>
      <c r="BK393" s="291">
        <f t="shared" si="47"/>
        <v>1.4272758747553147</v>
      </c>
      <c r="BL393" s="291">
        <f t="shared" si="47"/>
        <v>1.4299176752731713</v>
      </c>
      <c r="BM393" s="292">
        <f>AX393*$C$740</f>
        <v>1.4325594757910274</v>
      </c>
      <c r="BN393" s="291">
        <f>BM393+($BR$393-$BM$393)/5</f>
        <v>1.4352764318903966</v>
      </c>
      <c r="BO393" s="291">
        <f>BN393+($BR$393-$BM$393)/5</f>
        <v>1.4379933879897657</v>
      </c>
      <c r="BP393" s="291">
        <f>BO393+($BR$393-$BM$393)/5</f>
        <v>1.4407103440891349</v>
      </c>
      <c r="BQ393" s="291">
        <f>BP393+($BR$393-$BM$393)/5</f>
        <v>1.4434273001885041</v>
      </c>
      <c r="BR393" s="292">
        <f>BM393*$D$740</f>
        <v>1.4461442562878735</v>
      </c>
    </row>
    <row r="394" spans="1:70" x14ac:dyDescent="0.2">
      <c r="A394" s="893" t="s">
        <v>739</v>
      </c>
    </row>
    <row r="395" spans="1:70" x14ac:dyDescent="0.2">
      <c r="A395" s="893" t="s">
        <v>740</v>
      </c>
    </row>
    <row r="396" spans="1:70" x14ac:dyDescent="0.2">
      <c r="A396" s="893" t="s">
        <v>741</v>
      </c>
    </row>
    <row r="397" spans="1:70" x14ac:dyDescent="0.2">
      <c r="A397" s="893" t="s">
        <v>742</v>
      </c>
    </row>
    <row r="403" spans="1:26" x14ac:dyDescent="0.2">
      <c r="A403" s="306" t="s">
        <v>864</v>
      </c>
      <c r="B403" s="306"/>
      <c r="C403" s="306"/>
      <c r="D403" s="306"/>
      <c r="E403" s="306"/>
      <c r="F403" s="306"/>
      <c r="G403" s="306"/>
      <c r="H403" s="306"/>
      <c r="I403" s="306"/>
      <c r="J403" s="306"/>
      <c r="K403" s="306"/>
      <c r="L403" s="306"/>
      <c r="M403" s="306"/>
      <c r="N403" s="306"/>
      <c r="O403" s="306"/>
      <c r="P403" s="306"/>
      <c r="Q403" s="306"/>
      <c r="R403" s="306"/>
      <c r="S403" s="306"/>
      <c r="T403" s="306"/>
      <c r="U403" s="306"/>
      <c r="V403" s="306"/>
      <c r="W403" s="306"/>
      <c r="X403" s="306"/>
      <c r="Y403" s="306"/>
      <c r="Z403" s="306"/>
    </row>
    <row r="404" spans="1:26" x14ac:dyDescent="0.2">
      <c r="A404" s="306" t="s">
        <v>601</v>
      </c>
      <c r="B404" s="306"/>
      <c r="C404" s="306"/>
      <c r="D404" s="306"/>
      <c r="E404" s="306"/>
      <c r="F404" s="306"/>
      <c r="G404" s="306"/>
      <c r="H404" s="306"/>
      <c r="I404" s="306"/>
      <c r="J404" s="306"/>
      <c r="K404" s="306"/>
      <c r="L404" s="306"/>
      <c r="M404" s="306"/>
      <c r="N404" s="306"/>
      <c r="O404" s="306"/>
      <c r="P404" s="306"/>
      <c r="Q404" s="306"/>
      <c r="R404" s="306"/>
      <c r="S404" s="306"/>
      <c r="T404" s="306"/>
      <c r="U404" s="306"/>
      <c r="V404" s="306"/>
      <c r="W404" s="306"/>
      <c r="X404" s="306"/>
      <c r="Y404" s="306"/>
      <c r="Z404" s="306"/>
    </row>
    <row r="405" spans="1:26" x14ac:dyDescent="0.2">
      <c r="A405" s="306" t="s">
        <v>602</v>
      </c>
      <c r="B405" s="306"/>
      <c r="C405" s="306"/>
      <c r="D405" s="306"/>
      <c r="E405" s="306"/>
      <c r="F405" s="306"/>
      <c r="G405" s="306"/>
      <c r="H405" s="306"/>
      <c r="I405" s="306"/>
      <c r="J405" s="306"/>
      <c r="K405" s="306"/>
      <c r="L405" s="306"/>
      <c r="M405" s="306"/>
      <c r="N405" s="306"/>
      <c r="O405" s="306"/>
      <c r="P405" s="306"/>
      <c r="Q405" s="306"/>
      <c r="R405" s="306"/>
      <c r="S405" s="306"/>
      <c r="T405" s="306"/>
      <c r="U405" s="306"/>
      <c r="V405" s="306"/>
      <c r="W405" s="306"/>
      <c r="X405" s="306"/>
      <c r="Y405" s="306"/>
      <c r="Z405" s="306"/>
    </row>
    <row r="406" spans="1:26" x14ac:dyDescent="0.2">
      <c r="A406" s="306"/>
      <c r="B406" s="306"/>
      <c r="C406" s="306"/>
      <c r="D406" s="306"/>
      <c r="E406" s="306"/>
      <c r="F406" s="306"/>
      <c r="G406" s="306"/>
      <c r="H406" s="306"/>
      <c r="I406" s="306"/>
      <c r="J406" s="306"/>
      <c r="K406" s="306"/>
      <c r="L406" s="306"/>
      <c r="M406" s="306"/>
      <c r="N406" s="306"/>
      <c r="O406" s="306"/>
      <c r="P406" s="306"/>
      <c r="Q406" s="306"/>
      <c r="R406" s="306"/>
      <c r="S406" s="306"/>
      <c r="T406" s="306"/>
      <c r="U406" s="306"/>
      <c r="V406" s="306"/>
      <c r="W406" s="306"/>
      <c r="X406" s="306"/>
      <c r="Y406" s="306"/>
      <c r="Z406" s="306"/>
    </row>
    <row r="407" spans="1:26" x14ac:dyDescent="0.2">
      <c r="A407" s="306" t="s">
        <v>447</v>
      </c>
      <c r="B407" s="306"/>
      <c r="C407" s="306"/>
      <c r="D407" s="306"/>
      <c r="E407" s="306"/>
      <c r="F407" s="306"/>
      <c r="G407" s="306"/>
      <c r="H407" s="306"/>
      <c r="I407" s="306"/>
      <c r="J407" s="306"/>
      <c r="K407" s="306"/>
      <c r="L407" s="306"/>
      <c r="M407" s="306"/>
      <c r="N407" s="306"/>
      <c r="O407" s="306"/>
      <c r="P407" s="306"/>
      <c r="Q407" s="306"/>
      <c r="R407" s="306"/>
      <c r="S407" s="306"/>
      <c r="T407" s="306"/>
      <c r="U407" s="306"/>
      <c r="V407" s="306"/>
      <c r="W407" s="306"/>
      <c r="X407" s="306"/>
      <c r="Y407" s="306"/>
      <c r="Z407" s="306"/>
    </row>
    <row r="408" spans="1:26" x14ac:dyDescent="0.2">
      <c r="A408" s="306" t="s">
        <v>603</v>
      </c>
      <c r="B408" s="306"/>
      <c r="C408" s="306"/>
      <c r="D408" s="306"/>
      <c r="E408" s="306"/>
      <c r="F408" s="306"/>
      <c r="G408" s="306"/>
      <c r="H408" s="306"/>
      <c r="I408" s="306"/>
      <c r="J408" s="306"/>
      <c r="K408" s="306"/>
      <c r="L408" s="306"/>
      <c r="M408" s="306"/>
      <c r="N408" s="306"/>
      <c r="O408" s="306"/>
      <c r="P408" s="306"/>
      <c r="Q408" s="306"/>
      <c r="R408" s="306"/>
      <c r="S408" s="306"/>
      <c r="T408" s="306"/>
      <c r="U408" s="306"/>
      <c r="V408" s="306"/>
      <c r="W408" s="306"/>
      <c r="X408" s="306"/>
      <c r="Y408" s="306"/>
      <c r="Z408" s="306"/>
    </row>
    <row r="409" spans="1:26" x14ac:dyDescent="0.2">
      <c r="A409" s="306"/>
      <c r="B409" s="306"/>
      <c r="C409" s="306"/>
      <c r="D409" s="306"/>
      <c r="E409" s="306"/>
      <c r="F409" s="306"/>
      <c r="G409" s="306"/>
      <c r="H409" s="306"/>
      <c r="I409" s="306"/>
      <c r="J409" s="306"/>
      <c r="K409" s="306"/>
      <c r="L409" s="306"/>
      <c r="M409" s="306"/>
      <c r="N409" s="306"/>
      <c r="O409" s="306"/>
      <c r="P409" s="306"/>
      <c r="Q409" s="306"/>
      <c r="R409" s="306"/>
      <c r="S409" s="306"/>
      <c r="T409" s="306"/>
      <c r="U409" s="306"/>
      <c r="V409" s="306"/>
      <c r="W409" s="306"/>
      <c r="X409" s="306"/>
      <c r="Y409" s="306"/>
      <c r="Z409" s="306"/>
    </row>
    <row r="410" spans="1:26" x14ac:dyDescent="0.2">
      <c r="A410" s="306"/>
      <c r="B410" s="306"/>
      <c r="C410" s="306"/>
      <c r="D410" s="306"/>
      <c r="E410" s="306"/>
      <c r="F410" s="306"/>
      <c r="G410" s="306"/>
      <c r="H410" s="306"/>
      <c r="I410" s="306"/>
      <c r="J410" s="306"/>
      <c r="K410" s="306"/>
      <c r="L410" s="306"/>
      <c r="M410" s="306"/>
      <c r="N410" s="306"/>
      <c r="O410" s="306"/>
      <c r="P410" s="306"/>
      <c r="Q410" s="306"/>
      <c r="R410" s="306"/>
      <c r="S410" s="306"/>
      <c r="T410" s="306"/>
      <c r="U410" s="306"/>
      <c r="V410" s="306"/>
      <c r="W410" s="306"/>
      <c r="X410" s="306"/>
      <c r="Y410" s="306"/>
      <c r="Z410" s="306"/>
    </row>
    <row r="411" spans="1:26" x14ac:dyDescent="0.2">
      <c r="A411" s="306"/>
      <c r="B411" s="306"/>
      <c r="C411" s="306"/>
      <c r="D411" s="306"/>
      <c r="E411" s="306"/>
      <c r="F411" s="306"/>
      <c r="G411" s="306"/>
      <c r="H411" s="306"/>
      <c r="I411" s="306"/>
      <c r="J411" s="306"/>
      <c r="K411" s="306"/>
      <c r="L411" s="306"/>
      <c r="M411" s="306"/>
      <c r="N411" s="306"/>
      <c r="O411" s="306"/>
      <c r="P411" s="306"/>
      <c r="Q411" s="306"/>
      <c r="R411" s="306"/>
      <c r="S411" s="306"/>
      <c r="T411" s="306"/>
      <c r="U411" s="306"/>
      <c r="V411" s="306"/>
      <c r="W411" s="306"/>
      <c r="X411" s="306"/>
      <c r="Y411" s="306"/>
      <c r="Z411" s="306"/>
    </row>
    <row r="412" spans="1:26" x14ac:dyDescent="0.2">
      <c r="A412" s="306"/>
      <c r="B412" s="306"/>
      <c r="C412" s="306"/>
      <c r="D412" s="306" t="s">
        <v>451</v>
      </c>
      <c r="E412" s="306" t="s">
        <v>452</v>
      </c>
      <c r="F412" s="306" t="s">
        <v>453</v>
      </c>
      <c r="G412" s="306" t="s">
        <v>454</v>
      </c>
      <c r="H412" s="306" t="s">
        <v>455</v>
      </c>
      <c r="I412" s="306" t="s">
        <v>456</v>
      </c>
      <c r="J412" s="306" t="s">
        <v>457</v>
      </c>
      <c r="K412" s="306" t="s">
        <v>458</v>
      </c>
      <c r="L412" s="306" t="s">
        <v>459</v>
      </c>
      <c r="M412" s="306" t="s">
        <v>460</v>
      </c>
      <c r="N412" s="306" t="s">
        <v>461</v>
      </c>
      <c r="O412" s="306" t="s">
        <v>462</v>
      </c>
      <c r="P412" s="306" t="s">
        <v>463</v>
      </c>
      <c r="Q412" s="306" t="s">
        <v>464</v>
      </c>
      <c r="R412" s="306" t="s">
        <v>465</v>
      </c>
      <c r="S412" s="306" t="s">
        <v>466</v>
      </c>
      <c r="T412" s="306" t="s">
        <v>467</v>
      </c>
      <c r="U412" s="306" t="s">
        <v>468</v>
      </c>
      <c r="V412" s="306" t="s">
        <v>469</v>
      </c>
      <c r="W412" s="306" t="s">
        <v>470</v>
      </c>
      <c r="X412" s="306" t="s">
        <v>471</v>
      </c>
      <c r="Y412" s="306" t="s">
        <v>472</v>
      </c>
      <c r="Z412" s="306" t="s">
        <v>604</v>
      </c>
    </row>
    <row r="413" spans="1:26" x14ac:dyDescent="0.2">
      <c r="A413" s="306"/>
      <c r="B413" s="306"/>
      <c r="C413" s="306"/>
      <c r="D413" s="306"/>
      <c r="E413" s="306"/>
      <c r="F413" s="306"/>
      <c r="G413" s="306"/>
      <c r="H413" s="306"/>
      <c r="I413" s="306"/>
      <c r="J413" s="306"/>
      <c r="K413" s="306"/>
      <c r="L413" s="306"/>
      <c r="M413" s="306"/>
      <c r="N413" s="306"/>
      <c r="O413" s="306"/>
      <c r="P413" s="306"/>
      <c r="Q413" s="306"/>
      <c r="R413" s="306"/>
      <c r="S413" s="306"/>
      <c r="T413" s="306"/>
      <c r="U413" s="306"/>
      <c r="V413" s="306"/>
      <c r="W413" s="306"/>
      <c r="X413" s="306"/>
      <c r="Y413" s="306"/>
      <c r="Z413" s="306"/>
    </row>
    <row r="414" spans="1:26" x14ac:dyDescent="0.2">
      <c r="A414" s="306"/>
      <c r="B414" s="306"/>
      <c r="C414" s="306"/>
      <c r="D414" s="306"/>
      <c r="E414" s="306"/>
      <c r="F414" s="306"/>
      <c r="G414" s="306"/>
      <c r="H414" s="306"/>
      <c r="I414" s="306"/>
      <c r="J414" s="306"/>
      <c r="K414" s="306"/>
      <c r="L414" s="306"/>
      <c r="M414" s="306"/>
      <c r="N414" s="306"/>
      <c r="O414" s="306"/>
      <c r="P414" s="306"/>
      <c r="Q414" s="306"/>
      <c r="R414" s="306"/>
      <c r="S414" s="306"/>
      <c r="T414" s="306"/>
      <c r="U414" s="306"/>
      <c r="V414" s="306"/>
      <c r="W414" s="306"/>
      <c r="X414" s="306"/>
      <c r="Y414" s="306"/>
      <c r="Z414" s="306"/>
    </row>
    <row r="415" spans="1:26" x14ac:dyDescent="0.2">
      <c r="A415" s="306" t="s">
        <v>473</v>
      </c>
      <c r="B415" s="306"/>
      <c r="C415" s="306"/>
      <c r="D415" s="306"/>
      <c r="E415" s="306"/>
      <c r="F415" s="306"/>
      <c r="G415" s="306"/>
      <c r="H415" s="306"/>
      <c r="I415" s="306"/>
      <c r="J415" s="306"/>
      <c r="K415" s="306"/>
      <c r="L415" s="306"/>
      <c r="M415" s="306"/>
      <c r="N415" s="306"/>
      <c r="O415" s="306"/>
      <c r="P415" s="306"/>
      <c r="Q415" s="306"/>
      <c r="R415" s="306"/>
      <c r="S415" s="306"/>
      <c r="T415" s="306"/>
      <c r="U415" s="306"/>
      <c r="V415" s="306"/>
      <c r="W415" s="306"/>
      <c r="X415" s="306"/>
      <c r="Y415" s="306"/>
      <c r="Z415" s="306"/>
    </row>
    <row r="416" spans="1:26" x14ac:dyDescent="0.2">
      <c r="A416" s="306" t="s">
        <v>609</v>
      </c>
      <c r="B416" s="306"/>
      <c r="C416" s="306"/>
      <c r="D416" s="306">
        <v>18.210411071777301</v>
      </c>
      <c r="E416" s="306">
        <v>19.293371200561499</v>
      </c>
      <c r="F416" s="306">
        <v>21.158409118652301</v>
      </c>
      <c r="G416" s="306">
        <v>24.5404376983643</v>
      </c>
      <c r="H416" s="306">
        <v>24.494813919067401</v>
      </c>
      <c r="I416" s="306">
        <v>23.9600429534912</v>
      </c>
      <c r="J416" s="306">
        <v>23.672391891479499</v>
      </c>
      <c r="K416" s="306">
        <v>23.2634162902832</v>
      </c>
      <c r="L416" s="306">
        <v>23.106723785400401</v>
      </c>
      <c r="M416" s="306">
        <v>22.905719757080099</v>
      </c>
      <c r="N416" s="306">
        <v>22.942964553833001</v>
      </c>
      <c r="O416" s="306">
        <v>22.881586074829102</v>
      </c>
      <c r="P416" s="306">
        <v>22.979688644409201</v>
      </c>
      <c r="Q416" s="306">
        <v>23.190465927123999</v>
      </c>
      <c r="R416" s="306">
        <v>23.129106521606399</v>
      </c>
      <c r="S416" s="306">
        <v>23.088548660278299</v>
      </c>
      <c r="T416" s="306">
        <v>23.183416366577099</v>
      </c>
      <c r="U416" s="306">
        <v>23.1546516418457</v>
      </c>
      <c r="V416" s="306">
        <v>23.285535812377901</v>
      </c>
      <c r="W416" s="306">
        <v>23.420475006103501</v>
      </c>
      <c r="X416" s="306">
        <v>23.540468215942401</v>
      </c>
      <c r="Y416" s="306">
        <v>23.532218933105501</v>
      </c>
      <c r="Z416" s="306">
        <v>23.562456130981399</v>
      </c>
    </row>
    <row r="417" spans="1:26" x14ac:dyDescent="0.2">
      <c r="A417" s="306" t="s">
        <v>610</v>
      </c>
      <c r="B417" s="306"/>
      <c r="C417" s="306"/>
      <c r="D417" s="306">
        <v>12.893347740173301</v>
      </c>
      <c r="E417" s="306">
        <v>14.727064132690399</v>
      </c>
      <c r="F417" s="306">
        <v>16.906724929809599</v>
      </c>
      <c r="G417" s="306">
        <v>17.4485054016113</v>
      </c>
      <c r="H417" s="306">
        <v>16.910488128662099</v>
      </c>
      <c r="I417" s="306">
        <v>15.8367977142334</v>
      </c>
      <c r="J417" s="306">
        <v>14.87486743927</v>
      </c>
      <c r="K417" s="306">
        <v>14.031831741333001</v>
      </c>
      <c r="L417" s="306">
        <v>13.359474182128899</v>
      </c>
      <c r="M417" s="306">
        <v>12.596385955810501</v>
      </c>
      <c r="N417" s="306">
        <v>12.5241403579712</v>
      </c>
      <c r="O417" s="306">
        <v>12.595507621765099</v>
      </c>
      <c r="P417" s="306">
        <v>12.630928039550801</v>
      </c>
      <c r="Q417" s="306">
        <v>12.738121032714799</v>
      </c>
      <c r="R417" s="306">
        <v>12.8303670883179</v>
      </c>
      <c r="S417" s="306">
        <v>13.052293777465801</v>
      </c>
      <c r="T417" s="306">
        <v>13.1472158432007</v>
      </c>
      <c r="U417" s="306">
        <v>13.2630777359009</v>
      </c>
      <c r="V417" s="306">
        <v>13.422198295593301</v>
      </c>
      <c r="W417" s="306">
        <v>13.360619544982899</v>
      </c>
      <c r="X417" s="306">
        <v>13.513841629028301</v>
      </c>
      <c r="Y417" s="306">
        <v>13.560380935668899</v>
      </c>
      <c r="Z417" s="306">
        <v>13.627392768859901</v>
      </c>
    </row>
    <row r="418" spans="1:26" x14ac:dyDescent="0.2">
      <c r="A418" s="306" t="s">
        <v>510</v>
      </c>
      <c r="B418" s="306"/>
      <c r="C418" s="306"/>
      <c r="D418" s="306">
        <v>10.721179008483899</v>
      </c>
      <c r="E418" s="306">
        <v>12.4281768798828</v>
      </c>
      <c r="F418" s="306">
        <v>13.040691375732401</v>
      </c>
      <c r="G418" s="306">
        <v>11.8341617584229</v>
      </c>
      <c r="H418" s="306">
        <v>11.7410221099854</v>
      </c>
      <c r="I418" s="306">
        <v>11.2507781982422</v>
      </c>
      <c r="J418" s="306">
        <v>10.9759874343872</v>
      </c>
      <c r="K418" s="306">
        <v>10.5919141769409</v>
      </c>
      <c r="L418" s="306">
        <v>10.441241264343301</v>
      </c>
      <c r="M418" s="306">
        <v>10.249824523925801</v>
      </c>
      <c r="N418" s="306">
        <v>10.2927255630493</v>
      </c>
      <c r="O418" s="306">
        <v>10.2421607971191</v>
      </c>
      <c r="P418" s="306">
        <v>10.3305416107178</v>
      </c>
      <c r="Q418" s="306">
        <v>10.557685852050801</v>
      </c>
      <c r="R418" s="306">
        <v>10.4870929718018</v>
      </c>
      <c r="S418" s="306">
        <v>10.439262390136699</v>
      </c>
      <c r="T418" s="306">
        <v>10.539955139160201</v>
      </c>
      <c r="U418" s="306">
        <v>10.5361185073853</v>
      </c>
      <c r="V418" s="306">
        <v>10.6743927001953</v>
      </c>
      <c r="W418" s="306">
        <v>10.830116271972701</v>
      </c>
      <c r="X418" s="306">
        <v>10.948052406311</v>
      </c>
      <c r="Y418" s="306">
        <v>10.9735927581787</v>
      </c>
      <c r="Z418" s="306">
        <v>11.0174913406372</v>
      </c>
    </row>
    <row r="419" spans="1:26" x14ac:dyDescent="0.2">
      <c r="A419" s="306" t="s">
        <v>479</v>
      </c>
      <c r="B419" s="306"/>
      <c r="C419" s="306"/>
      <c r="D419" s="306">
        <v>27.0989685058594</v>
      </c>
      <c r="E419" s="306">
        <v>27.587884902954102</v>
      </c>
      <c r="F419" s="306">
        <v>27.636594772338899</v>
      </c>
      <c r="G419" s="306">
        <v>27.492031097412099</v>
      </c>
      <c r="H419" s="306">
        <v>27.368114471435501</v>
      </c>
      <c r="I419" s="306">
        <v>27.154861450195298</v>
      </c>
      <c r="J419" s="306">
        <v>26.912786483764599</v>
      </c>
      <c r="K419" s="306">
        <v>26.5094184875488</v>
      </c>
      <c r="L419" s="306">
        <v>26.281187057495099</v>
      </c>
      <c r="M419" s="306">
        <v>26.172458648681602</v>
      </c>
      <c r="N419" s="306">
        <v>26.036540985107401</v>
      </c>
      <c r="O419" s="306">
        <v>25.993564605712901</v>
      </c>
      <c r="P419" s="306">
        <v>26.085290908813501</v>
      </c>
      <c r="Q419" s="306">
        <v>26.304872512817401</v>
      </c>
      <c r="R419" s="306">
        <v>26.445003509521499</v>
      </c>
      <c r="S419" s="306">
        <v>26.355556488037099</v>
      </c>
      <c r="T419" s="306">
        <v>26.368726730346701</v>
      </c>
      <c r="U419" s="306">
        <v>26.419284820556602</v>
      </c>
      <c r="V419" s="306">
        <v>26.420993804931602</v>
      </c>
      <c r="W419" s="306">
        <v>26.4647102355957</v>
      </c>
      <c r="X419" s="306">
        <v>26.5621242523193</v>
      </c>
      <c r="Y419" s="306">
        <v>26.608213424682599</v>
      </c>
      <c r="Z419" s="306">
        <v>26.564920425415</v>
      </c>
    </row>
    <row r="420" spans="1:26" x14ac:dyDescent="0.2">
      <c r="A420" s="306" t="s">
        <v>480</v>
      </c>
      <c r="B420" s="306"/>
      <c r="C420" s="306"/>
      <c r="D420" s="306"/>
      <c r="E420" s="306"/>
      <c r="F420" s="306"/>
      <c r="G420" s="306"/>
      <c r="H420" s="306"/>
      <c r="I420" s="306"/>
      <c r="J420" s="306"/>
      <c r="K420" s="306"/>
      <c r="L420" s="306"/>
      <c r="M420" s="306"/>
      <c r="N420" s="306"/>
      <c r="O420" s="306"/>
      <c r="P420" s="306"/>
      <c r="Q420" s="306"/>
      <c r="R420" s="306"/>
      <c r="S420" s="306"/>
      <c r="T420" s="306"/>
      <c r="U420" s="306"/>
      <c r="V420" s="306"/>
      <c r="W420" s="306"/>
      <c r="X420" s="306"/>
      <c r="Y420" s="306"/>
      <c r="Z420" s="306"/>
    </row>
    <row r="421" spans="1:26" x14ac:dyDescent="0.2">
      <c r="A421" s="306" t="s">
        <v>610</v>
      </c>
      <c r="B421" s="306"/>
      <c r="C421" s="306"/>
      <c r="D421" s="306">
        <v>10.4802904129028</v>
      </c>
      <c r="E421" s="306">
        <v>12.6793832778931</v>
      </c>
      <c r="F421" s="306">
        <v>14.632154464721699</v>
      </c>
      <c r="G421" s="306">
        <v>15.3235988616943</v>
      </c>
      <c r="H421" s="306">
        <v>14.4384679794312</v>
      </c>
      <c r="I421" s="306">
        <v>13.4501142501831</v>
      </c>
      <c r="J421" s="306">
        <v>12.7189273834229</v>
      </c>
      <c r="K421" s="306">
        <v>11.9810342788696</v>
      </c>
      <c r="L421" s="306">
        <v>11.338329315185501</v>
      </c>
      <c r="M421" s="306">
        <v>10.8460388183594</v>
      </c>
      <c r="N421" s="306">
        <v>10.667523384094199</v>
      </c>
      <c r="O421" s="306">
        <v>10.728004455566399</v>
      </c>
      <c r="P421" s="306">
        <v>10.8701782226563</v>
      </c>
      <c r="Q421" s="306">
        <v>10.9251909255981</v>
      </c>
      <c r="R421" s="306">
        <v>11.0219278335571</v>
      </c>
      <c r="S421" s="306">
        <v>11.292310714721699</v>
      </c>
      <c r="T421" s="306">
        <v>11.349814414978001</v>
      </c>
      <c r="U421" s="306">
        <v>11.461010932922401</v>
      </c>
      <c r="V421" s="306">
        <v>11.6882877349854</v>
      </c>
      <c r="W421" s="306">
        <v>11.5126600265503</v>
      </c>
      <c r="X421" s="306">
        <v>11.6838274002075</v>
      </c>
      <c r="Y421" s="306">
        <v>11.8503408432007</v>
      </c>
      <c r="Z421" s="306">
        <v>11.857501029968301</v>
      </c>
    </row>
    <row r="422" spans="1:26" ht="51" customHeight="1" x14ac:dyDescent="0.2">
      <c r="A422" s="306" t="s">
        <v>611</v>
      </c>
      <c r="B422" s="306"/>
      <c r="C422" s="306"/>
      <c r="D422" s="306">
        <v>6.2490105628967303</v>
      </c>
      <c r="E422" s="306">
        <v>8.4144115447997994</v>
      </c>
      <c r="F422" s="306">
        <v>10.1003465652466</v>
      </c>
      <c r="G422" s="306">
        <v>7.8816242218017596</v>
      </c>
      <c r="H422" s="306">
        <v>7.7979149818420401</v>
      </c>
      <c r="I422" s="306">
        <v>7.67907810211182</v>
      </c>
      <c r="J422" s="306">
        <v>7.5374598503112802</v>
      </c>
      <c r="K422" s="306">
        <v>7.0601482391357404</v>
      </c>
      <c r="L422" s="306">
        <v>6.9191079139709499</v>
      </c>
      <c r="M422" s="306">
        <v>5.9906802177429199</v>
      </c>
      <c r="N422" s="306">
        <v>6.31249952316284</v>
      </c>
      <c r="O422" s="306">
        <v>6.4941840171814</v>
      </c>
      <c r="P422" s="306">
        <v>6.4476203918456996</v>
      </c>
      <c r="Q422" s="306">
        <v>6.5857205390930202</v>
      </c>
      <c r="R422" s="306">
        <v>6.7015118598937997</v>
      </c>
      <c r="S422" s="306">
        <v>6.98899221420288</v>
      </c>
      <c r="T422" s="306">
        <v>7.0690569877624503</v>
      </c>
      <c r="U422" s="306">
        <v>7.2425847053527797</v>
      </c>
      <c r="V422" s="306">
        <v>7.4012169837951696</v>
      </c>
      <c r="W422" s="306">
        <v>7.2363023757934597</v>
      </c>
      <c r="X422" s="306">
        <v>7.3775544166564897</v>
      </c>
      <c r="Y422" s="306">
        <v>7.1704416275024396</v>
      </c>
      <c r="Z422" s="306">
        <v>7.2997760772705096</v>
      </c>
    </row>
    <row r="423" spans="1:26" ht="30.75" customHeight="1" x14ac:dyDescent="0.2">
      <c r="A423" s="308" t="s">
        <v>510</v>
      </c>
      <c r="B423" s="308"/>
      <c r="C423" s="308"/>
      <c r="D423" s="306">
        <v>9.4024562835693395</v>
      </c>
      <c r="E423" s="306">
        <v>11.2028198242188</v>
      </c>
      <c r="F423" s="306">
        <v>11.3786783218384</v>
      </c>
      <c r="G423" s="306">
        <v>10.2688541412354</v>
      </c>
      <c r="H423" s="306">
        <v>10.157588958740201</v>
      </c>
      <c r="I423" s="306">
        <v>9.6297473907470703</v>
      </c>
      <c r="J423" s="306">
        <v>9.3356885910034197</v>
      </c>
      <c r="K423" s="306">
        <v>8.9214458465576207</v>
      </c>
      <c r="L423" s="306">
        <v>8.7509040832519496</v>
      </c>
      <c r="M423" s="306">
        <v>8.5351839065551793</v>
      </c>
      <c r="N423" s="306">
        <v>8.5524559020996094</v>
      </c>
      <c r="O423" s="306">
        <v>8.47686672210693</v>
      </c>
      <c r="P423" s="306">
        <v>8.5459880828857404</v>
      </c>
      <c r="Q423" s="306">
        <v>8.7391986846923793</v>
      </c>
      <c r="R423" s="306">
        <v>8.6564092636108398</v>
      </c>
      <c r="S423" s="306">
        <v>8.5963792800903303</v>
      </c>
      <c r="T423" s="306">
        <v>8.6742591857910192</v>
      </c>
      <c r="U423" s="306">
        <v>8.6351099014282209</v>
      </c>
      <c r="V423" s="306">
        <v>8.7470979690551793</v>
      </c>
      <c r="W423" s="306">
        <v>8.8685941696166992</v>
      </c>
      <c r="X423" s="306">
        <v>8.9716949462890607</v>
      </c>
      <c r="Y423" s="306">
        <v>8.9597854614257795</v>
      </c>
      <c r="Z423" s="306">
        <v>8.9777603149414098</v>
      </c>
    </row>
    <row r="424" spans="1:26" x14ac:dyDescent="0.2">
      <c r="A424" s="307" t="s">
        <v>479</v>
      </c>
      <c r="B424" s="307"/>
      <c r="C424" s="307"/>
      <c r="D424" s="306">
        <v>24.591539382934599</v>
      </c>
      <c r="E424" s="306">
        <v>25.251781463623001</v>
      </c>
      <c r="F424" s="306">
        <v>25.738388061523398</v>
      </c>
      <c r="G424" s="306">
        <v>25.3376979827881</v>
      </c>
      <c r="H424" s="306">
        <v>25.268539428710898</v>
      </c>
      <c r="I424" s="306">
        <v>24.918291091918899</v>
      </c>
      <c r="J424" s="306">
        <v>24.500482559204102</v>
      </c>
      <c r="K424" s="306">
        <v>23.8594665527344</v>
      </c>
      <c r="L424" s="306">
        <v>23.593626022338899</v>
      </c>
      <c r="M424" s="306">
        <v>23.443479537963899</v>
      </c>
      <c r="N424" s="306">
        <v>23.311824798583999</v>
      </c>
      <c r="O424" s="306">
        <v>23.328050613403299</v>
      </c>
      <c r="P424" s="306">
        <v>23.4844055175781</v>
      </c>
      <c r="Q424" s="306">
        <v>23.749778747558601</v>
      </c>
      <c r="R424" s="306">
        <v>23.944339752197301</v>
      </c>
      <c r="S424" s="306">
        <v>23.889307022094702</v>
      </c>
      <c r="T424" s="306">
        <v>23.952335357666001</v>
      </c>
      <c r="U424" s="306">
        <v>24.000473022460898</v>
      </c>
      <c r="V424" s="306">
        <v>24.006351470947301</v>
      </c>
      <c r="W424" s="306">
        <v>24.077814102172901</v>
      </c>
      <c r="X424" s="306">
        <v>24.1955890655518</v>
      </c>
      <c r="Y424" s="306">
        <v>24.23095703125</v>
      </c>
      <c r="Z424" s="306">
        <v>24.1812038421631</v>
      </c>
    </row>
    <row r="425" spans="1:26" x14ac:dyDescent="0.2">
      <c r="A425" s="306" t="s">
        <v>612</v>
      </c>
      <c r="B425" s="306"/>
      <c r="C425" s="306"/>
      <c r="D425" s="306"/>
      <c r="E425" s="306"/>
      <c r="F425" s="306"/>
      <c r="G425" s="306"/>
      <c r="H425" s="306"/>
      <c r="I425" s="306"/>
      <c r="J425" s="306"/>
      <c r="K425" s="306"/>
      <c r="L425" s="306"/>
      <c r="M425" s="306"/>
      <c r="N425" s="306"/>
      <c r="O425" s="306"/>
      <c r="P425" s="306"/>
      <c r="Q425" s="306"/>
      <c r="R425" s="306"/>
      <c r="S425" s="306"/>
      <c r="T425" s="306"/>
      <c r="U425" s="306"/>
      <c r="V425" s="306"/>
      <c r="W425" s="306"/>
      <c r="X425" s="306"/>
      <c r="Y425" s="306"/>
      <c r="Z425" s="306"/>
    </row>
    <row r="426" spans="1:26" x14ac:dyDescent="0.2">
      <c r="A426" s="306" t="s">
        <v>609</v>
      </c>
      <c r="B426" s="306"/>
      <c r="C426" s="306"/>
      <c r="D426" s="306">
        <v>11.1755380630493</v>
      </c>
      <c r="E426" s="306">
        <v>16.959981918335</v>
      </c>
      <c r="F426" s="306">
        <v>18.9578742980957</v>
      </c>
      <c r="G426" s="306">
        <v>17.513134002685501</v>
      </c>
      <c r="H426" s="306">
        <v>17.389408111572301</v>
      </c>
      <c r="I426" s="306">
        <v>16.750247955322301</v>
      </c>
      <c r="J426" s="306">
        <v>16.423851013183601</v>
      </c>
      <c r="K426" s="306">
        <v>15.943309783935501</v>
      </c>
      <c r="L426" s="306">
        <v>15.769355773925801</v>
      </c>
      <c r="M426" s="306">
        <v>15.620997428894</v>
      </c>
      <c r="N426" s="306">
        <v>15.627494812011699</v>
      </c>
      <c r="O426" s="306">
        <v>15.565483093261699</v>
      </c>
      <c r="P426" s="306">
        <v>15.6823263168335</v>
      </c>
      <c r="Q426" s="306">
        <v>15.8655786514282</v>
      </c>
      <c r="R426" s="306">
        <v>15.8662757873535</v>
      </c>
      <c r="S426" s="306">
        <v>15.8647546768188</v>
      </c>
      <c r="T426" s="306">
        <v>15.9073581695557</v>
      </c>
      <c r="U426" s="306">
        <v>15.883088111877401</v>
      </c>
      <c r="V426" s="306">
        <v>15.994482994079601</v>
      </c>
      <c r="W426" s="306">
        <v>16.1067924499512</v>
      </c>
      <c r="X426" s="306">
        <v>16.2546577453613</v>
      </c>
      <c r="Y426" s="306">
        <v>16.219263076782202</v>
      </c>
      <c r="Z426" s="306">
        <v>16.2301216125488</v>
      </c>
    </row>
    <row r="427" spans="1:26" x14ac:dyDescent="0.2">
      <c r="A427" s="306" t="s">
        <v>610</v>
      </c>
      <c r="B427" s="306"/>
      <c r="C427" s="306"/>
      <c r="D427" s="306">
        <v>10.9898891448975</v>
      </c>
      <c r="E427" s="306">
        <v>13.0814533233643</v>
      </c>
      <c r="F427" s="306">
        <v>15.1407413482666</v>
      </c>
      <c r="G427" s="306">
        <v>15.435567855835</v>
      </c>
      <c r="H427" s="306">
        <v>14.2919836044312</v>
      </c>
      <c r="I427" s="306">
        <v>13.4232997894287</v>
      </c>
      <c r="J427" s="306">
        <v>12.948052406311</v>
      </c>
      <c r="K427" s="306">
        <v>12.4780015945435</v>
      </c>
      <c r="L427" s="306">
        <v>11.882830619811999</v>
      </c>
      <c r="M427" s="306">
        <v>11.641848564147899</v>
      </c>
      <c r="N427" s="306">
        <v>11.349123954772899</v>
      </c>
      <c r="O427" s="306">
        <v>11.401933670043899</v>
      </c>
      <c r="P427" s="306">
        <v>11.6324548721313</v>
      </c>
      <c r="Q427" s="306">
        <v>11.632493019104</v>
      </c>
      <c r="R427" s="306">
        <v>11.737724304199199</v>
      </c>
      <c r="S427" s="306">
        <v>12.060711860656699</v>
      </c>
      <c r="T427" s="306">
        <v>12.0405569076538</v>
      </c>
      <c r="U427" s="306">
        <v>12.1396341323853</v>
      </c>
      <c r="V427" s="306">
        <v>12.421196937561</v>
      </c>
      <c r="W427" s="306">
        <v>12.169375419616699</v>
      </c>
      <c r="X427" s="306">
        <v>12.3622283935547</v>
      </c>
      <c r="Y427" s="306">
        <v>12.619636535644499</v>
      </c>
      <c r="Z427" s="306">
        <v>12.5786838531494</v>
      </c>
    </row>
    <row r="428" spans="1:26" x14ac:dyDescent="0.2">
      <c r="A428" s="306" t="s">
        <v>611</v>
      </c>
      <c r="B428" s="306"/>
      <c r="C428" s="306"/>
      <c r="D428" s="306">
        <v>5.7738895416259801</v>
      </c>
      <c r="E428" s="306">
        <v>7.7708010673522896</v>
      </c>
      <c r="F428" s="306">
        <v>9.3422021865844709</v>
      </c>
      <c r="G428" s="306">
        <v>9.8767166137695295</v>
      </c>
      <c r="H428" s="306">
        <v>10.084191322326699</v>
      </c>
      <c r="I428" s="306">
        <v>9.7906637191772496</v>
      </c>
      <c r="J428" s="306">
        <v>9.5023155212402308</v>
      </c>
      <c r="K428" s="306">
        <v>8.7792091369628906</v>
      </c>
      <c r="L428" s="306">
        <v>8.4676847457885707</v>
      </c>
      <c r="M428" s="306">
        <v>8.0373468399047905</v>
      </c>
      <c r="N428" s="306">
        <v>7.9767365455627397</v>
      </c>
      <c r="O428" s="306">
        <v>8.2131023406982404</v>
      </c>
      <c r="P428" s="306">
        <v>8.4110374450683594</v>
      </c>
      <c r="Q428" s="306">
        <v>8.5568304061889595</v>
      </c>
      <c r="R428" s="306">
        <v>8.6100654602050799</v>
      </c>
      <c r="S428" s="306">
        <v>8.8084278106689506</v>
      </c>
      <c r="T428" s="306">
        <v>8.9135255813598597</v>
      </c>
      <c r="U428" s="306">
        <v>9.0664196014404297</v>
      </c>
      <c r="V428" s="306">
        <v>9.2084608078002894</v>
      </c>
      <c r="W428" s="306">
        <v>9.1494617462158203</v>
      </c>
      <c r="X428" s="306">
        <v>9.2910699844360405</v>
      </c>
      <c r="Y428" s="306">
        <v>9.2583961486816406</v>
      </c>
      <c r="Z428" s="306">
        <v>9.38494873046875</v>
      </c>
    </row>
    <row r="429" spans="1:26" x14ac:dyDescent="0.2">
      <c r="A429" s="308" t="s">
        <v>613</v>
      </c>
      <c r="B429" s="308"/>
      <c r="C429" s="308"/>
      <c r="D429" s="306">
        <v>6.4688553810119602</v>
      </c>
      <c r="E429" s="306">
        <v>8.1627740859985405</v>
      </c>
      <c r="F429" s="306">
        <v>7.4494204521179199</v>
      </c>
      <c r="G429" s="306">
        <v>7.3632249832153303</v>
      </c>
      <c r="H429" s="306">
        <v>7.2901554107665998</v>
      </c>
      <c r="I429" s="306">
        <v>6.7422003746032697</v>
      </c>
      <c r="J429" s="306">
        <v>6.4267692565918004</v>
      </c>
      <c r="K429" s="306">
        <v>6.0213589668273899</v>
      </c>
      <c r="L429" s="306">
        <v>5.8671450614929199</v>
      </c>
      <c r="M429" s="306">
        <v>5.6813068389892596</v>
      </c>
      <c r="N429" s="306">
        <v>5.6900143623352104</v>
      </c>
      <c r="O429" s="306">
        <v>5.6504640579223597</v>
      </c>
      <c r="P429" s="306">
        <v>5.7415480613708496</v>
      </c>
      <c r="Q429" s="306">
        <v>5.91982173919678</v>
      </c>
      <c r="R429" s="306">
        <v>5.8755149841308603</v>
      </c>
      <c r="S429" s="306">
        <v>5.8359832763671902</v>
      </c>
      <c r="T429" s="306">
        <v>5.9000439643859899</v>
      </c>
      <c r="U429" s="306">
        <v>5.8858833312988299</v>
      </c>
      <c r="V429" s="306">
        <v>6.0041050910949698</v>
      </c>
      <c r="W429" s="306">
        <v>6.1238050460815403</v>
      </c>
      <c r="X429" s="306">
        <v>6.2412667274475098</v>
      </c>
      <c r="Y429" s="306">
        <v>6.2102909088134801</v>
      </c>
      <c r="Z429" s="306">
        <v>6.2538614273071298</v>
      </c>
    </row>
    <row r="430" spans="1:26" x14ac:dyDescent="0.2">
      <c r="A430" s="306" t="s">
        <v>614</v>
      </c>
      <c r="B430" s="306"/>
      <c r="C430" s="306"/>
      <c r="D430" s="306">
        <v>2.3078472614288299</v>
      </c>
      <c r="E430" s="306">
        <v>3.0599997043609601</v>
      </c>
      <c r="F430" s="306">
        <v>3.2548489570617698</v>
      </c>
      <c r="G430" s="306">
        <v>3.2975256443023699</v>
      </c>
      <c r="H430" s="306">
        <v>3.2872827053070099</v>
      </c>
      <c r="I430" s="306">
        <v>3.1889374256134002</v>
      </c>
      <c r="J430" s="306">
        <v>3.0940959453582799</v>
      </c>
      <c r="K430" s="306">
        <v>2.9914577007293701</v>
      </c>
      <c r="L430" s="306">
        <v>2.8927016258239702</v>
      </c>
      <c r="M430" s="306">
        <v>2.78926348686218</v>
      </c>
      <c r="N430" s="306">
        <v>2.7408642768859899</v>
      </c>
      <c r="O430" s="306">
        <v>2.7166485786438002</v>
      </c>
      <c r="P430" s="306">
        <v>2.7061200141906698</v>
      </c>
      <c r="Q430" s="306">
        <v>2.7063503265380899</v>
      </c>
      <c r="R430" s="306">
        <v>2.7045123577117902</v>
      </c>
      <c r="S430" s="306">
        <v>2.68979120254517</v>
      </c>
      <c r="T430" s="306">
        <v>2.7072892189025901</v>
      </c>
      <c r="U430" s="306">
        <v>2.71812868118286</v>
      </c>
      <c r="V430" s="306">
        <v>2.7191135883331299</v>
      </c>
      <c r="W430" s="306">
        <v>2.7064330577850302</v>
      </c>
      <c r="X430" s="306">
        <v>2.68589544296265</v>
      </c>
      <c r="Y430" s="306">
        <v>2.69574999809265</v>
      </c>
      <c r="Z430" s="306">
        <v>2.7049932479858398</v>
      </c>
    </row>
    <row r="431" spans="1:26" x14ac:dyDescent="0.2">
      <c r="A431" s="306" t="s">
        <v>615</v>
      </c>
      <c r="B431" s="306"/>
      <c r="C431" s="306"/>
      <c r="D431" s="306">
        <v>1.80300605297089</v>
      </c>
      <c r="E431" s="306">
        <v>2.1500017642974898</v>
      </c>
      <c r="F431" s="306">
        <v>2.2005796432495099</v>
      </c>
      <c r="G431" s="306">
        <v>2.2392640113830602</v>
      </c>
      <c r="H431" s="306">
        <v>2.2450914382934601</v>
      </c>
      <c r="I431" s="306">
        <v>2.2358458042144802</v>
      </c>
      <c r="J431" s="306">
        <v>2.2614977359771702</v>
      </c>
      <c r="K431" s="306">
        <v>2.2480733394622798</v>
      </c>
      <c r="L431" s="306">
        <v>2.2308864593505899</v>
      </c>
      <c r="M431" s="306">
        <v>2.2124359607696502</v>
      </c>
      <c r="N431" s="306">
        <v>2.2059276103973402</v>
      </c>
      <c r="O431" s="306">
        <v>2.1967613697052002</v>
      </c>
      <c r="P431" s="306">
        <v>2.18912577629089</v>
      </c>
      <c r="Q431" s="306">
        <v>2.1856777667999299</v>
      </c>
      <c r="R431" s="306">
        <v>2.1763286590576199</v>
      </c>
      <c r="S431" s="306">
        <v>2.1755278110504199</v>
      </c>
      <c r="T431" s="306">
        <v>2.18182468414307</v>
      </c>
      <c r="U431" s="306">
        <v>2.19542455673218</v>
      </c>
      <c r="V431" s="306">
        <v>2.2050869464874299</v>
      </c>
      <c r="W431" s="306">
        <v>2.2089655399322501</v>
      </c>
      <c r="X431" s="306">
        <v>2.2187693119049099</v>
      </c>
      <c r="Y431" s="306">
        <v>2.2309319972991899</v>
      </c>
      <c r="Z431" s="306">
        <v>2.2423520088195801</v>
      </c>
    </row>
    <row r="432" spans="1:26" x14ac:dyDescent="0.2">
      <c r="A432" s="306" t="s">
        <v>616</v>
      </c>
      <c r="B432" s="306"/>
      <c r="C432" s="306"/>
      <c r="D432" s="306" t="s">
        <v>1083</v>
      </c>
      <c r="E432" s="306" t="s">
        <v>1083</v>
      </c>
      <c r="F432" s="306" t="s">
        <v>1083</v>
      </c>
      <c r="G432" s="306" t="s">
        <v>1083</v>
      </c>
      <c r="H432" s="306" t="s">
        <v>1083</v>
      </c>
      <c r="I432" s="306" t="s">
        <v>1083</v>
      </c>
      <c r="J432" s="306" t="s">
        <v>1083</v>
      </c>
      <c r="K432" s="306">
        <v>0.88956671953201305</v>
      </c>
      <c r="L432" s="306">
        <v>0.881245017051697</v>
      </c>
      <c r="M432" s="306">
        <v>0.88442194461822499</v>
      </c>
      <c r="N432" s="306">
        <v>0.89085346460342396</v>
      </c>
      <c r="O432" s="306">
        <v>0.88840740919113204</v>
      </c>
      <c r="P432" s="306">
        <v>0.89322775602340698</v>
      </c>
      <c r="Q432" s="306">
        <v>0.90440875291824296</v>
      </c>
      <c r="R432" s="306">
        <v>0.91453087329864502</v>
      </c>
      <c r="S432" s="306">
        <v>0.95469778776168801</v>
      </c>
      <c r="T432" s="306">
        <v>0.96978461742401101</v>
      </c>
      <c r="U432" s="306">
        <v>1.01334369182587</v>
      </c>
      <c r="V432" s="306">
        <v>1.02781510353088</v>
      </c>
      <c r="W432" s="306">
        <v>1.0294380187988299</v>
      </c>
      <c r="X432" s="306">
        <v>1.1219843626022299</v>
      </c>
      <c r="Y432" s="306">
        <v>1.2297383546829199</v>
      </c>
      <c r="Z432" s="306">
        <v>1.26935982704163</v>
      </c>
    </row>
    <row r="433" spans="1:26" x14ac:dyDescent="0.2">
      <c r="A433" s="307" t="s">
        <v>479</v>
      </c>
      <c r="B433" s="307"/>
      <c r="C433" s="307"/>
      <c r="D433" s="306">
        <v>15.8847751617432</v>
      </c>
      <c r="E433" s="306">
        <v>16.691057205200199</v>
      </c>
      <c r="F433" s="306">
        <v>18.258220672607401</v>
      </c>
      <c r="G433" s="306">
        <v>18.768579483032202</v>
      </c>
      <c r="H433" s="306">
        <v>18.8538303375244</v>
      </c>
      <c r="I433" s="306">
        <v>18.518165588378899</v>
      </c>
      <c r="J433" s="306">
        <v>18.014034271240199</v>
      </c>
      <c r="K433" s="306">
        <v>17.2542610168457</v>
      </c>
      <c r="L433" s="306">
        <v>16.790317535400401</v>
      </c>
      <c r="M433" s="306">
        <v>16.590124130248999</v>
      </c>
      <c r="N433" s="306">
        <v>16.466903686523398</v>
      </c>
      <c r="O433" s="306">
        <v>16.461626052856399</v>
      </c>
      <c r="P433" s="306">
        <v>16.6055717468262</v>
      </c>
      <c r="Q433" s="306">
        <v>16.851476669311499</v>
      </c>
      <c r="R433" s="306">
        <v>17.021175384521499</v>
      </c>
      <c r="S433" s="306">
        <v>17.000881195068398</v>
      </c>
      <c r="T433" s="306">
        <v>17.070917129516602</v>
      </c>
      <c r="U433" s="306">
        <v>17.1260585784912</v>
      </c>
      <c r="V433" s="306">
        <v>17.140884399414102</v>
      </c>
      <c r="W433" s="306">
        <v>17.206485748291001</v>
      </c>
      <c r="X433" s="306">
        <v>17.3262729644775</v>
      </c>
      <c r="Y433" s="306">
        <v>17.353824615478501</v>
      </c>
      <c r="Z433" s="306">
        <v>17.310489654541001</v>
      </c>
    </row>
    <row r="434" spans="1:26" x14ac:dyDescent="0.2">
      <c r="A434" s="306" t="s">
        <v>487</v>
      </c>
      <c r="B434" s="306"/>
      <c r="C434" s="306"/>
      <c r="D434" s="306"/>
      <c r="E434" s="306"/>
      <c r="F434" s="306"/>
      <c r="G434" s="306"/>
      <c r="H434" s="306"/>
      <c r="I434" s="306"/>
      <c r="J434" s="306"/>
      <c r="K434" s="306"/>
      <c r="L434" s="306"/>
      <c r="M434" s="306"/>
      <c r="N434" s="306"/>
      <c r="O434" s="306"/>
      <c r="P434" s="306"/>
      <c r="Q434" s="306"/>
      <c r="R434" s="306"/>
      <c r="S434" s="306"/>
      <c r="T434" s="306"/>
      <c r="U434" s="306"/>
      <c r="V434" s="306"/>
      <c r="W434" s="306"/>
      <c r="X434" s="306"/>
      <c r="Y434" s="306"/>
      <c r="Z434" s="306"/>
    </row>
    <row r="435" spans="1:26" x14ac:dyDescent="0.2">
      <c r="A435" s="306" t="s">
        <v>617</v>
      </c>
      <c r="B435" s="306"/>
      <c r="C435" s="306"/>
      <c r="D435" s="306">
        <v>19.6766357421875</v>
      </c>
      <c r="E435" s="306">
        <v>23.9161167144775</v>
      </c>
      <c r="F435" s="306">
        <v>26.805564880371101</v>
      </c>
      <c r="G435" s="306">
        <v>22.710954666137699</v>
      </c>
      <c r="H435" s="306">
        <v>22.759067535400401</v>
      </c>
      <c r="I435" s="306">
        <v>22.268846511840799</v>
      </c>
      <c r="J435" s="306">
        <v>24.343835830688501</v>
      </c>
      <c r="K435" s="306">
        <v>23.932544708251999</v>
      </c>
      <c r="L435" s="306">
        <v>23.763250350952099</v>
      </c>
      <c r="M435" s="306">
        <v>23.536403656005898</v>
      </c>
      <c r="N435" s="306">
        <v>23.5618801116943</v>
      </c>
      <c r="O435" s="306">
        <v>23.4868278503418</v>
      </c>
      <c r="P435" s="306">
        <v>23.560710906982401</v>
      </c>
      <c r="Q435" s="306">
        <v>23.7542419433594</v>
      </c>
      <c r="R435" s="306">
        <v>23.654756546020501</v>
      </c>
      <c r="S435" s="306">
        <v>23.5774955749512</v>
      </c>
      <c r="T435" s="306">
        <v>23.664421081543001</v>
      </c>
      <c r="U435" s="306">
        <v>23.6253147125244</v>
      </c>
      <c r="V435" s="306">
        <v>23.741106033325199</v>
      </c>
      <c r="W435" s="306">
        <v>23.8700561523438</v>
      </c>
      <c r="X435" s="306">
        <v>23.973831176757798</v>
      </c>
      <c r="Y435" s="306">
        <v>23.953416824340799</v>
      </c>
      <c r="Z435" s="306">
        <v>23.9759330749512</v>
      </c>
    </row>
    <row r="436" spans="1:26" x14ac:dyDescent="0.2">
      <c r="A436" s="310" t="s">
        <v>618</v>
      </c>
      <c r="B436" s="310"/>
      <c r="C436" s="310"/>
      <c r="D436" s="306">
        <v>20.914932250976602</v>
      </c>
      <c r="E436" s="306">
        <v>23.101913452148398</v>
      </c>
      <c r="F436" s="306">
        <v>24.811454772949201</v>
      </c>
      <c r="G436" s="306">
        <v>27.774848937988299</v>
      </c>
      <c r="H436" s="306">
        <v>25.9952602386475</v>
      </c>
      <c r="I436" s="306">
        <v>24.2666110992432</v>
      </c>
      <c r="J436" s="306">
        <v>21.291254043579102</v>
      </c>
      <c r="K436" s="306">
        <v>20.525190353393601</v>
      </c>
      <c r="L436" s="306">
        <v>20.3361301422119</v>
      </c>
      <c r="M436" s="306">
        <v>20.197395324706999</v>
      </c>
      <c r="N436" s="306">
        <v>20.009881973266602</v>
      </c>
      <c r="O436" s="306">
        <v>20.093305587768601</v>
      </c>
      <c r="P436" s="306">
        <v>20.196292877197301</v>
      </c>
      <c r="Q436" s="306">
        <v>20.4327602386475</v>
      </c>
      <c r="R436" s="306">
        <v>20.4076957702637</v>
      </c>
      <c r="S436" s="306">
        <v>20.624263763427699</v>
      </c>
      <c r="T436" s="306">
        <v>20.610368728637699</v>
      </c>
      <c r="U436" s="306">
        <v>20.617734909057599</v>
      </c>
      <c r="V436" s="306">
        <v>21.067132949829102</v>
      </c>
      <c r="W436" s="306">
        <v>20.970218658447301</v>
      </c>
      <c r="X436" s="306">
        <v>20.962213516235401</v>
      </c>
      <c r="Y436" s="306">
        <v>21.257926940918001</v>
      </c>
      <c r="Z436" s="306">
        <v>21.098123550415</v>
      </c>
    </row>
    <row r="437" spans="1:26" x14ac:dyDescent="0.2">
      <c r="A437" s="309" t="s">
        <v>619</v>
      </c>
      <c r="B437" s="309"/>
      <c r="C437" s="309"/>
      <c r="D437" s="306">
        <v>15.721848487854</v>
      </c>
      <c r="E437" s="306">
        <v>18.644901275634801</v>
      </c>
      <c r="F437" s="306">
        <v>21.1534824371338</v>
      </c>
      <c r="G437" s="306">
        <v>20.964454650878899</v>
      </c>
      <c r="H437" s="306">
        <v>19.721015930175799</v>
      </c>
      <c r="I437" s="306">
        <v>18.6920680999756</v>
      </c>
      <c r="J437" s="306">
        <v>17.902309417724599</v>
      </c>
      <c r="K437" s="306">
        <v>17.232242584228501</v>
      </c>
      <c r="L437" s="306">
        <v>16.863773345947301</v>
      </c>
      <c r="M437" s="306">
        <v>16.565891265869102</v>
      </c>
      <c r="N437" s="306">
        <v>16.0857257843018</v>
      </c>
      <c r="O437" s="306">
        <v>16.063297271728501</v>
      </c>
      <c r="P437" s="306">
        <v>16.111997604370099</v>
      </c>
      <c r="Q437" s="306">
        <v>16.240406036376999</v>
      </c>
      <c r="R437" s="306">
        <v>16.3247375488281</v>
      </c>
      <c r="S437" s="306">
        <v>16.6728916168213</v>
      </c>
      <c r="T437" s="306">
        <v>16.6320400238037</v>
      </c>
      <c r="U437" s="306">
        <v>16.751285552978501</v>
      </c>
      <c r="V437" s="306">
        <v>17.051519393920898</v>
      </c>
      <c r="W437" s="306">
        <v>16.920253753662099</v>
      </c>
      <c r="X437" s="306">
        <v>17.1026096343994</v>
      </c>
      <c r="Y437" s="306">
        <v>17.3232307434082</v>
      </c>
      <c r="Z437" s="306">
        <v>17.144313812255898</v>
      </c>
    </row>
    <row r="438" spans="1:26" x14ac:dyDescent="0.2">
      <c r="A438" s="306" t="s">
        <v>620</v>
      </c>
      <c r="B438" s="306"/>
      <c r="C438" s="306"/>
      <c r="D438" s="306">
        <v>9.2184209823608398</v>
      </c>
      <c r="E438" s="306">
        <v>13.1439361572266</v>
      </c>
      <c r="F438" s="306">
        <v>14.9574270248413</v>
      </c>
      <c r="G438" s="306">
        <v>12.9907026290894</v>
      </c>
      <c r="H438" s="306">
        <v>11.722384452819799</v>
      </c>
      <c r="I438" s="306">
        <v>11.2624855041504</v>
      </c>
      <c r="J438" s="306">
        <v>10.9056959152222</v>
      </c>
      <c r="K438" s="306">
        <v>10.3720808029175</v>
      </c>
      <c r="L438" s="306">
        <v>10.059165954589799</v>
      </c>
      <c r="M438" s="306">
        <v>10.0335283279419</v>
      </c>
      <c r="N438" s="306">
        <v>9.8430700302124006</v>
      </c>
      <c r="O438" s="306">
        <v>9.8874025344848597</v>
      </c>
      <c r="P438" s="306">
        <v>10.0322532653809</v>
      </c>
      <c r="Q438" s="306">
        <v>10.087176322936999</v>
      </c>
      <c r="R438" s="306">
        <v>10.2108345031738</v>
      </c>
      <c r="S438" s="306">
        <v>10.523097038269</v>
      </c>
      <c r="T438" s="306">
        <v>10.506872177124</v>
      </c>
      <c r="U438" s="306">
        <v>10.5880041122437</v>
      </c>
      <c r="V438" s="306">
        <v>10.8930578231812</v>
      </c>
      <c r="W438" s="306">
        <v>10.788450241088899</v>
      </c>
      <c r="X438" s="306">
        <v>10.9106340408325</v>
      </c>
      <c r="Y438" s="306">
        <v>11.0979099273682</v>
      </c>
      <c r="Z438" s="306">
        <v>11.0487413406372</v>
      </c>
    </row>
    <row r="439" spans="1:26" x14ac:dyDescent="0.2">
      <c r="A439" s="309" t="s">
        <v>621</v>
      </c>
      <c r="B439" s="309"/>
      <c r="C439" s="309"/>
      <c r="D439" s="306">
        <v>13.583283424377401</v>
      </c>
      <c r="E439" s="306">
        <v>17.522464752197301</v>
      </c>
      <c r="F439" s="306">
        <v>19.7921543121338</v>
      </c>
      <c r="G439" s="306">
        <v>19.706336975097699</v>
      </c>
      <c r="H439" s="306">
        <v>18.211244583129901</v>
      </c>
      <c r="I439" s="306">
        <v>17.3085613250732</v>
      </c>
      <c r="J439" s="306">
        <v>16.8088684082031</v>
      </c>
      <c r="K439" s="306">
        <v>16.001249313354499</v>
      </c>
      <c r="L439" s="306">
        <v>15.3922462463379</v>
      </c>
      <c r="M439" s="306">
        <v>15.213009834289601</v>
      </c>
      <c r="N439" s="306">
        <v>14.822114944458001</v>
      </c>
      <c r="O439" s="306">
        <v>14.859941482543899</v>
      </c>
      <c r="P439" s="306">
        <v>15.1213598251343</v>
      </c>
      <c r="Q439" s="306">
        <v>15.075839042663601</v>
      </c>
      <c r="R439" s="306">
        <v>15.158118247985801</v>
      </c>
      <c r="S439" s="306">
        <v>15.4795846939087</v>
      </c>
      <c r="T439" s="306">
        <v>15.4157457351685</v>
      </c>
      <c r="U439" s="306">
        <v>15.4886207580566</v>
      </c>
      <c r="V439" s="306">
        <v>15.773143768310501</v>
      </c>
      <c r="W439" s="306">
        <v>15.4716739654541</v>
      </c>
      <c r="X439" s="306">
        <v>15.639728546142599</v>
      </c>
      <c r="Y439" s="306">
        <v>15.912574768066399</v>
      </c>
      <c r="Z439" s="306">
        <v>15.834021568298301</v>
      </c>
    </row>
    <row r="440" spans="1:26" x14ac:dyDescent="0.2">
      <c r="A440" s="306" t="s">
        <v>611</v>
      </c>
      <c r="B440" s="306"/>
      <c r="C440" s="306"/>
      <c r="D440" s="306">
        <v>4.8536195755004901</v>
      </c>
      <c r="E440" s="306">
        <v>5.5067763328552202</v>
      </c>
      <c r="F440" s="306">
        <v>7.1623473167419398</v>
      </c>
      <c r="G440" s="306">
        <v>8.8221101760864293</v>
      </c>
      <c r="H440" s="306">
        <v>9.0483112335205096</v>
      </c>
      <c r="I440" s="306">
        <v>8.6029233932495099</v>
      </c>
      <c r="J440" s="306">
        <v>8.0481967926025408</v>
      </c>
      <c r="K440" s="306">
        <v>7.6902847290039098</v>
      </c>
      <c r="L440" s="306">
        <v>7.3429737091064498</v>
      </c>
      <c r="M440" s="306">
        <v>7.1018238067626998</v>
      </c>
      <c r="N440" s="306">
        <v>6.97245073318481</v>
      </c>
      <c r="O440" s="306">
        <v>7.0413579940795898</v>
      </c>
      <c r="P440" s="306">
        <v>7.0324416160583496</v>
      </c>
      <c r="Q440" s="306">
        <v>7.12284135818481</v>
      </c>
      <c r="R440" s="306">
        <v>7.14320993423462</v>
      </c>
      <c r="S440" s="306">
        <v>7.1685328483581499</v>
      </c>
      <c r="T440" s="306">
        <v>7.3589744567871103</v>
      </c>
      <c r="U440" s="306">
        <v>7.4886426925659197</v>
      </c>
      <c r="V440" s="306">
        <v>7.6476154327392596</v>
      </c>
      <c r="W440" s="306">
        <v>7.6766633987426802</v>
      </c>
      <c r="X440" s="306">
        <v>7.8515577316284197</v>
      </c>
      <c r="Y440" s="306">
        <v>7.8973522186279297</v>
      </c>
      <c r="Z440" s="306">
        <v>8.0370302200317401</v>
      </c>
    </row>
    <row r="441" spans="1:26" x14ac:dyDescent="0.2">
      <c r="A441" s="306" t="s">
        <v>622</v>
      </c>
      <c r="B441" s="306"/>
      <c r="C441" s="306"/>
      <c r="D441" s="306">
        <v>11.913727760314901</v>
      </c>
      <c r="E441" s="306">
        <v>14.761161804199199</v>
      </c>
      <c r="F441" s="306">
        <v>11.981869697570801</v>
      </c>
      <c r="G441" s="306">
        <v>12.283256530761699</v>
      </c>
      <c r="H441" s="306">
        <v>12.1389265060425</v>
      </c>
      <c r="I441" s="306">
        <v>12.3170175552368</v>
      </c>
      <c r="J441" s="306">
        <v>13.965456008911101</v>
      </c>
      <c r="K441" s="306">
        <v>13.507596015930201</v>
      </c>
      <c r="L441" s="306">
        <v>13.291357994079601</v>
      </c>
      <c r="M441" s="306">
        <v>13.0437335968018</v>
      </c>
      <c r="N441" s="306">
        <v>12.940827369689901</v>
      </c>
      <c r="O441" s="306">
        <v>12.861621856689499</v>
      </c>
      <c r="P441" s="306">
        <v>12.894752502441399</v>
      </c>
      <c r="Q441" s="306">
        <v>13.0291633605957</v>
      </c>
      <c r="R441" s="306">
        <v>12.9489841461182</v>
      </c>
      <c r="S441" s="306">
        <v>12.946153640747101</v>
      </c>
      <c r="T441" s="306">
        <v>12.9756631851196</v>
      </c>
      <c r="U441" s="306">
        <v>12.953050613403301</v>
      </c>
      <c r="V441" s="306">
        <v>13.079764366149901</v>
      </c>
      <c r="W441" s="306">
        <v>13.110743522644</v>
      </c>
      <c r="X441" s="306">
        <v>13.198463439941399</v>
      </c>
      <c r="Y441" s="306">
        <v>13.2244005203247</v>
      </c>
      <c r="Z441" s="306">
        <v>13.175202369689901</v>
      </c>
    </row>
    <row r="442" spans="1:26" x14ac:dyDescent="0.2">
      <c r="A442" s="306" t="s">
        <v>479</v>
      </c>
      <c r="B442" s="306"/>
      <c r="C442" s="306"/>
      <c r="D442" s="306">
        <v>26.1035976409912</v>
      </c>
      <c r="E442" s="306">
        <v>25.216188430786101</v>
      </c>
      <c r="F442" s="306">
        <v>26.121034622192401</v>
      </c>
      <c r="G442" s="306">
        <v>25.629154205322301</v>
      </c>
      <c r="H442" s="306">
        <v>25.7473449707031</v>
      </c>
      <c r="I442" s="306">
        <v>25.392839431762699</v>
      </c>
      <c r="J442" s="306">
        <v>24.861566543579102</v>
      </c>
      <c r="K442" s="306">
        <v>24.317947387695298</v>
      </c>
      <c r="L442" s="306">
        <v>24.125808715820298</v>
      </c>
      <c r="M442" s="306">
        <v>23.980707168579102</v>
      </c>
      <c r="N442" s="306">
        <v>23.787378311157202</v>
      </c>
      <c r="O442" s="306">
        <v>23.809650421142599</v>
      </c>
      <c r="P442" s="306">
        <v>23.876377105712901</v>
      </c>
      <c r="Q442" s="306">
        <v>24.074831008911101</v>
      </c>
      <c r="R442" s="306">
        <v>24.262081146240199</v>
      </c>
      <c r="S442" s="306">
        <v>24.183790206909201</v>
      </c>
      <c r="T442" s="306">
        <v>24.2170009613037</v>
      </c>
      <c r="U442" s="306">
        <v>24.245899200439499</v>
      </c>
      <c r="V442" s="306">
        <v>24.2234077453613</v>
      </c>
      <c r="W442" s="306">
        <v>24.307447433471701</v>
      </c>
      <c r="X442" s="306">
        <v>24.4279899597168</v>
      </c>
      <c r="Y442" s="306">
        <v>24.465734481811499</v>
      </c>
      <c r="Z442" s="306">
        <v>24.386825561523398</v>
      </c>
    </row>
    <row r="443" spans="1:26" x14ac:dyDescent="0.2">
      <c r="A443" s="306" t="s">
        <v>623</v>
      </c>
      <c r="B443" s="306"/>
      <c r="C443" s="306"/>
      <c r="D443" s="306"/>
      <c r="E443" s="306"/>
      <c r="F443" s="306"/>
      <c r="G443" s="306"/>
      <c r="H443" s="306"/>
      <c r="I443" s="306"/>
      <c r="J443" s="306"/>
      <c r="K443" s="306"/>
      <c r="L443" s="306"/>
      <c r="M443" s="306"/>
      <c r="N443" s="306"/>
      <c r="O443" s="306"/>
      <c r="P443" s="306"/>
      <c r="Q443" s="306"/>
      <c r="R443" s="306"/>
      <c r="S443" s="306"/>
      <c r="T443" s="306"/>
      <c r="U443" s="306"/>
      <c r="V443" s="306"/>
      <c r="W443" s="306"/>
      <c r="X443" s="306"/>
      <c r="Y443" s="306"/>
      <c r="Z443" s="306"/>
    </row>
    <row r="444" spans="1:26" x14ac:dyDescent="0.2">
      <c r="A444" s="306" t="s">
        <v>610</v>
      </c>
      <c r="B444" s="306"/>
      <c r="C444" s="306"/>
      <c r="D444" s="306">
        <v>9.5153579711914098</v>
      </c>
      <c r="E444" s="306">
        <v>11.3847246170044</v>
      </c>
      <c r="F444" s="306">
        <v>13.235827445983899</v>
      </c>
      <c r="G444" s="306">
        <v>14.263434410095201</v>
      </c>
      <c r="H444" s="306">
        <v>13.7692108154297</v>
      </c>
      <c r="I444" s="306">
        <v>12.704180717468301</v>
      </c>
      <c r="J444" s="306">
        <v>11.7051839828491</v>
      </c>
      <c r="K444" s="306">
        <v>10.7794647216797</v>
      </c>
      <c r="L444" s="306">
        <v>10.0299482345581</v>
      </c>
      <c r="M444" s="306">
        <v>9.2896862030029297</v>
      </c>
      <c r="N444" s="306">
        <v>9.1972703933715803</v>
      </c>
      <c r="O444" s="306">
        <v>9.2599020004272496</v>
      </c>
      <c r="P444" s="306">
        <v>9.2775526046752894</v>
      </c>
      <c r="Q444" s="306">
        <v>9.4403448104858398</v>
      </c>
      <c r="R444" s="306">
        <v>9.5352287292480504</v>
      </c>
      <c r="S444" s="306">
        <v>9.7515039443969709</v>
      </c>
      <c r="T444" s="306">
        <v>9.8428487777709996</v>
      </c>
      <c r="U444" s="306">
        <v>9.9595317840576207</v>
      </c>
      <c r="V444" s="306">
        <v>10.1106100082397</v>
      </c>
      <c r="W444" s="306">
        <v>10.0771369934082</v>
      </c>
      <c r="X444" s="306">
        <v>10.217479705810501</v>
      </c>
      <c r="Y444" s="306">
        <v>10.254093170166</v>
      </c>
      <c r="Z444" s="306">
        <v>10.318883895874</v>
      </c>
    </row>
    <row r="445" spans="1:26" x14ac:dyDescent="0.2">
      <c r="A445" s="306" t="s">
        <v>611</v>
      </c>
      <c r="B445" s="306"/>
      <c r="C445" s="306"/>
      <c r="D445" s="306">
        <v>4.9909768104553196</v>
      </c>
      <c r="E445" s="306">
        <v>6.9611043930053702</v>
      </c>
      <c r="F445" s="306">
        <v>7.8457942008972203</v>
      </c>
      <c r="G445" s="306">
        <v>7.1943798065185502</v>
      </c>
      <c r="H445" s="306">
        <v>7.2948379516601598</v>
      </c>
      <c r="I445" s="306">
        <v>6.9926204681396502</v>
      </c>
      <c r="J445" s="306">
        <v>6.5808119773864702</v>
      </c>
      <c r="K445" s="306">
        <v>6.2065305709838903</v>
      </c>
      <c r="L445" s="306">
        <v>5.9029440879821804</v>
      </c>
      <c r="M445" s="306">
        <v>5.45705270767212</v>
      </c>
      <c r="N445" s="306">
        <v>5.4534096717834499</v>
      </c>
      <c r="O445" s="306">
        <v>5.5995068550109899</v>
      </c>
      <c r="P445" s="306">
        <v>5.6287369728088397</v>
      </c>
      <c r="Q445" s="306">
        <v>5.7370648384094203</v>
      </c>
      <c r="R445" s="306">
        <v>5.8140759468078604</v>
      </c>
      <c r="S445" s="306">
        <v>6.0071105957031303</v>
      </c>
      <c r="T445" s="306">
        <v>6.0822205543518102</v>
      </c>
      <c r="U445" s="306">
        <v>6.22955322265625</v>
      </c>
      <c r="V445" s="306">
        <v>6.4186983108520499</v>
      </c>
      <c r="W445" s="306">
        <v>6.3188004493713397</v>
      </c>
      <c r="X445" s="306">
        <v>6.5342454910278303</v>
      </c>
      <c r="Y445" s="306">
        <v>6.5804891586303702</v>
      </c>
      <c r="Z445" s="306">
        <v>6.6370191574096697</v>
      </c>
    </row>
    <row r="446" spans="1:26" x14ac:dyDescent="0.2">
      <c r="A446" s="308" t="s">
        <v>510</v>
      </c>
      <c r="B446" s="308"/>
      <c r="C446" s="308"/>
      <c r="D446" s="306">
        <v>6.1140975952148402</v>
      </c>
      <c r="E446" s="306">
        <v>8.1813249588012695</v>
      </c>
      <c r="F446" s="306">
        <v>6.9707522392272896</v>
      </c>
      <c r="G446" s="306">
        <v>7.1151452064514196</v>
      </c>
      <c r="H446" s="306">
        <v>7.0668158531189</v>
      </c>
      <c r="I446" s="306">
        <v>6.5265731811523402</v>
      </c>
      <c r="J446" s="306">
        <v>6.2202811241149902</v>
      </c>
      <c r="K446" s="306">
        <v>5.8298497200012198</v>
      </c>
      <c r="L446" s="306">
        <v>5.6925516128540004</v>
      </c>
      <c r="M446" s="306">
        <v>5.4995698928832999</v>
      </c>
      <c r="N446" s="306">
        <v>5.54103326797485</v>
      </c>
      <c r="O446" s="306">
        <v>5.5007095336914098</v>
      </c>
      <c r="P446" s="306">
        <v>5.59739446640015</v>
      </c>
      <c r="Q446" s="306">
        <v>5.7880721092224103</v>
      </c>
      <c r="R446" s="306">
        <v>5.7225790023803702</v>
      </c>
      <c r="S446" s="306">
        <v>5.6709170341491699</v>
      </c>
      <c r="T446" s="306">
        <v>5.7639327049255398</v>
      </c>
      <c r="U446" s="306">
        <v>5.72597312927246</v>
      </c>
      <c r="V446" s="306">
        <v>5.8378243446350098</v>
      </c>
      <c r="W446" s="306">
        <v>5.9462161064147896</v>
      </c>
      <c r="X446" s="306">
        <v>6.05735063552856</v>
      </c>
      <c r="Y446" s="306">
        <v>6.0477237701415998</v>
      </c>
      <c r="Z446" s="306">
        <v>6.0664491653442401</v>
      </c>
    </row>
    <row r="447" spans="1:26" x14ac:dyDescent="0.2">
      <c r="A447" s="311" t="s">
        <v>624</v>
      </c>
      <c r="B447" s="311"/>
      <c r="C447" s="311"/>
      <c r="D447" s="306">
        <v>1.4011929035186801</v>
      </c>
      <c r="E447" s="306">
        <v>1.5299999713897701</v>
      </c>
      <c r="F447" s="306">
        <v>1.6714243888855</v>
      </c>
      <c r="G447" s="306">
        <v>1.69177293777466</v>
      </c>
      <c r="H447" s="306">
        <v>1.70398998260498</v>
      </c>
      <c r="I447" s="306">
        <v>1.7000321149826001</v>
      </c>
      <c r="J447" s="306">
        <v>1.7052028179168699</v>
      </c>
      <c r="K447" s="306">
        <v>1.66678094863892</v>
      </c>
      <c r="L447" s="306">
        <v>1.63700723648071</v>
      </c>
      <c r="M447" s="306">
        <v>1.6199716329574601</v>
      </c>
      <c r="N447" s="306">
        <v>1.61296951770782</v>
      </c>
      <c r="O447" s="306">
        <v>1.59987056255341</v>
      </c>
      <c r="P447" s="306">
        <v>1.59190189838409</v>
      </c>
      <c r="Q447" s="306">
        <v>1.5892090797424301</v>
      </c>
      <c r="R447" s="306">
        <v>1.57604885101318</v>
      </c>
      <c r="S447" s="306">
        <v>1.5779995918273899</v>
      </c>
      <c r="T447" s="306">
        <v>1.5809644460678101</v>
      </c>
      <c r="U447" s="306">
        <v>1.5890377759933501</v>
      </c>
      <c r="V447" s="306">
        <v>1.59825491905212</v>
      </c>
      <c r="W447" s="306">
        <v>1.6020262241363501</v>
      </c>
      <c r="X447" s="306">
        <v>1.6148724555969201</v>
      </c>
      <c r="Y447" s="306">
        <v>1.62832856178284</v>
      </c>
      <c r="Z447" s="306">
        <v>1.63934326171875</v>
      </c>
    </row>
    <row r="448" spans="1:26" x14ac:dyDescent="0.2">
      <c r="A448" s="306" t="s">
        <v>625</v>
      </c>
      <c r="B448" s="306"/>
      <c r="C448" s="306"/>
      <c r="D448" s="306"/>
      <c r="E448" s="306"/>
      <c r="F448" s="306"/>
      <c r="G448" s="306"/>
      <c r="H448" s="306"/>
      <c r="I448" s="306"/>
      <c r="J448" s="306"/>
      <c r="K448" s="306"/>
      <c r="L448" s="306"/>
      <c r="M448" s="306"/>
      <c r="N448" s="306"/>
      <c r="O448" s="306"/>
      <c r="P448" s="306"/>
      <c r="Q448" s="306"/>
      <c r="R448" s="306"/>
      <c r="S448" s="306"/>
      <c r="T448" s="306"/>
      <c r="U448" s="306"/>
      <c r="V448" s="306"/>
      <c r="W448" s="306"/>
      <c r="X448" s="306"/>
      <c r="Y448" s="306"/>
      <c r="Z448" s="306"/>
    </row>
    <row r="449" spans="1:70" x14ac:dyDescent="0.2">
      <c r="A449" s="306" t="s">
        <v>609</v>
      </c>
      <c r="B449" s="306"/>
      <c r="C449" s="306"/>
      <c r="D449" s="306">
        <v>12.6906900405884</v>
      </c>
      <c r="E449" s="306">
        <v>17.482444763183601</v>
      </c>
      <c r="F449" s="306">
        <v>19.464084625244102</v>
      </c>
      <c r="G449" s="306">
        <v>18.995626449585</v>
      </c>
      <c r="H449" s="306">
        <v>18.880571365356399</v>
      </c>
      <c r="I449" s="306">
        <v>18.286575317382798</v>
      </c>
      <c r="J449" s="306">
        <v>18.020065307617202</v>
      </c>
      <c r="K449" s="306">
        <v>17.571559906005898</v>
      </c>
      <c r="L449" s="306">
        <v>17.417589187622099</v>
      </c>
      <c r="M449" s="306">
        <v>17.2678737640381</v>
      </c>
      <c r="N449" s="306">
        <v>17.291303634643601</v>
      </c>
      <c r="O449" s="306">
        <v>17.241743087768601</v>
      </c>
      <c r="P449" s="306">
        <v>17.364793777465799</v>
      </c>
      <c r="Q449" s="306">
        <v>17.562221527099599</v>
      </c>
      <c r="R449" s="306">
        <v>17.562810897827099</v>
      </c>
      <c r="S449" s="306">
        <v>17.558799743652301</v>
      </c>
      <c r="T449" s="306">
        <v>17.620630264282202</v>
      </c>
      <c r="U449" s="306">
        <v>17.599321365356399</v>
      </c>
      <c r="V449" s="306">
        <v>17.721448898315401</v>
      </c>
      <c r="W449" s="306">
        <v>17.8418064117432</v>
      </c>
      <c r="X449" s="306">
        <v>17.9907836914063</v>
      </c>
      <c r="Y449" s="306">
        <v>17.9618225097656</v>
      </c>
      <c r="Z449" s="306">
        <v>17.988685607910199</v>
      </c>
    </row>
    <row r="450" spans="1:70" x14ac:dyDescent="0.2">
      <c r="A450" s="306" t="s">
        <v>618</v>
      </c>
      <c r="B450" s="306"/>
      <c r="C450" s="306"/>
      <c r="D450" s="306">
        <v>20.914932250976602</v>
      </c>
      <c r="E450" s="306">
        <v>23.101913452148398</v>
      </c>
      <c r="F450" s="306">
        <v>24.811454772949201</v>
      </c>
      <c r="G450" s="306">
        <v>27.774848937988299</v>
      </c>
      <c r="H450" s="306">
        <v>25.9952602386475</v>
      </c>
      <c r="I450" s="306">
        <v>24.2666110992432</v>
      </c>
      <c r="J450" s="306">
        <v>21.291254043579102</v>
      </c>
      <c r="K450" s="306">
        <v>20.525190353393601</v>
      </c>
      <c r="L450" s="306">
        <v>20.3361301422119</v>
      </c>
      <c r="M450" s="306">
        <v>20.197395324706999</v>
      </c>
      <c r="N450" s="306">
        <v>20.009881973266602</v>
      </c>
      <c r="O450" s="306">
        <v>20.093305587768601</v>
      </c>
      <c r="P450" s="306">
        <v>20.196292877197301</v>
      </c>
      <c r="Q450" s="306">
        <v>20.4327602386475</v>
      </c>
      <c r="R450" s="306">
        <v>20.4076957702637</v>
      </c>
      <c r="S450" s="306">
        <v>20.624263763427699</v>
      </c>
      <c r="T450" s="306">
        <v>20.610368728637699</v>
      </c>
      <c r="U450" s="306">
        <v>20.617734909057599</v>
      </c>
      <c r="V450" s="306">
        <v>21.067132949829102</v>
      </c>
      <c r="W450" s="306">
        <v>20.970218658447301</v>
      </c>
      <c r="X450" s="306">
        <v>20.962213516235401</v>
      </c>
      <c r="Y450" s="306">
        <v>21.257926940918001</v>
      </c>
      <c r="Z450" s="306">
        <v>21.098123550415</v>
      </c>
    </row>
    <row r="451" spans="1:70" x14ac:dyDescent="0.2">
      <c r="A451" s="306" t="s">
        <v>619</v>
      </c>
      <c r="B451" s="306"/>
      <c r="C451" s="306"/>
      <c r="D451" s="306">
        <v>15.706001281738301</v>
      </c>
      <c r="E451" s="306">
        <v>18.602125167846701</v>
      </c>
      <c r="F451" s="306">
        <v>21.1080112457275</v>
      </c>
      <c r="G451" s="306">
        <v>20.962741851806602</v>
      </c>
      <c r="H451" s="306">
        <v>19.720066070556602</v>
      </c>
      <c r="I451" s="306">
        <v>18.690637588501001</v>
      </c>
      <c r="J451" s="306">
        <v>17.900485992431602</v>
      </c>
      <c r="K451" s="306">
        <v>17.230388641357401</v>
      </c>
      <c r="L451" s="306">
        <v>16.861814498901399</v>
      </c>
      <c r="M451" s="306">
        <v>16.564214706420898</v>
      </c>
      <c r="N451" s="306">
        <v>16.0839519500732</v>
      </c>
      <c r="O451" s="306">
        <v>16.0615749359131</v>
      </c>
      <c r="P451" s="306">
        <v>16.110080718994102</v>
      </c>
      <c r="Q451" s="306">
        <v>16.238643646240199</v>
      </c>
      <c r="R451" s="306">
        <v>16.322971343994102</v>
      </c>
      <c r="S451" s="306">
        <v>16.671089172363299</v>
      </c>
      <c r="T451" s="306">
        <v>16.630247116088899</v>
      </c>
      <c r="U451" s="306">
        <v>16.7495441436768</v>
      </c>
      <c r="V451" s="306">
        <v>17.049686431884801</v>
      </c>
      <c r="W451" s="306">
        <v>16.918500900268601</v>
      </c>
      <c r="X451" s="306">
        <v>17.100944519043001</v>
      </c>
      <c r="Y451" s="306">
        <v>17.321361541748001</v>
      </c>
      <c r="Z451" s="306">
        <v>17.142530441284201</v>
      </c>
    </row>
    <row r="452" spans="1:70" x14ac:dyDescent="0.2">
      <c r="A452" s="306" t="s">
        <v>626</v>
      </c>
      <c r="B452" s="306"/>
      <c r="C452" s="306"/>
      <c r="D452" s="306">
        <v>9.2184209823608398</v>
      </c>
      <c r="E452" s="306">
        <v>13.1439361572266</v>
      </c>
      <c r="F452" s="306">
        <v>14.9574270248413</v>
      </c>
      <c r="G452" s="306">
        <v>12.9907026290894</v>
      </c>
      <c r="H452" s="306">
        <v>11.722384452819799</v>
      </c>
      <c r="I452" s="306">
        <v>11.2624855041504</v>
      </c>
      <c r="J452" s="306">
        <v>10.9056959152222</v>
      </c>
      <c r="K452" s="306">
        <v>10.3720808029175</v>
      </c>
      <c r="L452" s="306">
        <v>10.059165954589799</v>
      </c>
      <c r="M452" s="306">
        <v>10.0335283279419</v>
      </c>
      <c r="N452" s="306">
        <v>9.8430700302124006</v>
      </c>
      <c r="O452" s="306">
        <v>9.8874025344848597</v>
      </c>
      <c r="P452" s="306">
        <v>10.0322532653809</v>
      </c>
      <c r="Q452" s="306">
        <v>10.087176322936999</v>
      </c>
      <c r="R452" s="306">
        <v>10.2108345031738</v>
      </c>
      <c r="S452" s="306">
        <v>10.523097038269</v>
      </c>
      <c r="T452" s="306">
        <v>10.506872177124</v>
      </c>
      <c r="U452" s="306">
        <v>10.5880041122437</v>
      </c>
      <c r="V452" s="306">
        <v>10.8930578231812</v>
      </c>
      <c r="W452" s="306">
        <v>10.788450241088899</v>
      </c>
      <c r="X452" s="306">
        <v>10.9106340408325</v>
      </c>
      <c r="Y452" s="306">
        <v>11.0979099273682</v>
      </c>
      <c r="Z452" s="306">
        <v>11.0487413406372</v>
      </c>
    </row>
    <row r="453" spans="1:70" x14ac:dyDescent="0.2">
      <c r="A453" s="306" t="s">
        <v>610</v>
      </c>
      <c r="B453" s="306"/>
      <c r="C453" s="306"/>
      <c r="D453" s="306">
        <v>12.9106340408325</v>
      </c>
      <c r="E453" s="306">
        <v>16.217037200927699</v>
      </c>
      <c r="F453" s="306">
        <v>18.421550750732401</v>
      </c>
      <c r="G453" s="306">
        <v>18.437913894653299</v>
      </c>
      <c r="H453" s="306">
        <v>17.199058532714801</v>
      </c>
      <c r="I453" s="306">
        <v>16.296318054199201</v>
      </c>
      <c r="J453" s="306">
        <v>15.704516410827599</v>
      </c>
      <c r="K453" s="306">
        <v>14.921827316284199</v>
      </c>
      <c r="L453" s="306">
        <v>14.360170364379901</v>
      </c>
      <c r="M453" s="306">
        <v>14.182985305786101</v>
      </c>
      <c r="N453" s="306">
        <v>13.862556457519499</v>
      </c>
      <c r="O453" s="306">
        <v>13.915904045105</v>
      </c>
      <c r="P453" s="306">
        <v>14.153459548950201</v>
      </c>
      <c r="Q453" s="306">
        <v>14.1445617675781</v>
      </c>
      <c r="R453" s="306">
        <v>14.2399711608887</v>
      </c>
      <c r="S453" s="306">
        <v>14.558382987976101</v>
      </c>
      <c r="T453" s="306">
        <v>14.527869224548301</v>
      </c>
      <c r="U453" s="306">
        <v>14.6189737319946</v>
      </c>
      <c r="V453" s="306">
        <v>14.9021968841553</v>
      </c>
      <c r="W453" s="306">
        <v>14.6463842391968</v>
      </c>
      <c r="X453" s="306">
        <v>14.8252000808716</v>
      </c>
      <c r="Y453" s="306">
        <v>15.0819444656372</v>
      </c>
      <c r="Z453" s="306">
        <v>15.031323432922401</v>
      </c>
    </row>
    <row r="454" spans="1:70" x14ac:dyDescent="0.2">
      <c r="A454" s="306" t="s">
        <v>611</v>
      </c>
      <c r="B454" s="306"/>
      <c r="C454" s="306"/>
      <c r="D454" s="306">
        <v>5.0985417366027797</v>
      </c>
      <c r="E454" s="306">
        <v>6.5886197090148899</v>
      </c>
      <c r="F454" s="306">
        <v>7.9185199737548801</v>
      </c>
      <c r="G454" s="306">
        <v>8.2529850006103498</v>
      </c>
      <c r="H454" s="306">
        <v>8.4050197601318395</v>
      </c>
      <c r="I454" s="306">
        <v>8.0572872161865199</v>
      </c>
      <c r="J454" s="306">
        <v>7.6087560653686497</v>
      </c>
      <c r="K454" s="306">
        <v>7.1943945884704599</v>
      </c>
      <c r="L454" s="306">
        <v>6.8676166534423801</v>
      </c>
      <c r="M454" s="306">
        <v>6.4547815322876003</v>
      </c>
      <c r="N454" s="306">
        <v>6.4073238372802699</v>
      </c>
      <c r="O454" s="306">
        <v>6.54701900482178</v>
      </c>
      <c r="P454" s="306">
        <v>6.5695567131042498</v>
      </c>
      <c r="Q454" s="306">
        <v>6.6816062927246103</v>
      </c>
      <c r="R454" s="306">
        <v>6.7372307777404803</v>
      </c>
      <c r="S454" s="306">
        <v>6.86507225036621</v>
      </c>
      <c r="T454" s="306">
        <v>6.9956922531127903</v>
      </c>
      <c r="U454" s="306">
        <v>7.1396765708923304</v>
      </c>
      <c r="V454" s="306">
        <v>7.3088741302490199</v>
      </c>
      <c r="W454" s="306">
        <v>7.2670574188232404</v>
      </c>
      <c r="X454" s="306">
        <v>7.4510564804077104</v>
      </c>
      <c r="Y454" s="306">
        <v>7.4737396240234402</v>
      </c>
      <c r="Z454" s="306">
        <v>7.5808291435241699</v>
      </c>
    </row>
    <row r="455" spans="1:70" x14ac:dyDescent="0.2">
      <c r="A455" s="306" t="s">
        <v>510</v>
      </c>
      <c r="B455" s="306"/>
      <c r="C455" s="306"/>
      <c r="D455" s="306">
        <v>7.8259296417236301</v>
      </c>
      <c r="E455" s="306">
        <v>9.6487970352172905</v>
      </c>
      <c r="F455" s="306">
        <v>9.1377601623535192</v>
      </c>
      <c r="G455" s="306">
        <v>8.7611961364746094</v>
      </c>
      <c r="H455" s="306">
        <v>8.6626396179199201</v>
      </c>
      <c r="I455" s="306">
        <v>8.1270828247070295</v>
      </c>
      <c r="J455" s="306">
        <v>7.8336372375488299</v>
      </c>
      <c r="K455" s="306">
        <v>7.4448304176330602</v>
      </c>
      <c r="L455" s="306">
        <v>7.2887372970581099</v>
      </c>
      <c r="M455" s="306">
        <v>7.0927038192748997</v>
      </c>
      <c r="N455" s="306">
        <v>7.1150150299072301</v>
      </c>
      <c r="O455" s="306">
        <v>7.0641679763793901</v>
      </c>
      <c r="P455" s="306">
        <v>7.1520218849182102</v>
      </c>
      <c r="Q455" s="306">
        <v>7.3469972610473597</v>
      </c>
      <c r="R455" s="306">
        <v>7.2896466255187997</v>
      </c>
      <c r="S455" s="306">
        <v>7.2448530197143599</v>
      </c>
      <c r="T455" s="306">
        <v>7.3207983970642099</v>
      </c>
      <c r="U455" s="306">
        <v>7.3070926666259801</v>
      </c>
      <c r="V455" s="306">
        <v>7.4372458457946804</v>
      </c>
      <c r="W455" s="306">
        <v>7.5700182914733896</v>
      </c>
      <c r="X455" s="306">
        <v>7.6924967765808097</v>
      </c>
      <c r="Y455" s="306">
        <v>7.6794857978820801</v>
      </c>
      <c r="Z455" s="306">
        <v>7.7304539680481001</v>
      </c>
    </row>
    <row r="456" spans="1:70" x14ac:dyDescent="0.2">
      <c r="A456" s="306" t="s">
        <v>614</v>
      </c>
      <c r="B456" s="306"/>
      <c r="C456" s="306"/>
      <c r="D456" s="306">
        <v>2.3078472614288299</v>
      </c>
      <c r="E456" s="306">
        <v>3.0599997043609601</v>
      </c>
      <c r="F456" s="306">
        <v>3.2548489570617698</v>
      </c>
      <c r="G456" s="306">
        <v>3.2975256443023699</v>
      </c>
      <c r="H456" s="306">
        <v>3.2872827053070099</v>
      </c>
      <c r="I456" s="306">
        <v>3.1889374256134002</v>
      </c>
      <c r="J456" s="306">
        <v>3.0940959453582799</v>
      </c>
      <c r="K456" s="306">
        <v>2.9914577007293701</v>
      </c>
      <c r="L456" s="306">
        <v>2.8927016258239702</v>
      </c>
      <c r="M456" s="306">
        <v>2.78926348686218</v>
      </c>
      <c r="N456" s="306">
        <v>2.7408642768859899</v>
      </c>
      <c r="O456" s="306">
        <v>2.7166485786438002</v>
      </c>
      <c r="P456" s="306">
        <v>2.7061200141906698</v>
      </c>
      <c r="Q456" s="306">
        <v>2.7063503265380899</v>
      </c>
      <c r="R456" s="306">
        <v>2.7045123577117902</v>
      </c>
      <c r="S456" s="306">
        <v>2.68979120254517</v>
      </c>
      <c r="T456" s="306">
        <v>2.7072892189025901</v>
      </c>
      <c r="U456" s="306">
        <v>2.71812868118286</v>
      </c>
      <c r="V456" s="306">
        <v>2.7191135883331299</v>
      </c>
      <c r="W456" s="306">
        <v>2.7064330577850302</v>
      </c>
      <c r="X456" s="306">
        <v>2.68589544296265</v>
      </c>
      <c r="Y456" s="306">
        <v>2.69574999809265</v>
      </c>
      <c r="Z456" s="306">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
      <c r="A457" s="306" t="s">
        <v>627</v>
      </c>
      <c r="B457" s="306"/>
      <c r="C457" s="306"/>
      <c r="D457" s="306">
        <v>1.43066883087158</v>
      </c>
      <c r="E457" s="306">
        <v>1.5706532001495399</v>
      </c>
      <c r="F457" s="306">
        <v>1.7059867382049601</v>
      </c>
      <c r="G457" s="306">
        <v>1.7268872261047401</v>
      </c>
      <c r="H457" s="306">
        <v>1.7392324209213299</v>
      </c>
      <c r="I457" s="306">
        <v>1.7345312833786</v>
      </c>
      <c r="J457" s="306">
        <v>1.7401528358459499</v>
      </c>
      <c r="K457" s="306">
        <v>1.7026997804641699</v>
      </c>
      <c r="L457" s="306">
        <v>1.67319643497467</v>
      </c>
      <c r="M457" s="306">
        <v>1.6556009054184</v>
      </c>
      <c r="N457" s="306">
        <v>1.6479283571243299</v>
      </c>
      <c r="O457" s="306">
        <v>1.63474309444427</v>
      </c>
      <c r="P457" s="306">
        <v>1.6263667345046999</v>
      </c>
      <c r="Q457" s="306">
        <v>1.6231272220611599</v>
      </c>
      <c r="R457" s="306">
        <v>1.60980331897736</v>
      </c>
      <c r="S457" s="306">
        <v>1.6111264228820801</v>
      </c>
      <c r="T457" s="306">
        <v>1.61373710632324</v>
      </c>
      <c r="U457" s="306">
        <v>1.6214674711227399</v>
      </c>
      <c r="V457" s="306">
        <v>1.6300570964813199</v>
      </c>
      <c r="W457" s="306">
        <v>1.6331868171691899</v>
      </c>
      <c r="X457" s="306">
        <v>1.6452817916870099</v>
      </c>
      <c r="Y457" s="306">
        <v>1.6581670045852701</v>
      </c>
      <c r="Z457" s="306">
        <v>1.6686607599258401</v>
      </c>
    </row>
    <row r="458" spans="1:70" x14ac:dyDescent="0.2">
      <c r="A458" s="306" t="s">
        <v>616</v>
      </c>
      <c r="B458" s="306"/>
      <c r="C458" s="306"/>
      <c r="D458" s="306" t="s">
        <v>1083</v>
      </c>
      <c r="E458" s="306" t="s">
        <v>1083</v>
      </c>
      <c r="F458" s="306" t="s">
        <v>1083</v>
      </c>
      <c r="G458" s="306" t="s">
        <v>1083</v>
      </c>
      <c r="H458" s="306" t="s">
        <v>1083</v>
      </c>
      <c r="I458" s="306" t="s">
        <v>1083</v>
      </c>
      <c r="J458" s="306" t="s">
        <v>1083</v>
      </c>
      <c r="K458" s="306">
        <v>0.88956671953201305</v>
      </c>
      <c r="L458" s="306">
        <v>0.881245017051697</v>
      </c>
      <c r="M458" s="306">
        <v>0.88442194461822499</v>
      </c>
      <c r="N458" s="306">
        <v>0.89085346460342396</v>
      </c>
      <c r="O458" s="306">
        <v>0.88840740919113204</v>
      </c>
      <c r="P458" s="306">
        <v>0.89322775602340698</v>
      </c>
      <c r="Q458" s="306">
        <v>0.90440875291824296</v>
      </c>
      <c r="R458" s="306">
        <v>0.91453087329864502</v>
      </c>
      <c r="S458" s="306">
        <v>0.95469778776168801</v>
      </c>
      <c r="T458" s="306">
        <v>0.96978461742401101</v>
      </c>
      <c r="U458" s="306">
        <v>1.01334369182587</v>
      </c>
      <c r="V458" s="306">
        <v>1.02781510353088</v>
      </c>
      <c r="W458" s="306">
        <v>1.0294380187988299</v>
      </c>
      <c r="X458" s="306">
        <v>1.1219843626022299</v>
      </c>
      <c r="Y458" s="306">
        <v>1.2297383546829199</v>
      </c>
      <c r="Z458" s="306">
        <v>1.26935982704163</v>
      </c>
    </row>
    <row r="459" spans="1:70" x14ac:dyDescent="0.2">
      <c r="A459" s="306" t="s">
        <v>479</v>
      </c>
      <c r="B459" s="306"/>
      <c r="C459" s="306"/>
      <c r="D459" s="306">
        <v>23.009492874145501</v>
      </c>
      <c r="E459" s="306">
        <v>23.734071731567401</v>
      </c>
      <c r="F459" s="306">
        <v>24.3845615386963</v>
      </c>
      <c r="G459" s="306">
        <v>24.318822860717798</v>
      </c>
      <c r="H459" s="306">
        <v>24.297929763793899</v>
      </c>
      <c r="I459" s="306">
        <v>24.022377014160199</v>
      </c>
      <c r="J459" s="306">
        <v>23.662025451660199</v>
      </c>
      <c r="K459" s="306">
        <v>23.093143463134801</v>
      </c>
      <c r="L459" s="306">
        <v>22.802413940429702</v>
      </c>
      <c r="M459" s="306">
        <v>22.663448333740199</v>
      </c>
      <c r="N459" s="306">
        <v>22.5459308624268</v>
      </c>
      <c r="O459" s="306">
        <v>22.5456428527832</v>
      </c>
      <c r="P459" s="306">
        <v>22.688844680786101</v>
      </c>
      <c r="Q459" s="306">
        <v>22.9480895996094</v>
      </c>
      <c r="R459" s="306">
        <v>23.136041641235401</v>
      </c>
      <c r="S459" s="306">
        <v>23.0899753570557</v>
      </c>
      <c r="T459" s="306">
        <v>23.154170989990199</v>
      </c>
      <c r="U459" s="306">
        <v>23.213594436645501</v>
      </c>
      <c r="V459" s="306">
        <v>23.230543136596701</v>
      </c>
      <c r="W459" s="306">
        <v>23.3047065734863</v>
      </c>
      <c r="X459" s="306">
        <v>23.429094314575199</v>
      </c>
      <c r="Y459" s="306">
        <v>23.4709377288818</v>
      </c>
      <c r="Z459" s="306">
        <v>23.433801651001001</v>
      </c>
    </row>
    <row r="460" spans="1:70" x14ac:dyDescent="0.2">
      <c r="A460" s="306" t="s">
        <v>513</v>
      </c>
      <c r="B460" s="306"/>
      <c r="C460" s="306"/>
      <c r="D460" s="306"/>
      <c r="E460" s="306"/>
      <c r="F460" s="306"/>
      <c r="G460" s="306"/>
      <c r="H460" s="306"/>
      <c r="I460" s="306"/>
      <c r="J460" s="306"/>
      <c r="K460" s="306"/>
      <c r="L460" s="306"/>
      <c r="M460" s="306"/>
      <c r="N460" s="306"/>
      <c r="O460" s="306"/>
      <c r="P460" s="306"/>
      <c r="Q460" s="306"/>
      <c r="R460" s="306"/>
      <c r="S460" s="306"/>
      <c r="T460" s="306"/>
      <c r="U460" s="306"/>
      <c r="V460" s="306"/>
      <c r="W460" s="306"/>
      <c r="X460" s="306"/>
      <c r="Y460" s="306"/>
      <c r="Z460" s="306"/>
    </row>
    <row r="461" spans="1:70" x14ac:dyDescent="0.2">
      <c r="A461" s="306" t="s">
        <v>628</v>
      </c>
      <c r="B461" s="306"/>
      <c r="C461" s="306"/>
      <c r="D461" s="306"/>
      <c r="E461" s="306"/>
      <c r="F461" s="306"/>
      <c r="G461" s="306"/>
      <c r="H461" s="306"/>
      <c r="I461" s="306"/>
      <c r="J461" s="306"/>
      <c r="K461" s="306"/>
      <c r="L461" s="306"/>
      <c r="M461" s="306"/>
      <c r="N461" s="306"/>
      <c r="O461" s="306"/>
      <c r="P461" s="306"/>
      <c r="Q461" s="306"/>
      <c r="R461" s="306"/>
      <c r="S461" s="306"/>
      <c r="T461" s="306"/>
      <c r="U461" s="306"/>
      <c r="V461" s="306"/>
      <c r="W461" s="306"/>
      <c r="X461" s="306"/>
      <c r="Y461" s="306"/>
      <c r="Z461" s="306"/>
    </row>
    <row r="462" spans="1:70" x14ac:dyDescent="0.2">
      <c r="A462" s="306" t="s">
        <v>473</v>
      </c>
      <c r="B462" s="306"/>
      <c r="C462" s="306"/>
      <c r="D462" s="306">
        <v>195.98880004882801</v>
      </c>
      <c r="E462" s="306">
        <v>215.13366699218801</v>
      </c>
      <c r="F462" s="306">
        <v>218.80557250976599</v>
      </c>
      <c r="G462" s="306">
        <v>221.29866027832</v>
      </c>
      <c r="H462" s="306">
        <v>223.50036621093801</v>
      </c>
      <c r="I462" s="306">
        <v>221.10458374023401</v>
      </c>
      <c r="J462" s="306">
        <v>220.438400268555</v>
      </c>
      <c r="K462" s="306">
        <v>218.08479309082</v>
      </c>
      <c r="L462" s="306">
        <v>218.45701599121099</v>
      </c>
      <c r="M462" s="306">
        <v>217.84970092773401</v>
      </c>
      <c r="N462" s="306">
        <v>219.40165710449199</v>
      </c>
      <c r="O462" s="306">
        <v>221.00289916992199</v>
      </c>
      <c r="P462" s="306">
        <v>224.59239196777301</v>
      </c>
      <c r="Q462" s="306">
        <v>228.53056335449199</v>
      </c>
      <c r="R462" s="306">
        <v>230.97148132324199</v>
      </c>
      <c r="S462" s="306">
        <v>232.57162475585901</v>
      </c>
      <c r="T462" s="306">
        <v>236.03457641601599</v>
      </c>
      <c r="U462" s="306">
        <v>237.58020019531301</v>
      </c>
      <c r="V462" s="306">
        <v>240.43632507324199</v>
      </c>
      <c r="W462" s="306">
        <v>243.39186096191401</v>
      </c>
      <c r="X462" s="306">
        <v>247.24427795410199</v>
      </c>
      <c r="Y462" s="306">
        <v>248.98767089843801</v>
      </c>
      <c r="Z462" s="306">
        <v>251.02548217773401</v>
      </c>
    </row>
    <row r="463" spans="1:70" x14ac:dyDescent="0.2">
      <c r="A463" s="306" t="s">
        <v>480</v>
      </c>
      <c r="B463" s="306"/>
      <c r="C463" s="306"/>
      <c r="D463" s="306">
        <v>141.77845764160199</v>
      </c>
      <c r="E463" s="306">
        <v>154.38449096679699</v>
      </c>
      <c r="F463" s="306">
        <v>157.84999084472699</v>
      </c>
      <c r="G463" s="306">
        <v>156.06527709960901</v>
      </c>
      <c r="H463" s="306">
        <v>159.312088012695</v>
      </c>
      <c r="I463" s="306">
        <v>158.53677368164099</v>
      </c>
      <c r="J463" s="306">
        <v>157.966796875</v>
      </c>
      <c r="K463" s="306">
        <v>156.350173950195</v>
      </c>
      <c r="L463" s="306">
        <v>157.31393432617199</v>
      </c>
      <c r="M463" s="306">
        <v>158.58882141113301</v>
      </c>
      <c r="N463" s="306">
        <v>160.74195861816401</v>
      </c>
      <c r="O463" s="306">
        <v>163.37489318847699</v>
      </c>
      <c r="P463" s="306">
        <v>167.20817565918</v>
      </c>
      <c r="Q463" s="306">
        <v>172.04411315918</v>
      </c>
      <c r="R463" s="306">
        <v>175.58262634277301</v>
      </c>
      <c r="S463" s="306">
        <v>178.093505859375</v>
      </c>
      <c r="T463" s="306">
        <v>181.73991394043</v>
      </c>
      <c r="U463" s="306">
        <v>185.01341247558599</v>
      </c>
      <c r="V463" s="306">
        <v>188.79048156738301</v>
      </c>
      <c r="W463" s="306">
        <v>192.86947631835901</v>
      </c>
      <c r="X463" s="306">
        <v>197.36026000976599</v>
      </c>
      <c r="Y463" s="306">
        <v>201.10684204101599</v>
      </c>
      <c r="Z463" s="306">
        <v>204.49230957031301</v>
      </c>
    </row>
    <row r="464" spans="1:70" x14ac:dyDescent="0.2">
      <c r="A464" s="306" t="s">
        <v>515</v>
      </c>
      <c r="B464" s="306"/>
      <c r="C464" s="306"/>
      <c r="D464" s="306">
        <v>184.22943115234401</v>
      </c>
      <c r="E464" s="306">
        <v>196.07313537597699</v>
      </c>
      <c r="F464" s="306">
        <v>205.39855957031301</v>
      </c>
      <c r="G464" s="306">
        <v>217.87611389160199</v>
      </c>
      <c r="H464" s="306">
        <v>214.14784240722699</v>
      </c>
      <c r="I464" s="306">
        <v>207.11370849609401</v>
      </c>
      <c r="J464" s="306">
        <v>200.48422241210901</v>
      </c>
      <c r="K464" s="306">
        <v>191.81477355957</v>
      </c>
      <c r="L464" s="306">
        <v>187.29217529296901</v>
      </c>
      <c r="M464" s="306">
        <v>184.91578674316401</v>
      </c>
      <c r="N464" s="306">
        <v>184.25204467773401</v>
      </c>
      <c r="O464" s="306">
        <v>184.11447143554699</v>
      </c>
      <c r="P464" s="306">
        <v>186.80691528320301</v>
      </c>
      <c r="Q464" s="306">
        <v>189.66255187988301</v>
      </c>
      <c r="R464" s="306">
        <v>190.49990844726599</v>
      </c>
      <c r="S464" s="306">
        <v>192.03105163574199</v>
      </c>
      <c r="T464" s="306">
        <v>194.88296508789099</v>
      </c>
      <c r="U464" s="306">
        <v>196.87213134765599</v>
      </c>
      <c r="V464" s="306">
        <v>200.07191467285199</v>
      </c>
      <c r="W464" s="306">
        <v>202.13279724121099</v>
      </c>
      <c r="X464" s="306">
        <v>205.48814392089801</v>
      </c>
      <c r="Y464" s="306">
        <v>206.97822570800801</v>
      </c>
      <c r="Z464" s="306">
        <v>209.30905151367199</v>
      </c>
    </row>
    <row r="465" spans="1:70" x14ac:dyDescent="0.2">
      <c r="A465" s="306" t="s">
        <v>487</v>
      </c>
      <c r="B465" s="306"/>
      <c r="C465" s="306"/>
      <c r="D465" s="306">
        <v>385.00112915039102</v>
      </c>
      <c r="E465" s="306">
        <v>474.66281127929699</v>
      </c>
      <c r="F465" s="306">
        <v>545.7236328125</v>
      </c>
      <c r="G465" s="306">
        <v>538.79211425781295</v>
      </c>
      <c r="H465" s="306">
        <v>508.11019897460898</v>
      </c>
      <c r="I465" s="306">
        <v>488.44781494140602</v>
      </c>
      <c r="J465" s="306">
        <v>476.37777709960898</v>
      </c>
      <c r="K465" s="306">
        <v>463.41403198242199</v>
      </c>
      <c r="L465" s="306">
        <v>458.16046142578102</v>
      </c>
      <c r="M465" s="306">
        <v>458.57275390625</v>
      </c>
      <c r="N465" s="306">
        <v>452.78533935546898</v>
      </c>
      <c r="O465" s="306">
        <v>459.41848754882801</v>
      </c>
      <c r="P465" s="306">
        <v>469.74392700195301</v>
      </c>
      <c r="Q465" s="306">
        <v>478.67190551757801</v>
      </c>
      <c r="R465" s="306">
        <v>487.87078857421898</v>
      </c>
      <c r="S465" s="306">
        <v>505.29348754882801</v>
      </c>
      <c r="T465" s="306">
        <v>511.07485961914102</v>
      </c>
      <c r="U465" s="306">
        <v>521.646240234375</v>
      </c>
      <c r="V465" s="306">
        <v>538.77532958984398</v>
      </c>
      <c r="W465" s="306">
        <v>540.642822265625</v>
      </c>
      <c r="X465" s="306">
        <v>554.21173095703102</v>
      </c>
      <c r="Y465" s="306">
        <v>570.280029296875</v>
      </c>
      <c r="Z465" s="306">
        <v>574.30035400390602</v>
      </c>
    </row>
    <row r="466" spans="1:70" x14ac:dyDescent="0.2">
      <c r="A466" s="306" t="s">
        <v>516</v>
      </c>
      <c r="B466" s="306"/>
      <c r="C466" s="306"/>
      <c r="D466" s="306">
        <v>906.997802734375</v>
      </c>
      <c r="E466" s="306">
        <v>1040.25415039063</v>
      </c>
      <c r="F466" s="306">
        <v>1127.77770996094</v>
      </c>
      <c r="G466" s="306">
        <v>1134.0322265625</v>
      </c>
      <c r="H466" s="306">
        <v>1105.07055664063</v>
      </c>
      <c r="I466" s="306">
        <v>1075.20288085938</v>
      </c>
      <c r="J466" s="306">
        <v>1055.26721191406</v>
      </c>
      <c r="K466" s="306">
        <v>1029.66381835938</v>
      </c>
      <c r="L466" s="306">
        <v>1021.22357177734</v>
      </c>
      <c r="M466" s="306">
        <v>1019.92706298828</v>
      </c>
      <c r="N466" s="306">
        <v>1017.18103027344</v>
      </c>
      <c r="O466" s="306">
        <v>1027.91076660156</v>
      </c>
      <c r="P466" s="306">
        <v>1048.35144042969</v>
      </c>
      <c r="Q466" s="306">
        <v>1068.9091796875</v>
      </c>
      <c r="R466" s="306">
        <v>1084.9248046875</v>
      </c>
      <c r="S466" s="306">
        <v>1107.98962402344</v>
      </c>
      <c r="T466" s="306">
        <v>1123.73229980469</v>
      </c>
      <c r="U466" s="306">
        <v>1141.11193847656</v>
      </c>
      <c r="V466" s="306">
        <v>1168.07409667969</v>
      </c>
      <c r="W466" s="306">
        <v>1179.03698730469</v>
      </c>
      <c r="X466" s="306">
        <v>1204.30444335938</v>
      </c>
      <c r="Y466" s="306">
        <v>1227.35278320313</v>
      </c>
      <c r="Z466" s="306">
        <v>1239.12719726563</v>
      </c>
    </row>
    <row r="467" spans="1:70" x14ac:dyDescent="0.2">
      <c r="A467" s="306" t="s">
        <v>629</v>
      </c>
      <c r="B467" s="306"/>
      <c r="C467" s="306"/>
      <c r="D467" s="306">
        <v>2.27928571403027E-2</v>
      </c>
      <c r="E467" s="306">
        <v>3.3822253346443197E-2</v>
      </c>
      <c r="F467" s="306">
        <v>4.68330308794975E-2</v>
      </c>
      <c r="G467" s="306">
        <v>4.2311083525419201E-2</v>
      </c>
      <c r="H467" s="306">
        <v>4.6379543840885197E-2</v>
      </c>
      <c r="I467" s="306">
        <v>5.0339180976152399E-2</v>
      </c>
      <c r="J467" s="306">
        <v>6.3796535134315505E-2</v>
      </c>
      <c r="K467" s="306">
        <v>7.1353547275066403E-2</v>
      </c>
      <c r="L467" s="306">
        <v>7.5695373117923695E-2</v>
      </c>
      <c r="M467" s="306">
        <v>8.06071981787682E-2</v>
      </c>
      <c r="N467" s="306">
        <v>8.2480475306510898E-2</v>
      </c>
      <c r="O467" s="306">
        <v>8.9031867682933793E-2</v>
      </c>
      <c r="P467" s="306">
        <v>9.6231654286384596E-2</v>
      </c>
      <c r="Q467" s="306">
        <v>0.10344713926315301</v>
      </c>
      <c r="R467" s="306">
        <v>0.112680315971375</v>
      </c>
      <c r="S467" s="306">
        <v>0.13150542974471999</v>
      </c>
      <c r="T467" s="306">
        <v>0.15408998727798501</v>
      </c>
      <c r="U467" s="306">
        <v>0.18660007417201999</v>
      </c>
      <c r="V467" s="306">
        <v>0.21707823872566201</v>
      </c>
      <c r="W467" s="306">
        <v>0.243339464068413</v>
      </c>
      <c r="X467" s="306">
        <v>0.28575915098190302</v>
      </c>
      <c r="Y467" s="306">
        <v>0.31987324357032798</v>
      </c>
      <c r="Z467" s="306">
        <v>0.34808513522148099</v>
      </c>
    </row>
    <row r="468" spans="1:70" x14ac:dyDescent="0.2">
      <c r="A468" s="306" t="s">
        <v>518</v>
      </c>
      <c r="B468" s="306"/>
      <c r="C468" s="306"/>
      <c r="D468" s="306">
        <v>907.02056884765602</v>
      </c>
      <c r="E468" s="306">
        <v>1040.28796386719</v>
      </c>
      <c r="F468" s="306">
        <v>1127.82458496094</v>
      </c>
      <c r="G468" s="306">
        <v>1134.07458496094</v>
      </c>
      <c r="H468" s="306">
        <v>1105.11694335938</v>
      </c>
      <c r="I468" s="306">
        <v>1075.25317382813</v>
      </c>
      <c r="J468" s="306">
        <v>1055.3310546875</v>
      </c>
      <c r="K468" s="306">
        <v>1029.73522949219</v>
      </c>
      <c r="L468" s="306">
        <v>1021.29925537109</v>
      </c>
      <c r="M468" s="306">
        <v>1020.00769042969</v>
      </c>
      <c r="N468" s="306">
        <v>1017.26348876953</v>
      </c>
      <c r="O468" s="306">
        <v>1027.99975585938</v>
      </c>
      <c r="P468" s="306">
        <v>1048.44763183594</v>
      </c>
      <c r="Q468" s="306">
        <v>1069.01257324219</v>
      </c>
      <c r="R468" s="306">
        <v>1085.03747558594</v>
      </c>
      <c r="S468" s="306">
        <v>1108.12109375</v>
      </c>
      <c r="T468" s="306">
        <v>1123.88635253906</v>
      </c>
      <c r="U468" s="306">
        <v>1141.29858398438</v>
      </c>
      <c r="V468" s="306">
        <v>1168.29113769531</v>
      </c>
      <c r="W468" s="306">
        <v>1179.2802734375</v>
      </c>
      <c r="X468" s="306">
        <v>1204.59020996094</v>
      </c>
      <c r="Y468" s="306">
        <v>1227.67260742188</v>
      </c>
      <c r="Z468" s="306">
        <v>1239.47534179688</v>
      </c>
    </row>
    <row r="469" spans="1:70" x14ac:dyDescent="0.2">
      <c r="A469" s="293" t="s">
        <v>1082</v>
      </c>
      <c r="B469" s="253" t="s">
        <v>593</v>
      </c>
      <c r="C469" s="306"/>
      <c r="D469" s="306"/>
      <c r="E469" s="306"/>
      <c r="F469" s="306"/>
      <c r="G469" s="306"/>
      <c r="H469" s="306"/>
      <c r="I469" s="306"/>
      <c r="J469" s="306"/>
      <c r="K469" s="306"/>
      <c r="L469" s="306"/>
      <c r="M469" s="306"/>
      <c r="N469" s="306"/>
      <c r="O469" s="306"/>
      <c r="P469" s="306"/>
      <c r="Q469" s="306"/>
      <c r="R469" s="306"/>
      <c r="S469" s="306"/>
      <c r="T469" s="306"/>
      <c r="U469" s="306"/>
      <c r="V469" s="306"/>
      <c r="W469" s="306"/>
      <c r="X469" s="306"/>
      <c r="Y469" s="306"/>
      <c r="Z469" s="306"/>
    </row>
    <row r="470" spans="1:70" ht="13.5" thickBot="1" x14ac:dyDescent="0.25">
      <c r="A470" s="282" t="s">
        <v>311</v>
      </c>
      <c r="B470" s="253" t="s">
        <v>593</v>
      </c>
      <c r="C470" s="306"/>
      <c r="D470" s="306"/>
      <c r="E470" s="306"/>
      <c r="F470" s="306"/>
      <c r="G470" s="306"/>
      <c r="H470" s="306"/>
      <c r="I470" s="306"/>
      <c r="J470" s="306"/>
      <c r="K470" s="306"/>
      <c r="L470" s="306"/>
      <c r="M470" s="306"/>
      <c r="N470" s="306"/>
      <c r="O470" s="306"/>
      <c r="P470" s="306"/>
      <c r="Q470" s="306"/>
      <c r="R470" s="306"/>
      <c r="S470" s="306"/>
      <c r="T470" s="306"/>
      <c r="U470" s="306"/>
      <c r="V470" s="306"/>
      <c r="W470" s="306"/>
      <c r="X470" s="306"/>
      <c r="Y470" s="306"/>
      <c r="Z470" s="306"/>
    </row>
    <row r="471" spans="1:70" ht="13.5" thickBot="1" x14ac:dyDescent="0.25">
      <c r="A471" s="306" t="s">
        <v>977</v>
      </c>
      <c r="B471" s="306"/>
      <c r="C471" s="306"/>
      <c r="D471" s="306"/>
      <c r="E471" s="306"/>
      <c r="F471" s="306"/>
      <c r="G471" s="306"/>
      <c r="H471" s="306"/>
      <c r="I471" s="306"/>
      <c r="J471" s="306"/>
      <c r="K471" s="306"/>
      <c r="L471" s="306"/>
      <c r="M471" s="306"/>
      <c r="N471" s="306"/>
      <c r="O471" s="306"/>
      <c r="P471" s="306"/>
      <c r="Q471" s="306"/>
      <c r="R471" s="306"/>
      <c r="S471" s="306"/>
      <c r="T471" s="306"/>
      <c r="U471" s="306"/>
      <c r="V471" s="306"/>
      <c r="W471" s="306"/>
      <c r="X471" s="306"/>
      <c r="Y471" s="306"/>
      <c r="Z471" s="306"/>
      <c r="AA471" s="283">
        <f>Z641+($AI$471-$Y$641)/10</f>
        <v>8.1072037368774854</v>
      </c>
      <c r="AB471" s="283">
        <f t="shared" ref="AB471:AH471" si="48">AA471+($AI$471-$Y$641)/10</f>
        <v>8.1552847846985532</v>
      </c>
      <c r="AC471" s="283">
        <f t="shared" si="48"/>
        <v>8.203365832519621</v>
      </c>
      <c r="AD471" s="283">
        <f t="shared" si="48"/>
        <v>8.2514468803406888</v>
      </c>
      <c r="AE471" s="283">
        <f t="shared" si="48"/>
        <v>8.2995279281617567</v>
      </c>
      <c r="AF471" s="283">
        <f t="shared" si="48"/>
        <v>8.3476089759828245</v>
      </c>
      <c r="AG471" s="283">
        <f t="shared" si="48"/>
        <v>8.3956900238038923</v>
      </c>
      <c r="AH471" s="283">
        <f t="shared" si="48"/>
        <v>8.4437710716249601</v>
      </c>
      <c r="AI471" s="284">
        <f>T641*$E$742</f>
        <v>8.4918521194460261</v>
      </c>
      <c r="AJ471" s="283">
        <f>AI471+($AX$471-$AI$471)/15</f>
        <v>8.5879736457897184</v>
      </c>
      <c r="AK471" s="283">
        <f t="shared" ref="AK471:AW471" si="49">AJ471+($AX$471-$AI$471)/15</f>
        <v>8.6840951721334108</v>
      </c>
      <c r="AL471" s="283">
        <f t="shared" si="49"/>
        <v>8.7802166984771031</v>
      </c>
      <c r="AM471" s="283">
        <f t="shared" si="49"/>
        <v>8.8763382248207954</v>
      </c>
      <c r="AN471" s="283">
        <f t="shared" si="49"/>
        <v>8.9724597511644877</v>
      </c>
      <c r="AO471" s="283">
        <f t="shared" si="49"/>
        <v>9.06858127750818</v>
      </c>
      <c r="AP471" s="283">
        <f t="shared" si="49"/>
        <v>9.1647028038518723</v>
      </c>
      <c r="AQ471" s="283">
        <f t="shared" si="49"/>
        <v>9.2608243301955646</v>
      </c>
      <c r="AR471" s="283">
        <f t="shared" si="49"/>
        <v>9.3569458565392569</v>
      </c>
      <c r="AS471" s="283">
        <f t="shared" si="49"/>
        <v>9.4530673828829492</v>
      </c>
      <c r="AT471" s="283">
        <f t="shared" si="49"/>
        <v>9.5491889092266415</v>
      </c>
      <c r="AU471" s="283">
        <f t="shared" si="49"/>
        <v>9.6453104355703339</v>
      </c>
      <c r="AV471" s="283">
        <f t="shared" si="49"/>
        <v>9.7414319619140262</v>
      </c>
      <c r="AW471" s="283">
        <f t="shared" si="49"/>
        <v>9.8375534882577185</v>
      </c>
      <c r="AX471" s="284">
        <f>AI471*$B$742</f>
        <v>9.9336750146014001</v>
      </c>
      <c r="AY471" s="283">
        <f>AX471+($BM$471-$AX$471)/15</f>
        <v>10.032035813725209</v>
      </c>
      <c r="AZ471" s="283">
        <f t="shared" ref="AZ471:BL471" si="50">AY471+($BM$471-$AX$471)/15</f>
        <v>10.130396612849017</v>
      </c>
      <c r="BA471" s="283">
        <f t="shared" si="50"/>
        <v>10.228757411972826</v>
      </c>
      <c r="BB471" s="283">
        <f t="shared" si="50"/>
        <v>10.327118211096634</v>
      </c>
      <c r="BC471" s="283">
        <f t="shared" si="50"/>
        <v>10.425479010220442</v>
      </c>
      <c r="BD471" s="283">
        <f t="shared" si="50"/>
        <v>10.523839809344251</v>
      </c>
      <c r="BE471" s="283">
        <f t="shared" si="50"/>
        <v>10.622200608468059</v>
      </c>
      <c r="BF471" s="283">
        <f t="shared" si="50"/>
        <v>10.720561407591868</v>
      </c>
      <c r="BG471" s="283">
        <f t="shared" si="50"/>
        <v>10.818922206715676</v>
      </c>
      <c r="BH471" s="283">
        <f t="shared" si="50"/>
        <v>10.917283005839485</v>
      </c>
      <c r="BI471" s="283">
        <f t="shared" si="50"/>
        <v>11.015643804963293</v>
      </c>
      <c r="BJ471" s="283">
        <f t="shared" si="50"/>
        <v>11.114004604087102</v>
      </c>
      <c r="BK471" s="283">
        <f t="shared" si="50"/>
        <v>11.21236540321091</v>
      </c>
      <c r="BL471" s="283">
        <f t="shared" si="50"/>
        <v>11.310726202334719</v>
      </c>
      <c r="BM471" s="284">
        <f>AX471*$C$742</f>
        <v>11.409087001458516</v>
      </c>
      <c r="BN471" s="283">
        <f>BM471+($BR$471-$BM$471)/5</f>
        <v>11.522056966057418</v>
      </c>
      <c r="BO471" s="283">
        <f>BN471+($BR$471-$BM$471)/5</f>
        <v>11.63502693065632</v>
      </c>
      <c r="BP471" s="283">
        <f>BO471+($BR$471-$BM$471)/5</f>
        <v>11.747996895255222</v>
      </c>
      <c r="BQ471" s="283">
        <f>BP471+($BR$471-$BM$471)/5</f>
        <v>11.860966859854123</v>
      </c>
      <c r="BR471" s="284">
        <f>BM471*$D$742</f>
        <v>11.973936824453022</v>
      </c>
    </row>
    <row r="472" spans="1:70" ht="13.5" thickBot="1" x14ac:dyDescent="0.25">
      <c r="A472" s="306" t="s">
        <v>630</v>
      </c>
      <c r="B472" s="306"/>
      <c r="C472" s="306"/>
      <c r="D472" s="306"/>
      <c r="E472" s="306"/>
      <c r="F472" s="306"/>
      <c r="G472" s="306"/>
      <c r="H472" s="306"/>
      <c r="I472" s="306"/>
      <c r="J472" s="306"/>
      <c r="K472" s="306"/>
      <c r="L472" s="306"/>
      <c r="M472" s="306"/>
      <c r="N472" s="306"/>
      <c r="O472" s="306"/>
      <c r="P472" s="306"/>
      <c r="Q472" s="306"/>
      <c r="R472" s="306"/>
      <c r="S472" s="306"/>
      <c r="T472" s="306"/>
      <c r="U472" s="306"/>
      <c r="V472" s="306"/>
      <c r="W472" s="306"/>
      <c r="X472" s="306"/>
      <c r="Y472" s="306"/>
      <c r="Z472" s="306"/>
      <c r="AA472" s="285">
        <f>Z642+($AI$472-$Y$642)/10</f>
        <v>22.490795032640289</v>
      </c>
      <c r="AB472" s="285">
        <f t="shared" ref="AB472:AH472" si="51">AA472+($AI$472-$Y$642)/10</f>
        <v>22.394891584604984</v>
      </c>
      <c r="AC472" s="285">
        <f t="shared" si="51"/>
        <v>22.29898813656968</v>
      </c>
      <c r="AD472" s="285">
        <f t="shared" si="51"/>
        <v>22.203084688534375</v>
      </c>
      <c r="AE472" s="285">
        <f t="shared" si="51"/>
        <v>22.10718124049907</v>
      </c>
      <c r="AF472" s="285">
        <f t="shared" si="51"/>
        <v>22.011277792463765</v>
      </c>
      <c r="AG472" s="285">
        <f t="shared" si="51"/>
        <v>21.915374344428461</v>
      </c>
      <c r="AH472" s="285">
        <f t="shared" si="51"/>
        <v>21.819470896393156</v>
      </c>
      <c r="AI472" s="286">
        <f>T642*$E$745</f>
        <v>21.723567448357841</v>
      </c>
      <c r="AJ472" s="285">
        <f>AI472+($AX$472-$AI$472)/15</f>
        <v>21.715027463671497</v>
      </c>
      <c r="AK472" s="285">
        <f t="shared" ref="AK472:AW472" si="52">AJ472+($AX$472-$AI$472)/15</f>
        <v>21.706487478985153</v>
      </c>
      <c r="AL472" s="285">
        <f t="shared" si="52"/>
        <v>21.697947494298809</v>
      </c>
      <c r="AM472" s="285">
        <f t="shared" si="52"/>
        <v>21.689407509612465</v>
      </c>
      <c r="AN472" s="285">
        <f t="shared" si="52"/>
        <v>21.680867524926121</v>
      </c>
      <c r="AO472" s="285">
        <f t="shared" si="52"/>
        <v>21.672327540239777</v>
      </c>
      <c r="AP472" s="285">
        <f t="shared" si="52"/>
        <v>21.663787555553434</v>
      </c>
      <c r="AQ472" s="285">
        <f t="shared" si="52"/>
        <v>21.65524757086709</v>
      </c>
      <c r="AR472" s="285">
        <f t="shared" si="52"/>
        <v>21.646707586180746</v>
      </c>
      <c r="AS472" s="285">
        <f t="shared" si="52"/>
        <v>21.638167601494402</v>
      </c>
      <c r="AT472" s="285">
        <f t="shared" si="52"/>
        <v>21.629627616808058</v>
      </c>
      <c r="AU472" s="285">
        <f t="shared" si="52"/>
        <v>21.621087632121714</v>
      </c>
      <c r="AV472" s="285">
        <f t="shared" si="52"/>
        <v>21.61254764743537</v>
      </c>
      <c r="AW472" s="285">
        <f t="shared" si="52"/>
        <v>21.604007662749027</v>
      </c>
      <c r="AX472" s="286">
        <f>AI472*$B$745</f>
        <v>21.595467678062693</v>
      </c>
      <c r="AY472" s="285">
        <f>AX472+($BM$472-$AX$472)/15</f>
        <v>21.609186144316791</v>
      </c>
      <c r="AZ472" s="285">
        <f t="shared" ref="AZ472:BL472" si="53">AY472+($BM$472-$AX$472)/15</f>
        <v>21.622904610570888</v>
      </c>
      <c r="BA472" s="285">
        <f t="shared" si="53"/>
        <v>21.636623076824986</v>
      </c>
      <c r="BB472" s="285">
        <f t="shared" si="53"/>
        <v>21.650341543079083</v>
      </c>
      <c r="BC472" s="285">
        <f t="shared" si="53"/>
        <v>21.664060009333181</v>
      </c>
      <c r="BD472" s="285">
        <f t="shared" si="53"/>
        <v>21.677778475587278</v>
      </c>
      <c r="BE472" s="285">
        <f t="shared" si="53"/>
        <v>21.691496941841375</v>
      </c>
      <c r="BF472" s="285">
        <f t="shared" si="53"/>
        <v>21.705215408095473</v>
      </c>
      <c r="BG472" s="285">
        <f t="shared" si="53"/>
        <v>21.71893387434957</v>
      </c>
      <c r="BH472" s="285">
        <f t="shared" si="53"/>
        <v>21.732652340603668</v>
      </c>
      <c r="BI472" s="285">
        <f t="shared" si="53"/>
        <v>21.746370806857765</v>
      </c>
      <c r="BJ472" s="285">
        <f t="shared" si="53"/>
        <v>21.760089273111863</v>
      </c>
      <c r="BK472" s="285">
        <f t="shared" si="53"/>
        <v>21.77380773936596</v>
      </c>
      <c r="BL472" s="285">
        <f t="shared" si="53"/>
        <v>21.787526205620058</v>
      </c>
      <c r="BM472" s="286">
        <f>AX472*$C$745</f>
        <v>21.801244671874137</v>
      </c>
      <c r="BN472" s="285">
        <f>BM472+($BR$472-$BM$472)/5</f>
        <v>21.815093857443394</v>
      </c>
      <c r="BO472" s="285">
        <f>BN472+($BR$472-$BM$472)/5</f>
        <v>21.82894304301265</v>
      </c>
      <c r="BP472" s="285">
        <f>BO472+($BR$472-$BM$472)/5</f>
        <v>21.842792228581906</v>
      </c>
      <c r="BQ472" s="285">
        <f>BP472+($BR$472-$BM$472)/5</f>
        <v>21.856641414151163</v>
      </c>
      <c r="BR472" s="286">
        <f>BM472*$D$745</f>
        <v>21.870490599720426</v>
      </c>
    </row>
    <row r="473" spans="1:70" x14ac:dyDescent="0.2">
      <c r="A473" s="306" t="s">
        <v>631</v>
      </c>
      <c r="B473" s="306"/>
      <c r="C473" s="306"/>
      <c r="D473" s="306"/>
      <c r="E473" s="306"/>
      <c r="F473" s="306"/>
      <c r="G473" s="306"/>
      <c r="H473" s="306"/>
      <c r="I473" s="306"/>
      <c r="J473" s="306"/>
      <c r="K473" s="306"/>
      <c r="L473" s="306"/>
      <c r="M473" s="306"/>
      <c r="N473" s="306"/>
      <c r="O473" s="306"/>
      <c r="P473" s="306"/>
      <c r="Q473" s="306"/>
      <c r="R473" s="306"/>
      <c r="S473" s="306"/>
      <c r="T473" s="306"/>
      <c r="U473" s="306"/>
      <c r="V473" s="306"/>
      <c r="W473" s="306"/>
      <c r="X473" s="306"/>
      <c r="Y473" s="306"/>
      <c r="Z473" s="306"/>
    </row>
    <row r="474" spans="1:70" x14ac:dyDescent="0.2">
      <c r="A474" s="306" t="s">
        <v>632</v>
      </c>
      <c r="B474" s="306"/>
      <c r="C474" s="306"/>
      <c r="D474" s="306"/>
      <c r="E474" s="306"/>
      <c r="F474" s="306"/>
      <c r="G474" s="306"/>
      <c r="H474" s="306"/>
      <c r="I474" s="306"/>
      <c r="J474" s="306"/>
      <c r="K474" s="306"/>
      <c r="L474" s="306"/>
      <c r="M474" s="306"/>
      <c r="N474" s="306"/>
      <c r="O474" s="306"/>
      <c r="P474" s="306"/>
      <c r="Q474" s="306"/>
      <c r="R474" s="306"/>
      <c r="S474" s="306"/>
      <c r="T474" s="306"/>
      <c r="U474" s="306"/>
      <c r="V474" s="306"/>
      <c r="W474" s="306"/>
      <c r="X474" s="306"/>
      <c r="Y474" s="306"/>
      <c r="Z474" s="306"/>
    </row>
    <row r="475" spans="1:70" x14ac:dyDescent="0.2">
      <c r="A475" s="306" t="s">
        <v>648</v>
      </c>
      <c r="B475" s="306"/>
      <c r="C475" s="306"/>
      <c r="D475" s="306"/>
      <c r="E475" s="306"/>
      <c r="F475" s="306"/>
      <c r="G475" s="306"/>
      <c r="H475" s="306"/>
      <c r="I475" s="306"/>
      <c r="J475" s="306"/>
      <c r="K475" s="306"/>
      <c r="L475" s="306"/>
      <c r="M475" s="306"/>
      <c r="N475" s="306"/>
      <c r="O475" s="306"/>
      <c r="P475" s="306"/>
      <c r="Q475" s="306"/>
      <c r="R475" s="306"/>
      <c r="S475" s="306"/>
      <c r="T475" s="306"/>
      <c r="U475" s="306"/>
      <c r="V475" s="306"/>
      <c r="W475" s="306"/>
      <c r="X475" s="306"/>
      <c r="Y475" s="306"/>
      <c r="Z475" s="306"/>
    </row>
    <row r="476" spans="1:70" x14ac:dyDescent="0.2">
      <c r="A476" s="306" t="s">
        <v>542</v>
      </c>
      <c r="B476" s="306"/>
      <c r="C476" s="306"/>
      <c r="D476" s="306"/>
      <c r="E476" s="306"/>
      <c r="F476" s="306"/>
      <c r="G476" s="306"/>
      <c r="H476" s="306"/>
      <c r="I476" s="306"/>
      <c r="J476" s="306"/>
      <c r="K476" s="306"/>
      <c r="L476" s="306"/>
      <c r="M476" s="306"/>
      <c r="N476" s="306"/>
      <c r="O476" s="306"/>
      <c r="P476" s="306"/>
      <c r="Q476" s="306"/>
      <c r="R476" s="306"/>
      <c r="S476" s="306"/>
      <c r="T476" s="306"/>
      <c r="U476" s="306"/>
      <c r="V476" s="306"/>
      <c r="W476" s="306"/>
      <c r="X476" s="306"/>
      <c r="Y476" s="306"/>
      <c r="Z476" s="306"/>
    </row>
    <row r="477" spans="1:70" ht="52.5" customHeight="1" x14ac:dyDescent="0.2">
      <c r="A477" s="306" t="s">
        <v>649</v>
      </c>
      <c r="B477" s="306"/>
      <c r="C477" s="306"/>
      <c r="D477" s="306"/>
      <c r="E477" s="306"/>
      <c r="F477" s="306"/>
      <c r="G477" s="306"/>
      <c r="H477" s="306"/>
      <c r="I477" s="306"/>
      <c r="J477" s="306"/>
      <c r="K477" s="306"/>
      <c r="L477" s="306"/>
      <c r="M477" s="306"/>
      <c r="N477" s="306"/>
      <c r="O477" s="306"/>
      <c r="P477" s="306"/>
      <c r="Q477" s="306"/>
      <c r="R477" s="306"/>
      <c r="S477" s="306"/>
      <c r="T477" s="306"/>
      <c r="U477" s="306"/>
      <c r="V477" s="306"/>
      <c r="W477" s="306"/>
      <c r="X477" s="306"/>
      <c r="Y477" s="306"/>
      <c r="Z477" s="306"/>
    </row>
    <row r="478" spans="1:70" x14ac:dyDescent="0.2">
      <c r="A478" s="306" t="s">
        <v>650</v>
      </c>
      <c r="B478" s="306"/>
      <c r="C478" s="306"/>
      <c r="D478" s="306"/>
      <c r="E478" s="306"/>
      <c r="F478" s="306"/>
      <c r="G478" s="306"/>
      <c r="H478" s="306"/>
      <c r="I478" s="306"/>
      <c r="J478" s="306"/>
      <c r="K478" s="306"/>
      <c r="L478" s="306"/>
      <c r="M478" s="306"/>
      <c r="N478" s="306"/>
      <c r="O478" s="306"/>
      <c r="P478" s="306"/>
      <c r="Q478" s="306"/>
      <c r="R478" s="306"/>
      <c r="S478" s="306"/>
      <c r="T478" s="306"/>
      <c r="U478" s="306"/>
      <c r="V478" s="306"/>
      <c r="W478" s="306"/>
      <c r="X478" s="306"/>
      <c r="Y478" s="306"/>
      <c r="Z478" s="306"/>
    </row>
    <row r="479" spans="1:70" ht="13.5" thickBot="1" x14ac:dyDescent="0.25">
      <c r="A479" s="306" t="s">
        <v>651</v>
      </c>
      <c r="B479" s="306"/>
      <c r="C479" s="306"/>
      <c r="D479" s="306"/>
      <c r="E479" s="306"/>
      <c r="F479" s="306"/>
      <c r="G479" s="306"/>
      <c r="H479" s="306"/>
      <c r="I479" s="306"/>
      <c r="J479" s="306"/>
      <c r="K479" s="306"/>
      <c r="L479" s="306"/>
      <c r="M479" s="306"/>
      <c r="N479" s="306"/>
      <c r="O479" s="306"/>
      <c r="P479" s="306"/>
      <c r="Q479" s="306"/>
      <c r="R479" s="306"/>
      <c r="S479" s="306"/>
      <c r="T479" s="306"/>
      <c r="U479" s="306"/>
      <c r="V479" s="306"/>
      <c r="W479" s="306"/>
      <c r="X479" s="306"/>
      <c r="Y479" s="306"/>
      <c r="Z479" s="306"/>
    </row>
    <row r="480" spans="1:70" ht="13.5" thickBot="1" x14ac:dyDescent="0.25">
      <c r="A480" s="306" t="s">
        <v>652</v>
      </c>
      <c r="B480" s="306"/>
      <c r="C480" s="306"/>
      <c r="D480" s="306"/>
      <c r="E480" s="306"/>
      <c r="F480" s="306"/>
      <c r="G480" s="306"/>
      <c r="H480" s="306"/>
      <c r="I480" s="306"/>
      <c r="J480" s="306"/>
      <c r="K480" s="306"/>
      <c r="L480" s="306"/>
      <c r="M480" s="306"/>
      <c r="N480" s="306"/>
      <c r="O480" s="306"/>
      <c r="P480" s="306"/>
      <c r="Q480" s="306"/>
      <c r="R480" s="306"/>
      <c r="S480" s="306"/>
      <c r="T480" s="306"/>
      <c r="U480" s="306"/>
      <c r="V480" s="306"/>
      <c r="W480" s="306"/>
      <c r="X480" s="306"/>
      <c r="Y480" s="306"/>
      <c r="Z480" s="306"/>
      <c r="AA480" s="283">
        <f>Z650+($AI$480-$Y$650)/10</f>
        <v>5.5873463921161282</v>
      </c>
      <c r="AB480" s="283">
        <f t="shared" ref="AB480:AH480" si="54">AA480+($AI$480-$Y$650)/10</f>
        <v>5.6146233040707969</v>
      </c>
      <c r="AC480" s="283">
        <f t="shared" si="54"/>
        <v>5.6419002160254657</v>
      </c>
      <c r="AD480" s="283">
        <f t="shared" si="54"/>
        <v>5.6691771279801344</v>
      </c>
      <c r="AE480" s="283">
        <f t="shared" si="54"/>
        <v>5.6964540399348031</v>
      </c>
      <c r="AF480" s="283">
        <f t="shared" si="54"/>
        <v>5.7237309518894719</v>
      </c>
      <c r="AG480" s="283">
        <f t="shared" si="54"/>
        <v>5.7510078638441406</v>
      </c>
      <c r="AH480" s="283">
        <f t="shared" si="54"/>
        <v>5.7782847757988094</v>
      </c>
      <c r="AI480" s="284">
        <f>T650*$E$742</f>
        <v>5.8055616877534817</v>
      </c>
      <c r="AJ480" s="283">
        <f>AI480+($AX$480-$AI$480)/15</f>
        <v>5.8712763802445851</v>
      </c>
      <c r="AK480" s="283">
        <f t="shared" ref="AK480:AW480" si="55">AJ480+($AX$480-$AI$480)/15</f>
        <v>5.9369910727356885</v>
      </c>
      <c r="AL480" s="283">
        <f t="shared" si="55"/>
        <v>6.0027057652267919</v>
      </c>
      <c r="AM480" s="283">
        <f t="shared" si="55"/>
        <v>6.0684204577178953</v>
      </c>
      <c r="AN480" s="283">
        <f t="shared" si="55"/>
        <v>6.1341351502089987</v>
      </c>
      <c r="AO480" s="283">
        <f t="shared" si="55"/>
        <v>6.1998498427001021</v>
      </c>
      <c r="AP480" s="283">
        <f t="shared" si="55"/>
        <v>6.2655645351912055</v>
      </c>
      <c r="AQ480" s="283">
        <f t="shared" si="55"/>
        <v>6.3312792276823089</v>
      </c>
      <c r="AR480" s="283">
        <f t="shared" si="55"/>
        <v>6.3969939201734123</v>
      </c>
      <c r="AS480" s="283">
        <f t="shared" si="55"/>
        <v>6.4627086126645157</v>
      </c>
      <c r="AT480" s="283">
        <f t="shared" si="55"/>
        <v>6.5284233051556191</v>
      </c>
      <c r="AU480" s="283">
        <f t="shared" si="55"/>
        <v>6.5941379976467225</v>
      </c>
      <c r="AV480" s="283">
        <f t="shared" si="55"/>
        <v>6.6598526901378259</v>
      </c>
      <c r="AW480" s="283">
        <f t="shared" si="55"/>
        <v>6.7255673826289293</v>
      </c>
      <c r="AX480" s="284">
        <f>AI480*$B$742</f>
        <v>6.791282075120038</v>
      </c>
      <c r="AY480" s="283">
        <f>AX480+($BM$480-$AX$480)/15</f>
        <v>6.858527674659193</v>
      </c>
      <c r="AZ480" s="283">
        <f t="shared" ref="AZ480:BL480" si="56">AY480+($BM$480-$AX$480)/15</f>
        <v>6.925773274198348</v>
      </c>
      <c r="BA480" s="283">
        <f t="shared" si="56"/>
        <v>6.993018873737503</v>
      </c>
      <c r="BB480" s="283">
        <f t="shared" si="56"/>
        <v>7.060264473276658</v>
      </c>
      <c r="BC480" s="283">
        <f t="shared" si="56"/>
        <v>7.1275100728158129</v>
      </c>
      <c r="BD480" s="283">
        <f t="shared" si="56"/>
        <v>7.1947556723549679</v>
      </c>
      <c r="BE480" s="283">
        <f t="shared" si="56"/>
        <v>7.2620012718941229</v>
      </c>
      <c r="BF480" s="283">
        <f t="shared" si="56"/>
        <v>7.3292468714332779</v>
      </c>
      <c r="BG480" s="283">
        <f t="shared" si="56"/>
        <v>7.3964924709724329</v>
      </c>
      <c r="BH480" s="283">
        <f t="shared" si="56"/>
        <v>7.4637380705115879</v>
      </c>
      <c r="BI480" s="283">
        <f t="shared" si="56"/>
        <v>7.5309836700507429</v>
      </c>
      <c r="BJ480" s="283">
        <f t="shared" si="56"/>
        <v>7.5982292695898979</v>
      </c>
      <c r="BK480" s="283">
        <f t="shared" si="56"/>
        <v>7.6654748691290528</v>
      </c>
      <c r="BL480" s="283">
        <f t="shared" si="56"/>
        <v>7.7327204686682078</v>
      </c>
      <c r="BM480" s="284">
        <f>AX480*$C$742</f>
        <v>7.7999660682073682</v>
      </c>
      <c r="BN480" s="283">
        <f>BM480+($BR$480-$BM$480)/5</f>
        <v>7.8771994077800587</v>
      </c>
      <c r="BO480" s="283">
        <f>BN480+($BR$480-$BM$480)/5</f>
        <v>7.9544327473527492</v>
      </c>
      <c r="BP480" s="283">
        <f>BO480+($BR$480-$BM$480)/5</f>
        <v>8.0316660869254388</v>
      </c>
      <c r="BQ480" s="283">
        <f>BP480+($BR$480-$BM$480)/5</f>
        <v>8.1088994264981284</v>
      </c>
      <c r="BR480" s="284">
        <f>BM480*$D$742</f>
        <v>8.1861327660708199</v>
      </c>
    </row>
    <row r="481" spans="1:70" x14ac:dyDescent="0.2">
      <c r="A481" s="306" t="s">
        <v>653</v>
      </c>
      <c r="B481" s="306"/>
      <c r="C481" s="306"/>
      <c r="D481" s="306"/>
      <c r="E481" s="306"/>
      <c r="F481" s="306"/>
      <c r="G481" s="306"/>
      <c r="H481" s="306"/>
      <c r="I481" s="306"/>
      <c r="J481" s="306"/>
      <c r="K481" s="306"/>
      <c r="L481" s="306"/>
      <c r="M481" s="306"/>
      <c r="N481" s="306"/>
      <c r="O481" s="306"/>
      <c r="P481" s="306"/>
      <c r="Q481" s="306"/>
      <c r="R481" s="306"/>
      <c r="S481" s="306"/>
      <c r="T481" s="306"/>
      <c r="U481" s="306"/>
      <c r="V481" s="306"/>
      <c r="W481" s="306"/>
      <c r="X481" s="306"/>
      <c r="Y481" s="306"/>
      <c r="Z481" s="306"/>
    </row>
    <row r="482" spans="1:70" ht="13.5" thickBot="1" x14ac:dyDescent="0.25">
      <c r="A482" s="306" t="s">
        <v>654</v>
      </c>
      <c r="B482" s="306"/>
      <c r="C482" s="306"/>
      <c r="D482" s="306"/>
      <c r="E482" s="306"/>
      <c r="F482" s="306"/>
      <c r="G482" s="306"/>
      <c r="H482" s="306"/>
      <c r="I482" s="306"/>
      <c r="J482" s="306"/>
      <c r="K482" s="306"/>
      <c r="L482" s="306"/>
      <c r="M482" s="306"/>
      <c r="N482" s="306"/>
      <c r="O482" s="306"/>
      <c r="P482" s="306"/>
      <c r="Q482" s="306"/>
      <c r="R482" s="306"/>
      <c r="S482" s="306"/>
      <c r="T482" s="306"/>
      <c r="U482" s="306"/>
      <c r="V482" s="306"/>
      <c r="W482" s="306"/>
      <c r="X482" s="306"/>
      <c r="Y482" s="306"/>
      <c r="Z482" s="306"/>
    </row>
    <row r="483" spans="1:70" ht="13.5" thickBot="1" x14ac:dyDescent="0.25">
      <c r="A483" s="306" t="s">
        <v>545</v>
      </c>
      <c r="B483" s="306"/>
      <c r="C483" s="306"/>
      <c r="D483" s="306"/>
      <c r="E483" s="306"/>
      <c r="F483" s="306"/>
      <c r="G483" s="306"/>
      <c r="H483" s="306"/>
      <c r="I483" s="306"/>
      <c r="J483" s="306"/>
      <c r="K483" s="306"/>
      <c r="L483" s="306"/>
      <c r="M483" s="306"/>
      <c r="N483" s="306"/>
      <c r="O483" s="306"/>
      <c r="P483" s="306"/>
      <c r="Q483" s="306"/>
      <c r="R483" s="306"/>
      <c r="S483" s="306"/>
      <c r="T483" s="306"/>
      <c r="U483" s="306"/>
      <c r="V483" s="306"/>
      <c r="W483" s="306"/>
      <c r="X483" s="306"/>
      <c r="Y483" s="306"/>
      <c r="Z483" s="306"/>
      <c r="AA483" s="285">
        <f>Z653+($AI$483-$Y$653)/10</f>
        <v>15.747041087587585</v>
      </c>
      <c r="AB483" s="285">
        <f t="shared" ref="AB483:AH483" si="57">AA483+($AI$483-$Y$653)/10</f>
        <v>15.673905881106727</v>
      </c>
      <c r="AC483" s="285">
        <f t="shared" si="57"/>
        <v>15.600770674625869</v>
      </c>
      <c r="AD483" s="285">
        <f t="shared" si="57"/>
        <v>15.527635468145011</v>
      </c>
      <c r="AE483" s="285">
        <f t="shared" si="57"/>
        <v>15.454500261664153</v>
      </c>
      <c r="AF483" s="285">
        <f t="shared" si="57"/>
        <v>15.381365055183295</v>
      </c>
      <c r="AG483" s="285">
        <f t="shared" si="57"/>
        <v>15.308229848702437</v>
      </c>
      <c r="AH483" s="285">
        <f t="shared" si="57"/>
        <v>15.235094642221579</v>
      </c>
      <c r="AI483" s="286">
        <f>T653*$E$745</f>
        <v>15.161959435740725</v>
      </c>
      <c r="AJ483" s="285">
        <f>AI483+($AX$483-$AI$483)/15</f>
        <v>15.155998955184113</v>
      </c>
      <c r="AK483" s="285">
        <f t="shared" ref="AK483:AW483" si="58">AJ483+($AX$483-$AI$483)/15</f>
        <v>15.150038474627502</v>
      </c>
      <c r="AL483" s="285">
        <f t="shared" si="58"/>
        <v>15.144077994070891</v>
      </c>
      <c r="AM483" s="285">
        <f t="shared" si="58"/>
        <v>15.138117513514279</v>
      </c>
      <c r="AN483" s="285">
        <f t="shared" si="58"/>
        <v>15.132157032957668</v>
      </c>
      <c r="AO483" s="285">
        <f t="shared" si="58"/>
        <v>15.126196552401057</v>
      </c>
      <c r="AP483" s="285">
        <f t="shared" si="58"/>
        <v>15.120236071844445</v>
      </c>
      <c r="AQ483" s="285">
        <f t="shared" si="58"/>
        <v>15.114275591287834</v>
      </c>
      <c r="AR483" s="285">
        <f t="shared" si="58"/>
        <v>15.108315110731223</v>
      </c>
      <c r="AS483" s="285">
        <f t="shared" si="58"/>
        <v>15.102354630174611</v>
      </c>
      <c r="AT483" s="285">
        <f t="shared" si="58"/>
        <v>15.096394149618</v>
      </c>
      <c r="AU483" s="285">
        <f t="shared" si="58"/>
        <v>15.090433669061388</v>
      </c>
      <c r="AV483" s="285">
        <f t="shared" si="58"/>
        <v>15.084473188504777</v>
      </c>
      <c r="AW483" s="285">
        <f t="shared" si="58"/>
        <v>15.078512707948166</v>
      </c>
      <c r="AX483" s="286">
        <f>AI483*$B$745</f>
        <v>15.072552227391549</v>
      </c>
      <c r="AY483" s="285">
        <f>AX483+($BM$483-$AX$483)/15</f>
        <v>15.082127028094042</v>
      </c>
      <c r="AZ483" s="285">
        <f t="shared" ref="AZ483:BL483" si="59">AY483+($BM$483-$AX$483)/15</f>
        <v>15.091701828796536</v>
      </c>
      <c r="BA483" s="285">
        <f t="shared" si="59"/>
        <v>15.101276629499029</v>
      </c>
      <c r="BB483" s="285">
        <f t="shared" si="59"/>
        <v>15.110851430201523</v>
      </c>
      <c r="BC483" s="285">
        <f t="shared" si="59"/>
        <v>15.120426230904016</v>
      </c>
      <c r="BD483" s="285">
        <f t="shared" si="59"/>
        <v>15.130001031606509</v>
      </c>
      <c r="BE483" s="285">
        <f t="shared" si="59"/>
        <v>15.139575832309003</v>
      </c>
      <c r="BF483" s="285">
        <f t="shared" si="59"/>
        <v>15.149150633011496</v>
      </c>
      <c r="BG483" s="285">
        <f t="shared" si="59"/>
        <v>15.15872543371399</v>
      </c>
      <c r="BH483" s="285">
        <f t="shared" si="59"/>
        <v>15.168300234416483</v>
      </c>
      <c r="BI483" s="285">
        <f t="shared" si="59"/>
        <v>15.177875035118976</v>
      </c>
      <c r="BJ483" s="285">
        <f t="shared" si="59"/>
        <v>15.18744983582147</v>
      </c>
      <c r="BK483" s="285">
        <f t="shared" si="59"/>
        <v>15.197024636523963</v>
      </c>
      <c r="BL483" s="285">
        <f t="shared" si="59"/>
        <v>15.206599437226457</v>
      </c>
      <c r="BM483" s="286">
        <f>AX483*$C$745</f>
        <v>15.216174237928941</v>
      </c>
      <c r="BN483" s="285">
        <f>BM483+($BR$483-$BM$483)/5</f>
        <v>15.225840274150585</v>
      </c>
      <c r="BO483" s="285">
        <f>BN483+($BR$483-$BM$483)/5</f>
        <v>15.235506310372228</v>
      </c>
      <c r="BP483" s="285">
        <f>BO483+($BR$483-$BM$483)/5</f>
        <v>15.245172346593872</v>
      </c>
      <c r="BQ483" s="285">
        <f>BP483+($BR$483-$BM$483)/5</f>
        <v>15.254838382815516</v>
      </c>
      <c r="BR483" s="286">
        <f>BM483*$D$745</f>
        <v>15.264504419037157</v>
      </c>
    </row>
    <row r="484" spans="1:70" x14ac:dyDescent="0.2">
      <c r="A484" s="306" t="s">
        <v>655</v>
      </c>
      <c r="B484" s="306"/>
      <c r="C484" s="306"/>
      <c r="D484" s="306"/>
      <c r="E484" s="306"/>
      <c r="F484" s="306"/>
      <c r="G484" s="306"/>
      <c r="H484" s="306"/>
      <c r="I484" s="306"/>
      <c r="J484" s="306"/>
      <c r="K484" s="306"/>
      <c r="L484" s="306"/>
      <c r="M484" s="306"/>
      <c r="N484" s="306"/>
      <c r="O484" s="306"/>
      <c r="P484" s="306"/>
      <c r="Q484" s="306"/>
      <c r="R484" s="306"/>
      <c r="S484" s="306"/>
      <c r="T484" s="306"/>
      <c r="U484" s="306"/>
      <c r="V484" s="306"/>
      <c r="W484" s="306"/>
      <c r="X484" s="306"/>
      <c r="Y484" s="306"/>
      <c r="Z484" s="306"/>
    </row>
    <row r="485" spans="1:70" x14ac:dyDescent="0.2">
      <c r="A485" s="306" t="s">
        <v>656</v>
      </c>
      <c r="B485" s="306"/>
      <c r="C485" s="306"/>
      <c r="D485" s="306"/>
      <c r="E485" s="306"/>
      <c r="F485" s="306"/>
      <c r="G485" s="306"/>
      <c r="H485" s="306"/>
      <c r="I485" s="306"/>
      <c r="J485" s="306"/>
      <c r="K485" s="306"/>
      <c r="L485" s="306"/>
      <c r="M485" s="306"/>
      <c r="N485" s="306"/>
      <c r="O485" s="306"/>
      <c r="P485" s="306"/>
      <c r="Q485" s="306"/>
      <c r="R485" s="306"/>
      <c r="S485" s="306"/>
      <c r="T485" s="306"/>
      <c r="U485" s="306"/>
      <c r="V485" s="306"/>
      <c r="W485" s="306"/>
      <c r="X485" s="306"/>
      <c r="Y485" s="306"/>
      <c r="Z485" s="306"/>
    </row>
    <row r="486" spans="1:70" x14ac:dyDescent="0.2">
      <c r="A486" s="306" t="s">
        <v>657</v>
      </c>
      <c r="B486" s="306"/>
      <c r="C486" s="306"/>
      <c r="D486" s="306"/>
      <c r="E486" s="306"/>
      <c r="F486" s="306"/>
      <c r="G486" s="306"/>
      <c r="H486" s="306"/>
      <c r="I486" s="306"/>
      <c r="J486" s="306"/>
      <c r="K486" s="306"/>
      <c r="L486" s="306"/>
      <c r="M486" s="306"/>
      <c r="N486" s="306"/>
      <c r="O486" s="306"/>
      <c r="P486" s="306"/>
      <c r="Q486" s="306"/>
      <c r="R486" s="306"/>
      <c r="S486" s="306"/>
      <c r="T486" s="306"/>
      <c r="U486" s="306"/>
      <c r="V486" s="306"/>
      <c r="W486" s="306"/>
      <c r="X486" s="306"/>
      <c r="Y486" s="306"/>
      <c r="Z486" s="306"/>
    </row>
    <row r="487" spans="1:70" ht="13.5" thickBot="1" x14ac:dyDescent="0.25">
      <c r="A487" s="306" t="s">
        <v>658</v>
      </c>
      <c r="B487" s="306"/>
      <c r="C487" s="306"/>
      <c r="D487" s="306"/>
      <c r="E487" s="306"/>
      <c r="F487" s="306"/>
      <c r="G487" s="306"/>
      <c r="H487" s="306"/>
      <c r="I487" s="306"/>
      <c r="J487" s="306"/>
      <c r="K487" s="306"/>
      <c r="L487" s="306"/>
      <c r="M487" s="306"/>
      <c r="N487" s="306"/>
      <c r="O487" s="306"/>
      <c r="P487" s="306"/>
      <c r="Q487" s="306"/>
      <c r="R487" s="306"/>
      <c r="S487" s="306"/>
      <c r="T487" s="306"/>
      <c r="U487" s="306"/>
      <c r="V487" s="306"/>
      <c r="W487" s="306"/>
      <c r="X487" s="306"/>
      <c r="Y487" s="306"/>
      <c r="Z487" s="306"/>
    </row>
    <row r="488" spans="1:70" ht="13.5" thickBot="1" x14ac:dyDescent="0.25">
      <c r="A488" s="306" t="s">
        <v>659</v>
      </c>
      <c r="B488" s="306"/>
      <c r="C488" s="306"/>
      <c r="D488" s="306"/>
      <c r="E488" s="306"/>
      <c r="F488" s="306"/>
      <c r="G488" s="306"/>
      <c r="H488" s="306"/>
      <c r="I488" s="306"/>
      <c r="J488" s="306"/>
      <c r="K488" s="306"/>
      <c r="L488" s="306"/>
      <c r="M488" s="306"/>
      <c r="N488" s="306"/>
      <c r="O488" s="306"/>
      <c r="P488" s="306"/>
      <c r="Q488" s="306"/>
      <c r="R488" s="306"/>
      <c r="S488" s="306"/>
      <c r="T488" s="306"/>
      <c r="U488" s="306"/>
      <c r="V488" s="306"/>
      <c r="W488" s="306"/>
      <c r="X488" s="306"/>
      <c r="Y488" s="306"/>
      <c r="Z488" s="306"/>
      <c r="AA488" s="287">
        <f>Z658+($AI$488-$Y$658)/10</f>
        <v>13.224797394153365</v>
      </c>
      <c r="AB488" s="287">
        <f t="shared" ref="AB488:AH488" si="60">AA488+($AI$488-$Y$658)/10</f>
        <v>13.589441040570847</v>
      </c>
      <c r="AC488" s="287">
        <f t="shared" si="60"/>
        <v>13.954084686988329</v>
      </c>
      <c r="AD488" s="287">
        <f t="shared" si="60"/>
        <v>14.318728333405812</v>
      </c>
      <c r="AE488" s="287">
        <f t="shared" si="60"/>
        <v>14.683371979823294</v>
      </c>
      <c r="AF488" s="287">
        <f t="shared" si="60"/>
        <v>15.048015626240776</v>
      </c>
      <c r="AG488" s="287">
        <f t="shared" si="60"/>
        <v>15.412659272658258</v>
      </c>
      <c r="AH488" s="287">
        <f t="shared" si="60"/>
        <v>15.777302919075741</v>
      </c>
      <c r="AI488" s="288">
        <f>T658*$E$744</f>
        <v>16.141946565493228</v>
      </c>
      <c r="AJ488" s="287">
        <f>AI488+($AX$488-$AI$488)/15</f>
        <v>16.312798018423909</v>
      </c>
      <c r="AK488" s="287">
        <f t="shared" ref="AK488:AW488" si="61">AJ488+($AX$488-$AI$488)/15</f>
        <v>16.483649471354589</v>
      </c>
      <c r="AL488" s="287">
        <f t="shared" si="61"/>
        <v>16.654500924285269</v>
      </c>
      <c r="AM488" s="287">
        <f t="shared" si="61"/>
        <v>16.82535237721595</v>
      </c>
      <c r="AN488" s="287">
        <f t="shared" si="61"/>
        <v>16.99620383014663</v>
      </c>
      <c r="AO488" s="287">
        <f t="shared" si="61"/>
        <v>17.16705528307731</v>
      </c>
      <c r="AP488" s="287">
        <f t="shared" si="61"/>
        <v>17.337906736007991</v>
      </c>
      <c r="AQ488" s="287">
        <f t="shared" si="61"/>
        <v>17.508758188938671</v>
      </c>
      <c r="AR488" s="287">
        <f t="shared" si="61"/>
        <v>17.679609641869352</v>
      </c>
      <c r="AS488" s="287">
        <f t="shared" si="61"/>
        <v>17.850461094800032</v>
      </c>
      <c r="AT488" s="287">
        <f t="shared" si="61"/>
        <v>18.021312547730712</v>
      </c>
      <c r="AU488" s="287">
        <f t="shared" si="61"/>
        <v>18.192164000661393</v>
      </c>
      <c r="AV488" s="287">
        <f t="shared" si="61"/>
        <v>18.363015453592073</v>
      </c>
      <c r="AW488" s="287">
        <f t="shared" si="61"/>
        <v>18.533866906522753</v>
      </c>
      <c r="AX488" s="288">
        <f>AI488*$B$744</f>
        <v>18.704718359453445</v>
      </c>
      <c r="AY488" s="287">
        <f>AX488+($BM$488-$AX$488)/15</f>
        <v>18.811222625087144</v>
      </c>
      <c r="AZ488" s="287">
        <f t="shared" ref="AZ488:BL488" si="62">AY488+($BM$488-$AX$488)/15</f>
        <v>18.917726890720843</v>
      </c>
      <c r="BA488" s="287">
        <f t="shared" si="62"/>
        <v>19.024231156354542</v>
      </c>
      <c r="BB488" s="287">
        <f t="shared" si="62"/>
        <v>19.130735421988241</v>
      </c>
      <c r="BC488" s="287">
        <f t="shared" si="62"/>
        <v>19.23723968762194</v>
      </c>
      <c r="BD488" s="287">
        <f t="shared" si="62"/>
        <v>19.34374395325564</v>
      </c>
      <c r="BE488" s="287">
        <f t="shared" si="62"/>
        <v>19.450248218889339</v>
      </c>
      <c r="BF488" s="287">
        <f t="shared" si="62"/>
        <v>19.556752484523038</v>
      </c>
      <c r="BG488" s="287">
        <f t="shared" si="62"/>
        <v>19.663256750156737</v>
      </c>
      <c r="BH488" s="287">
        <f t="shared" si="62"/>
        <v>19.769761015790436</v>
      </c>
      <c r="BI488" s="287">
        <f t="shared" si="62"/>
        <v>19.876265281424136</v>
      </c>
      <c r="BJ488" s="287">
        <f t="shared" si="62"/>
        <v>19.982769547057835</v>
      </c>
      <c r="BK488" s="287">
        <f t="shared" si="62"/>
        <v>20.089273812691534</v>
      </c>
      <c r="BL488" s="287">
        <f t="shared" si="62"/>
        <v>20.195778078325233</v>
      </c>
      <c r="BM488" s="288">
        <f>AX488*$C$744</f>
        <v>20.302282343958908</v>
      </c>
      <c r="BN488" s="287">
        <f>BM488+($BR$488-$BM$488)/5</f>
        <v>20.417883104696291</v>
      </c>
      <c r="BO488" s="287">
        <f>BN488+($BR$488-$BM$488)/5</f>
        <v>20.533483865433674</v>
      </c>
      <c r="BP488" s="287">
        <f>BO488+($BR$488-$BM$488)/5</f>
        <v>20.649084626171057</v>
      </c>
      <c r="BQ488" s="287">
        <f>BP488+($BR$488-$BM$488)/5</f>
        <v>20.76468538690844</v>
      </c>
      <c r="BR488" s="288">
        <f>BM488*$D$744</f>
        <v>20.880286147645826</v>
      </c>
    </row>
    <row r="489" spans="1:70" ht="13.5" thickBot="1" x14ac:dyDescent="0.25">
      <c r="A489" s="306" t="s">
        <v>660</v>
      </c>
      <c r="B489" s="306"/>
      <c r="C489" s="306"/>
      <c r="D489" s="306"/>
      <c r="E489" s="306"/>
      <c r="F489" s="306"/>
      <c r="G489" s="306"/>
      <c r="H489" s="306"/>
      <c r="I489" s="306"/>
      <c r="J489" s="306"/>
      <c r="K489" s="306"/>
      <c r="L489" s="306"/>
      <c r="M489" s="306"/>
      <c r="N489" s="306"/>
      <c r="O489" s="306"/>
      <c r="P489" s="306"/>
      <c r="Q489" s="306"/>
      <c r="R489" s="306"/>
      <c r="S489" s="306"/>
      <c r="T489" s="306"/>
      <c r="U489" s="306"/>
      <c r="V489" s="306"/>
      <c r="W489" s="306"/>
      <c r="X489" s="306"/>
      <c r="Y489" s="306"/>
      <c r="Z489" s="306"/>
    </row>
    <row r="490" spans="1:70" ht="13.5" thickBot="1" x14ac:dyDescent="0.25">
      <c r="A490" s="306" t="s">
        <v>661</v>
      </c>
      <c r="B490" s="306"/>
      <c r="C490" s="306"/>
      <c r="D490" s="306"/>
      <c r="E490" s="306"/>
      <c r="F490" s="306"/>
      <c r="G490" s="306"/>
      <c r="H490" s="306"/>
      <c r="I490" s="306"/>
      <c r="J490" s="306"/>
      <c r="K490" s="306"/>
      <c r="L490" s="306"/>
      <c r="M490" s="306"/>
      <c r="N490" s="306"/>
      <c r="O490" s="306"/>
      <c r="P490" s="306"/>
      <c r="Q490" s="306"/>
      <c r="R490" s="306"/>
      <c r="S490" s="306"/>
      <c r="T490" s="306"/>
      <c r="U490" s="306"/>
      <c r="V490" s="306"/>
      <c r="W490" s="306"/>
      <c r="X490" s="306"/>
      <c r="Y490" s="306"/>
      <c r="Z490" s="306"/>
      <c r="AA490" s="287">
        <f>Z660+($AI$490-$Y$660)/10</f>
        <v>15.4577980437679</v>
      </c>
      <c r="AB490" s="287">
        <f t="shared" ref="AB490:AH490" si="63">AA490+($AI$490-$Y$660)/10</f>
        <v>15.88385635596555</v>
      </c>
      <c r="AC490" s="287">
        <f t="shared" si="63"/>
        <v>16.309914668163202</v>
      </c>
      <c r="AD490" s="287">
        <f t="shared" si="63"/>
        <v>16.735972980360852</v>
      </c>
      <c r="AE490" s="287">
        <f t="shared" si="63"/>
        <v>17.162031292558503</v>
      </c>
      <c r="AF490" s="287">
        <f t="shared" si="63"/>
        <v>17.588089604756153</v>
      </c>
      <c r="AG490" s="287">
        <f t="shared" si="63"/>
        <v>18.014147916953803</v>
      </c>
      <c r="AH490" s="287">
        <f t="shared" si="63"/>
        <v>18.440206229151453</v>
      </c>
      <c r="AI490" s="288">
        <f>T660*$E$744</f>
        <v>18.866264541349103</v>
      </c>
      <c r="AJ490" s="287">
        <f>AI490+($AX$490-$AI$490)/15</f>
        <v>19.065951034869943</v>
      </c>
      <c r="AK490" s="287">
        <f t="shared" ref="AK490:AW490" si="64">AJ490+($AX$490-$AI$490)/15</f>
        <v>19.265637528390783</v>
      </c>
      <c r="AL490" s="287">
        <f t="shared" si="64"/>
        <v>19.465324021911623</v>
      </c>
      <c r="AM490" s="287">
        <f t="shared" si="64"/>
        <v>19.665010515432463</v>
      </c>
      <c r="AN490" s="287">
        <f t="shared" si="64"/>
        <v>19.864697008953303</v>
      </c>
      <c r="AO490" s="287">
        <f t="shared" si="64"/>
        <v>20.064383502474143</v>
      </c>
      <c r="AP490" s="287">
        <f t="shared" si="64"/>
        <v>20.264069995994983</v>
      </c>
      <c r="AQ490" s="287">
        <f t="shared" si="64"/>
        <v>20.463756489515823</v>
      </c>
      <c r="AR490" s="287">
        <f t="shared" si="64"/>
        <v>20.663442983036663</v>
      </c>
      <c r="AS490" s="287">
        <f t="shared" si="64"/>
        <v>20.863129476557503</v>
      </c>
      <c r="AT490" s="287">
        <f t="shared" si="64"/>
        <v>21.062815970078343</v>
      </c>
      <c r="AU490" s="287">
        <f t="shared" si="64"/>
        <v>21.262502463599183</v>
      </c>
      <c r="AV490" s="287">
        <f t="shared" si="64"/>
        <v>21.462188957120024</v>
      </c>
      <c r="AW490" s="287">
        <f t="shared" si="64"/>
        <v>21.661875450640864</v>
      </c>
      <c r="AX490" s="288">
        <f>AI490*$B$744</f>
        <v>21.861561944161682</v>
      </c>
      <c r="AY490" s="287">
        <f>AX490+($BM$490-$AX$490)/15</f>
        <v>21.986041209538687</v>
      </c>
      <c r="AZ490" s="287">
        <f t="shared" ref="AZ490:BL490" si="65">AY490+($BM$490-$AX$490)/15</f>
        <v>22.110520474915692</v>
      </c>
      <c r="BA490" s="287">
        <f t="shared" si="65"/>
        <v>22.234999740292697</v>
      </c>
      <c r="BB490" s="287">
        <f t="shared" si="65"/>
        <v>22.359479005669701</v>
      </c>
      <c r="BC490" s="287">
        <f t="shared" si="65"/>
        <v>22.483958271046706</v>
      </c>
      <c r="BD490" s="287">
        <f t="shared" si="65"/>
        <v>22.608437536423711</v>
      </c>
      <c r="BE490" s="287">
        <f t="shared" si="65"/>
        <v>22.732916801800716</v>
      </c>
      <c r="BF490" s="287">
        <f t="shared" si="65"/>
        <v>22.857396067177721</v>
      </c>
      <c r="BG490" s="287">
        <f t="shared" si="65"/>
        <v>22.981875332554726</v>
      </c>
      <c r="BH490" s="287">
        <f t="shared" si="65"/>
        <v>23.10635459793173</v>
      </c>
      <c r="BI490" s="287">
        <f t="shared" si="65"/>
        <v>23.230833863308735</v>
      </c>
      <c r="BJ490" s="287">
        <f t="shared" si="65"/>
        <v>23.35531312868574</v>
      </c>
      <c r="BK490" s="287">
        <f t="shared" si="65"/>
        <v>23.479792394062745</v>
      </c>
      <c r="BL490" s="287">
        <f t="shared" si="65"/>
        <v>23.60427165943975</v>
      </c>
      <c r="BM490" s="288">
        <f>AX490*$C$744</f>
        <v>23.728750924816747</v>
      </c>
      <c r="BN490" s="287">
        <f>BM490+($BR$490-$BM$490)/5</f>
        <v>23.863861924249427</v>
      </c>
      <c r="BO490" s="287">
        <f>BN490+($BR$490-$BM$490)/5</f>
        <v>23.998972923682107</v>
      </c>
      <c r="BP490" s="287">
        <f>BO490+($BR$490-$BM$490)/5</f>
        <v>24.134083923114787</v>
      </c>
      <c r="BQ490" s="287">
        <f>BP490+($BR$490-$BM$490)/5</f>
        <v>24.269194922547467</v>
      </c>
      <c r="BR490" s="288">
        <f>BM490*$D$744</f>
        <v>24.404305921980139</v>
      </c>
    </row>
    <row r="491" spans="1:70" x14ac:dyDescent="0.2">
      <c r="A491" s="306" t="s">
        <v>663</v>
      </c>
      <c r="B491" s="306"/>
      <c r="C491" s="306"/>
      <c r="D491" s="306"/>
      <c r="E491" s="306"/>
      <c r="F491" s="306"/>
      <c r="G491" s="306"/>
      <c r="H491" s="306"/>
      <c r="I491" s="306"/>
      <c r="J491" s="306"/>
      <c r="K491" s="306"/>
      <c r="L491" s="306"/>
      <c r="M491" s="306"/>
      <c r="N491" s="306"/>
      <c r="O491" s="306"/>
      <c r="P491" s="306"/>
      <c r="Q491" s="306"/>
      <c r="R491" s="306"/>
      <c r="S491" s="306"/>
      <c r="T491" s="306"/>
      <c r="U491" s="306"/>
      <c r="V491" s="306"/>
      <c r="W491" s="306"/>
      <c r="X491" s="306"/>
      <c r="Y491" s="306"/>
      <c r="Z491" s="306"/>
    </row>
    <row r="492" spans="1:70" x14ac:dyDescent="0.2">
      <c r="A492" s="306" t="s">
        <v>927</v>
      </c>
      <c r="B492" s="306"/>
      <c r="C492" s="306"/>
      <c r="D492" s="306"/>
      <c r="E492" s="306"/>
      <c r="F492" s="306"/>
      <c r="G492" s="306"/>
      <c r="H492" s="306"/>
      <c r="I492" s="306"/>
      <c r="J492" s="306"/>
      <c r="K492" s="306"/>
      <c r="L492" s="306"/>
      <c r="M492" s="306"/>
      <c r="N492" s="306"/>
      <c r="O492" s="306"/>
      <c r="P492" s="306"/>
      <c r="Q492" s="306"/>
      <c r="R492" s="306"/>
      <c r="S492" s="306"/>
      <c r="T492" s="306"/>
      <c r="U492" s="306"/>
      <c r="V492" s="306"/>
      <c r="W492" s="306"/>
      <c r="X492" s="306"/>
      <c r="Y492" s="306"/>
      <c r="Z492" s="306"/>
    </row>
    <row r="493" spans="1:70" ht="13.5" thickBot="1" x14ac:dyDescent="0.25">
      <c r="A493" s="306" t="s">
        <v>928</v>
      </c>
      <c r="B493" s="306"/>
      <c r="C493" s="306"/>
      <c r="D493" s="306"/>
      <c r="E493" s="306"/>
      <c r="F493" s="306"/>
      <c r="G493" s="306"/>
      <c r="H493" s="306"/>
      <c r="I493" s="306"/>
      <c r="J493" s="306"/>
      <c r="K493" s="306"/>
      <c r="L493" s="306"/>
      <c r="M493" s="306"/>
      <c r="N493" s="306"/>
      <c r="O493" s="306"/>
      <c r="P493" s="306"/>
      <c r="Q493" s="306"/>
      <c r="R493" s="306"/>
      <c r="S493" s="306"/>
      <c r="T493" s="306"/>
      <c r="U493" s="306"/>
      <c r="V493" s="306"/>
      <c r="W493" s="306"/>
      <c r="X493" s="306"/>
      <c r="Y493" s="306"/>
      <c r="Z493" s="306"/>
    </row>
    <row r="494" spans="1:70" ht="13.5" thickBot="1" x14ac:dyDescent="0.25">
      <c r="A494" s="306" t="s">
        <v>950</v>
      </c>
      <c r="B494" s="306"/>
      <c r="C494" s="306"/>
      <c r="D494" s="306"/>
      <c r="E494" s="306"/>
      <c r="F494" s="306"/>
      <c r="G494" s="306"/>
      <c r="H494" s="306"/>
      <c r="I494" s="306"/>
      <c r="J494" s="306"/>
      <c r="K494" s="306"/>
      <c r="L494" s="306"/>
      <c r="M494" s="306"/>
      <c r="N494" s="306"/>
      <c r="O494" s="306"/>
      <c r="P494" s="306"/>
      <c r="Q494" s="306"/>
      <c r="R494" s="306"/>
      <c r="S494" s="306"/>
      <c r="T494" s="306"/>
      <c r="U494" s="306"/>
      <c r="V494" s="306"/>
      <c r="W494" s="306"/>
      <c r="X494" s="306"/>
      <c r="Y494" s="306"/>
      <c r="Z494" s="306"/>
      <c r="AA494" s="289">
        <f>Z664+($AI$494-$Y$664)/10</f>
        <v>19.493346965415647</v>
      </c>
      <c r="AB494" s="289">
        <f t="shared" ref="AB494:AH494" si="66">AA494+($AI$494-$Y$664)/10</f>
        <v>19.39274662152437</v>
      </c>
      <c r="AC494" s="289">
        <f t="shared" si="66"/>
        <v>19.292146277633094</v>
      </c>
      <c r="AD494" s="289">
        <f t="shared" si="66"/>
        <v>19.191545933741818</v>
      </c>
      <c r="AE494" s="289">
        <f t="shared" si="66"/>
        <v>19.090945589850541</v>
      </c>
      <c r="AF494" s="289">
        <f t="shared" si="66"/>
        <v>18.990345245959265</v>
      </c>
      <c r="AG494" s="289">
        <f t="shared" si="66"/>
        <v>18.889744902067989</v>
      </c>
      <c r="AH494" s="289">
        <f t="shared" si="66"/>
        <v>18.789144558176712</v>
      </c>
      <c r="AI494" s="290">
        <f>T664*$E$747</f>
        <v>18.68854421428545</v>
      </c>
      <c r="AJ494" s="289">
        <f>AI494+($AX$494-$AI$494)/15</f>
        <v>18.700972398006513</v>
      </c>
      <c r="AK494" s="289">
        <f t="shared" ref="AK494:AW494" si="67">AJ494+($AX$494-$AI$494)/15</f>
        <v>18.713400581727576</v>
      </c>
      <c r="AL494" s="289">
        <f t="shared" si="67"/>
        <v>18.72582876544864</v>
      </c>
      <c r="AM494" s="289">
        <f t="shared" si="67"/>
        <v>18.738256949169703</v>
      </c>
      <c r="AN494" s="289">
        <f t="shared" si="67"/>
        <v>18.750685132890766</v>
      </c>
      <c r="AO494" s="289">
        <f t="shared" si="67"/>
        <v>18.763113316611829</v>
      </c>
      <c r="AP494" s="289">
        <f t="shared" si="67"/>
        <v>18.775541500332892</v>
      </c>
      <c r="AQ494" s="289">
        <f t="shared" si="67"/>
        <v>18.787969684053955</v>
      </c>
      <c r="AR494" s="289">
        <f t="shared" si="67"/>
        <v>18.800397867775018</v>
      </c>
      <c r="AS494" s="289">
        <f t="shared" si="67"/>
        <v>18.812826051496081</v>
      </c>
      <c r="AT494" s="289">
        <f t="shared" si="67"/>
        <v>18.825254235217145</v>
      </c>
      <c r="AU494" s="289">
        <f t="shared" si="67"/>
        <v>18.837682418938208</v>
      </c>
      <c r="AV494" s="289">
        <f t="shared" si="67"/>
        <v>18.850110602659271</v>
      </c>
      <c r="AW494" s="289">
        <f t="shared" si="67"/>
        <v>18.862538786380334</v>
      </c>
      <c r="AX494" s="290">
        <f>AI494*$B$747</f>
        <v>18.874966970101411</v>
      </c>
      <c r="AY494" s="289">
        <f>AX494+($BM$494-$AX$494)/15</f>
        <v>18.881381252955478</v>
      </c>
      <c r="AZ494" s="289">
        <f t="shared" ref="AZ494:BL494" si="68">AY494+($BM$494-$AX$494)/15</f>
        <v>18.887795535809545</v>
      </c>
      <c r="BA494" s="289">
        <f t="shared" si="68"/>
        <v>18.894209818663612</v>
      </c>
      <c r="BB494" s="289">
        <f t="shared" si="68"/>
        <v>18.900624101517678</v>
      </c>
      <c r="BC494" s="289">
        <f t="shared" si="68"/>
        <v>18.907038384371745</v>
      </c>
      <c r="BD494" s="289">
        <f t="shared" si="68"/>
        <v>18.913452667225812</v>
      </c>
      <c r="BE494" s="289">
        <f t="shared" si="68"/>
        <v>18.919866950079879</v>
      </c>
      <c r="BF494" s="289">
        <f t="shared" si="68"/>
        <v>18.926281232933945</v>
      </c>
      <c r="BG494" s="289">
        <f t="shared" si="68"/>
        <v>18.932695515788012</v>
      </c>
      <c r="BH494" s="289">
        <f t="shared" si="68"/>
        <v>18.939109798642079</v>
      </c>
      <c r="BI494" s="289">
        <f t="shared" si="68"/>
        <v>18.945524081496146</v>
      </c>
      <c r="BJ494" s="289">
        <f t="shared" si="68"/>
        <v>18.951938364350212</v>
      </c>
      <c r="BK494" s="289">
        <f t="shared" si="68"/>
        <v>18.958352647204279</v>
      </c>
      <c r="BL494" s="289">
        <f t="shared" si="68"/>
        <v>18.964766930058346</v>
      </c>
      <c r="BM494" s="290">
        <f>AX494*$C$747</f>
        <v>18.971181212912409</v>
      </c>
      <c r="BN494" s="289">
        <f>BM494+($BR$494-$BM$494)/5</f>
        <v>18.97762819226703</v>
      </c>
      <c r="BO494" s="289">
        <f>BN494+($BR$494-$BM$494)/5</f>
        <v>18.984075171621651</v>
      </c>
      <c r="BP494" s="289">
        <f>BO494+($BR$494-$BM$494)/5</f>
        <v>18.990522150976272</v>
      </c>
      <c r="BQ494" s="289">
        <f>BP494+($BR$494-$BM$494)/5</f>
        <v>18.996969130330893</v>
      </c>
      <c r="BR494" s="290">
        <f>BM494*$D$747</f>
        <v>19.003416109685507</v>
      </c>
    </row>
    <row r="495" spans="1:70" x14ac:dyDescent="0.2">
      <c r="A495" s="306" t="s">
        <v>951</v>
      </c>
      <c r="B495" s="306"/>
      <c r="C495" s="306"/>
      <c r="D495" s="306"/>
      <c r="E495" s="306"/>
      <c r="F495" s="306"/>
      <c r="G495" s="306"/>
      <c r="H495" s="306"/>
      <c r="I495" s="306"/>
      <c r="J495" s="306"/>
      <c r="K495" s="306"/>
      <c r="L495" s="306"/>
      <c r="M495" s="306"/>
      <c r="N495" s="306"/>
      <c r="O495" s="306"/>
      <c r="P495" s="306"/>
      <c r="Q495" s="306"/>
      <c r="R495" s="306"/>
      <c r="S495" s="306"/>
      <c r="T495" s="306"/>
      <c r="U495" s="306"/>
      <c r="V495" s="306"/>
      <c r="W495" s="306"/>
      <c r="X495" s="306"/>
      <c r="Y495" s="306"/>
      <c r="Z495" s="306"/>
    </row>
    <row r="496" spans="1:70" x14ac:dyDescent="0.2">
      <c r="A496" s="306" t="s">
        <v>976</v>
      </c>
      <c r="B496" s="306"/>
      <c r="C496" s="306"/>
      <c r="D496" s="306"/>
      <c r="E496" s="306"/>
      <c r="F496" s="306"/>
      <c r="G496" s="306"/>
      <c r="H496" s="306"/>
      <c r="I496" s="306"/>
      <c r="J496" s="306"/>
      <c r="K496" s="306"/>
      <c r="L496" s="306"/>
      <c r="M496" s="306"/>
      <c r="N496" s="306"/>
      <c r="O496" s="306"/>
      <c r="P496" s="306"/>
      <c r="Q496" s="306"/>
      <c r="R496" s="306"/>
      <c r="S496" s="306"/>
      <c r="T496" s="306"/>
      <c r="U496" s="306"/>
      <c r="V496" s="306"/>
      <c r="W496" s="306"/>
      <c r="X496" s="306"/>
      <c r="Y496" s="306"/>
      <c r="Z496" s="306"/>
    </row>
    <row r="499" spans="1:70" ht="13.5" thickBot="1" x14ac:dyDescent="0.25"/>
    <row r="500" spans="1:70" x14ac:dyDescent="0.2">
      <c r="A500" s="246" t="s">
        <v>442</v>
      </c>
      <c r="B500" s="247"/>
      <c r="C500" s="247"/>
      <c r="D500" s="248"/>
      <c r="E500" s="247"/>
      <c r="F500" s="247"/>
      <c r="G500" s="247"/>
      <c r="H500" s="247"/>
      <c r="I500" s="247"/>
      <c r="J500" s="247"/>
      <c r="K500" s="247"/>
      <c r="L500" s="247"/>
      <c r="M500" s="247"/>
      <c r="N500" s="247"/>
      <c r="O500" s="247"/>
      <c r="P500" s="247"/>
      <c r="Q500" s="247"/>
      <c r="R500" s="247"/>
      <c r="S500" s="247"/>
      <c r="T500" s="247"/>
      <c r="U500" s="247"/>
      <c r="V500" s="247"/>
      <c r="W500" s="247"/>
      <c r="X500" s="247"/>
      <c r="Y500" s="247"/>
    </row>
    <row r="501" spans="1:70" x14ac:dyDescent="0.2">
      <c r="A501" s="249" t="s">
        <v>443</v>
      </c>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row>
    <row r="502" spans="1:70" x14ac:dyDescent="0.2">
      <c r="A502" s="249" t="s">
        <v>860</v>
      </c>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row>
    <row r="503" spans="1:70" x14ac:dyDescent="0.2">
      <c r="A503" s="249" t="s">
        <v>861</v>
      </c>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row>
    <row r="504" spans="1:70" x14ac:dyDescent="0.2">
      <c r="A504" s="249" t="s">
        <v>444</v>
      </c>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row>
    <row r="505" spans="1:70" ht="13.5" thickBot="1" x14ac:dyDescent="0.25">
      <c r="A505" s="249" t="s">
        <v>445</v>
      </c>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row>
    <row r="506" spans="1:70" ht="13.5" thickBot="1" x14ac:dyDescent="0.25">
      <c r="A506" s="251" t="s">
        <v>446</v>
      </c>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AA506" s="283">
        <f>Z676+($AI$506-$Y$676)/10</f>
        <v>5.5529965108452508</v>
      </c>
      <c r="AB506" s="283">
        <f t="shared" ref="AB506:AH506" si="69">AA506+($AI$506-$Y$676)/10</f>
        <v>5.5809474506703411</v>
      </c>
      <c r="AC506" s="283">
        <f t="shared" si="69"/>
        <v>5.6088983904954315</v>
      </c>
      <c r="AD506" s="283">
        <f t="shared" si="69"/>
        <v>5.6368493303205218</v>
      </c>
      <c r="AE506" s="283">
        <f t="shared" si="69"/>
        <v>5.6648002701456122</v>
      </c>
      <c r="AF506" s="283">
        <f t="shared" si="69"/>
        <v>5.6927512099707025</v>
      </c>
      <c r="AG506" s="283">
        <f t="shared" si="69"/>
        <v>5.7207021497957928</v>
      </c>
      <c r="AH506" s="283">
        <f t="shared" si="69"/>
        <v>5.7486530896208832</v>
      </c>
      <c r="AI506" s="284">
        <f>T676*$E$742</f>
        <v>5.77660402944597</v>
      </c>
      <c r="AJ506" s="283">
        <f>AI506+($AX$506-$AI$506)/15</f>
        <v>5.8419909425225587</v>
      </c>
      <c r="AK506" s="283">
        <f t="shared" ref="AK506:AW506" si="70">AJ506+($AX$506-$AI$506)/15</f>
        <v>5.9073778555991474</v>
      </c>
      <c r="AL506" s="283">
        <f t="shared" si="70"/>
        <v>5.9727647686757361</v>
      </c>
      <c r="AM506" s="283">
        <f t="shared" si="70"/>
        <v>6.0381516817523249</v>
      </c>
      <c r="AN506" s="283">
        <f t="shared" si="70"/>
        <v>6.1035385948289136</v>
      </c>
      <c r="AO506" s="283">
        <f t="shared" si="70"/>
        <v>6.1689255079055023</v>
      </c>
      <c r="AP506" s="283">
        <f t="shared" si="70"/>
        <v>6.234312420982091</v>
      </c>
      <c r="AQ506" s="283">
        <f t="shared" si="70"/>
        <v>6.2996993340586798</v>
      </c>
      <c r="AR506" s="283">
        <f t="shared" si="70"/>
        <v>6.3650862471352685</v>
      </c>
      <c r="AS506" s="283">
        <f t="shared" si="70"/>
        <v>6.4304731602118572</v>
      </c>
      <c r="AT506" s="283">
        <f t="shared" si="70"/>
        <v>6.4958600732884459</v>
      </c>
      <c r="AU506" s="283">
        <f t="shared" si="70"/>
        <v>6.5612469863650347</v>
      </c>
      <c r="AV506" s="283">
        <f t="shared" si="70"/>
        <v>6.6266338994416234</v>
      </c>
      <c r="AW506" s="283">
        <f t="shared" si="70"/>
        <v>6.6920208125182121</v>
      </c>
      <c r="AX506" s="284">
        <f>AI506*$B$742</f>
        <v>6.7574077255948062</v>
      </c>
      <c r="AY506" s="283">
        <f>AX506+($BM$506-$AX$506)/15</f>
        <v>6.8243179096825601</v>
      </c>
      <c r="AZ506" s="283">
        <f t="shared" ref="AZ506:BL506" si="71">AY506+($BM$506-$AX$506)/15</f>
        <v>6.8912280937703141</v>
      </c>
      <c r="BA506" s="283">
        <f t="shared" si="71"/>
        <v>6.958138277858068</v>
      </c>
      <c r="BB506" s="283">
        <f t="shared" si="71"/>
        <v>7.025048461945822</v>
      </c>
      <c r="BC506" s="283">
        <f t="shared" si="71"/>
        <v>7.091958646033576</v>
      </c>
      <c r="BD506" s="283">
        <f t="shared" si="71"/>
        <v>7.1588688301213299</v>
      </c>
      <c r="BE506" s="283">
        <f t="shared" si="71"/>
        <v>7.2257790142090839</v>
      </c>
      <c r="BF506" s="283">
        <f t="shared" si="71"/>
        <v>7.2926891982968378</v>
      </c>
      <c r="BG506" s="283">
        <f t="shared" si="71"/>
        <v>7.3595993823845918</v>
      </c>
      <c r="BH506" s="283">
        <f t="shared" si="71"/>
        <v>7.4265095664723457</v>
      </c>
      <c r="BI506" s="283">
        <f t="shared" si="71"/>
        <v>7.4934197505600997</v>
      </c>
      <c r="BJ506" s="283">
        <f t="shared" si="71"/>
        <v>7.5603299346478536</v>
      </c>
      <c r="BK506" s="283">
        <f t="shared" si="71"/>
        <v>7.6272401187356076</v>
      </c>
      <c r="BL506" s="283">
        <f t="shared" si="71"/>
        <v>7.6941503028233615</v>
      </c>
      <c r="BM506" s="284">
        <f>AX506*$C$742</f>
        <v>7.7610604869111093</v>
      </c>
      <c r="BN506" s="283">
        <f>BM506+($BR$506-$BM$506)/5</f>
        <v>7.8379085930167243</v>
      </c>
      <c r="BO506" s="283">
        <f>BN506+($BR$506-$BM$506)/5</f>
        <v>7.9147566991223393</v>
      </c>
      <c r="BP506" s="283">
        <f>BO506+($BR$506-$BM$506)/5</f>
        <v>7.9916048052279542</v>
      </c>
      <c r="BQ506" s="283">
        <f>BP506+($BR$506-$BM$506)/5</f>
        <v>8.0684529113335692</v>
      </c>
      <c r="BR506" s="284">
        <f>BM506*$D$742</f>
        <v>8.1453010174391842</v>
      </c>
    </row>
    <row r="507" spans="1:70" ht="13.5" thickBot="1" x14ac:dyDescent="0.25">
      <c r="A507" s="249"/>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AA507" s="291">
        <f>Z677+($AI$507-$Y$677)/10</f>
        <v>1.3364941226202385</v>
      </c>
      <c r="AB507" s="291">
        <f t="shared" ref="AB507:AH507" si="72">AA507+($AI$507-$Y$677)/10</f>
        <v>1.3402060190972878</v>
      </c>
      <c r="AC507" s="291">
        <f t="shared" si="72"/>
        <v>1.343917915574337</v>
      </c>
      <c r="AD507" s="291">
        <f t="shared" si="72"/>
        <v>1.3476298120513863</v>
      </c>
      <c r="AE507" s="291">
        <f t="shared" si="72"/>
        <v>1.3513417085284356</v>
      </c>
      <c r="AF507" s="291">
        <f t="shared" si="72"/>
        <v>1.3550536050054849</v>
      </c>
      <c r="AG507" s="291">
        <f t="shared" si="72"/>
        <v>1.3587655014825342</v>
      </c>
      <c r="AH507" s="291">
        <f t="shared" si="72"/>
        <v>1.3624773979595834</v>
      </c>
      <c r="AI507" s="292">
        <f>T677*$E$740</f>
        <v>1.3661892944366323</v>
      </c>
      <c r="AJ507" s="291">
        <f>AI507+($AX$507-$AI$507)/15</f>
        <v>1.3701947313799723</v>
      </c>
      <c r="AK507" s="291">
        <f t="shared" ref="AK507:AW507" si="73">AJ507+($AX$507-$AI$507)/15</f>
        <v>1.3742001683233123</v>
      </c>
      <c r="AL507" s="291">
        <f t="shared" si="73"/>
        <v>1.3782056052666523</v>
      </c>
      <c r="AM507" s="291">
        <f t="shared" si="73"/>
        <v>1.3822110422099922</v>
      </c>
      <c r="AN507" s="291">
        <f t="shared" si="73"/>
        <v>1.3862164791533322</v>
      </c>
      <c r="AO507" s="291">
        <f t="shared" si="73"/>
        <v>1.3902219160966722</v>
      </c>
      <c r="AP507" s="291">
        <f t="shared" si="73"/>
        <v>1.3942273530400122</v>
      </c>
      <c r="AQ507" s="291">
        <f t="shared" si="73"/>
        <v>1.3982327899833522</v>
      </c>
      <c r="AR507" s="291">
        <f t="shared" si="73"/>
        <v>1.4022382269266922</v>
      </c>
      <c r="AS507" s="291">
        <f t="shared" si="73"/>
        <v>1.4062436638700322</v>
      </c>
      <c r="AT507" s="291">
        <f t="shared" si="73"/>
        <v>1.4102491008133722</v>
      </c>
      <c r="AU507" s="291">
        <f t="shared" si="73"/>
        <v>1.4142545377567122</v>
      </c>
      <c r="AV507" s="291">
        <f t="shared" si="73"/>
        <v>1.4182599747000522</v>
      </c>
      <c r="AW507" s="291">
        <f t="shared" si="73"/>
        <v>1.4222654116433922</v>
      </c>
      <c r="AX507" s="292">
        <f>AI507*$B$740</f>
        <v>1.4262708485867317</v>
      </c>
      <c r="AY507" s="291">
        <f>AX507+($BM$507-$AX$507)/15</f>
        <v>1.428975877834666</v>
      </c>
      <c r="AZ507" s="291">
        <f t="shared" ref="AZ507:BL507" si="74">AY507+($BM$507-$AX$507)/15</f>
        <v>1.4316809070826002</v>
      </c>
      <c r="BA507" s="291">
        <f t="shared" si="74"/>
        <v>1.4343859363305345</v>
      </c>
      <c r="BB507" s="291">
        <f t="shared" si="74"/>
        <v>1.4370909655784687</v>
      </c>
      <c r="BC507" s="291">
        <f t="shared" si="74"/>
        <v>1.439795994826403</v>
      </c>
      <c r="BD507" s="291">
        <f t="shared" si="74"/>
        <v>1.4425010240743372</v>
      </c>
      <c r="BE507" s="291">
        <f t="shared" si="74"/>
        <v>1.4452060533222715</v>
      </c>
      <c r="BF507" s="291">
        <f t="shared" si="74"/>
        <v>1.4479110825702057</v>
      </c>
      <c r="BG507" s="291">
        <f t="shared" si="74"/>
        <v>1.45061611181814</v>
      </c>
      <c r="BH507" s="291">
        <f t="shared" si="74"/>
        <v>1.4533211410660742</v>
      </c>
      <c r="BI507" s="291">
        <f t="shared" si="74"/>
        <v>1.4560261703140085</v>
      </c>
      <c r="BJ507" s="291">
        <f t="shared" si="74"/>
        <v>1.4587311995619427</v>
      </c>
      <c r="BK507" s="291">
        <f t="shared" si="74"/>
        <v>1.461436228809877</v>
      </c>
      <c r="BL507" s="291">
        <f t="shared" si="74"/>
        <v>1.4641412580578113</v>
      </c>
      <c r="BM507" s="292">
        <f>AX507*$C$740</f>
        <v>1.4668462873057471</v>
      </c>
      <c r="BN507" s="291">
        <f>BM507+($BR$507-$BM$507)/5</f>
        <v>1.4696282709053681</v>
      </c>
      <c r="BO507" s="291">
        <f>BN507+($BR$507-$BM$507)/5</f>
        <v>1.4724102545049891</v>
      </c>
      <c r="BP507" s="291">
        <f>BO507+($BR$507-$BM$507)/5</f>
        <v>1.4751922381046101</v>
      </c>
      <c r="BQ507" s="291">
        <f>BP507+($BR$507-$BM$507)/5</f>
        <v>1.4779742217042311</v>
      </c>
      <c r="BR507" s="292">
        <f>BM507*$D$740</f>
        <v>1.4807562053038525</v>
      </c>
    </row>
    <row r="508" spans="1:70" x14ac:dyDescent="0.2">
      <c r="A508" s="252" t="s">
        <v>447</v>
      </c>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row>
    <row r="509" spans="1:70" x14ac:dyDescent="0.2">
      <c r="A509" s="252" t="s">
        <v>448</v>
      </c>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row>
    <row r="510" spans="1:70" x14ac:dyDescent="0.2">
      <c r="A510" s="252"/>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row>
    <row r="511" spans="1:70" x14ac:dyDescent="0.2">
      <c r="A511" s="249" t="s">
        <v>440</v>
      </c>
      <c r="B511" s="250" t="s">
        <v>449</v>
      </c>
      <c r="C511" s="250" t="s">
        <v>450</v>
      </c>
      <c r="D511" s="250" t="s">
        <v>451</v>
      </c>
      <c r="E511" s="250" t="s">
        <v>452</v>
      </c>
      <c r="F511" s="250" t="s">
        <v>453</v>
      </c>
      <c r="G511" s="250" t="s">
        <v>454</v>
      </c>
      <c r="H511" s="250" t="s">
        <v>455</v>
      </c>
      <c r="I511" s="250" t="s">
        <v>456</v>
      </c>
      <c r="J511" s="250" t="s">
        <v>457</v>
      </c>
      <c r="K511" s="250" t="s">
        <v>458</v>
      </c>
      <c r="L511" s="250" t="s">
        <v>459</v>
      </c>
      <c r="M511" s="250" t="s">
        <v>460</v>
      </c>
      <c r="N511" s="250" t="s">
        <v>461</v>
      </c>
      <c r="O511" s="250" t="s">
        <v>462</v>
      </c>
      <c r="P511" s="250" t="s">
        <v>463</v>
      </c>
      <c r="Q511" s="250" t="s">
        <v>464</v>
      </c>
      <c r="R511" s="250" t="s">
        <v>465</v>
      </c>
      <c r="S511" s="250" t="s">
        <v>466</v>
      </c>
      <c r="T511" s="250" t="s">
        <v>467</v>
      </c>
      <c r="U511" s="250" t="s">
        <v>468</v>
      </c>
      <c r="V511" s="250" t="s">
        <v>469</v>
      </c>
      <c r="W511" s="250" t="s">
        <v>470</v>
      </c>
      <c r="X511" s="250" t="s">
        <v>471</v>
      </c>
      <c r="Y511" s="250" t="s">
        <v>472</v>
      </c>
      <c r="Z511">
        <v>2026</v>
      </c>
    </row>
    <row r="512" spans="1:70" x14ac:dyDescent="0.2">
      <c r="A512" s="249" t="s">
        <v>440</v>
      </c>
      <c r="B512" s="250" t="s">
        <v>440</v>
      </c>
      <c r="C512" s="250" t="s">
        <v>440</v>
      </c>
      <c r="D512" s="250" t="s">
        <v>440</v>
      </c>
      <c r="E512" s="250" t="s">
        <v>440</v>
      </c>
      <c r="F512" s="250" t="s">
        <v>440</v>
      </c>
      <c r="G512" s="250" t="s">
        <v>440</v>
      </c>
      <c r="H512" s="250" t="s">
        <v>440</v>
      </c>
      <c r="I512" s="250" t="s">
        <v>440</v>
      </c>
      <c r="J512" s="250" t="s">
        <v>440</v>
      </c>
      <c r="K512" s="250" t="s">
        <v>440</v>
      </c>
      <c r="L512" s="250" t="s">
        <v>440</v>
      </c>
      <c r="M512" s="250" t="s">
        <v>440</v>
      </c>
      <c r="N512" s="250" t="s">
        <v>440</v>
      </c>
      <c r="O512" s="250" t="s">
        <v>440</v>
      </c>
      <c r="P512" s="250" t="s">
        <v>440</v>
      </c>
      <c r="Q512" s="250" t="s">
        <v>440</v>
      </c>
      <c r="R512" s="250" t="s">
        <v>440</v>
      </c>
      <c r="S512" s="250" t="s">
        <v>440</v>
      </c>
      <c r="T512" s="250" t="s">
        <v>440</v>
      </c>
      <c r="U512" s="250" t="s">
        <v>440</v>
      </c>
      <c r="V512" s="250" t="s">
        <v>440</v>
      </c>
      <c r="W512" s="250" t="s">
        <v>440</v>
      </c>
      <c r="X512" s="250" t="s">
        <v>440</v>
      </c>
      <c r="Y512" s="250" t="s">
        <v>440</v>
      </c>
    </row>
    <row r="513" spans="1:26" x14ac:dyDescent="0.2">
      <c r="A513" s="249" t="s">
        <v>440</v>
      </c>
      <c r="B513" s="250" t="s">
        <v>440</v>
      </c>
      <c r="C513" s="250" t="s">
        <v>440</v>
      </c>
      <c r="D513" s="250" t="s">
        <v>440</v>
      </c>
      <c r="E513" s="250" t="s">
        <v>440</v>
      </c>
      <c r="F513" s="250" t="s">
        <v>440</v>
      </c>
      <c r="G513" s="250" t="s">
        <v>440</v>
      </c>
      <c r="H513" s="250" t="s">
        <v>440</v>
      </c>
      <c r="I513" s="250" t="s">
        <v>440</v>
      </c>
      <c r="J513" s="250" t="s">
        <v>440</v>
      </c>
      <c r="K513" s="250" t="s">
        <v>440</v>
      </c>
      <c r="L513" s="250" t="s">
        <v>440</v>
      </c>
      <c r="M513" s="250" t="s">
        <v>440</v>
      </c>
      <c r="N513" s="250" t="s">
        <v>440</v>
      </c>
      <c r="O513" s="250" t="s">
        <v>440</v>
      </c>
      <c r="P513" s="250" t="s">
        <v>440</v>
      </c>
      <c r="Q513" s="250" t="s">
        <v>440</v>
      </c>
      <c r="R513" s="250" t="s">
        <v>440</v>
      </c>
      <c r="S513" s="250" t="s">
        <v>440</v>
      </c>
      <c r="T513" s="250" t="s">
        <v>440</v>
      </c>
      <c r="U513" s="250" t="s">
        <v>440</v>
      </c>
      <c r="V513" s="250" t="s">
        <v>440</v>
      </c>
      <c r="W513" s="250" t="s">
        <v>440</v>
      </c>
      <c r="X513" s="250" t="s">
        <v>440</v>
      </c>
      <c r="Y513" s="250" t="s">
        <v>440</v>
      </c>
    </row>
    <row r="514" spans="1:26" x14ac:dyDescent="0.2">
      <c r="A514" s="249" t="s">
        <v>473</v>
      </c>
      <c r="B514" s="253">
        <v>15.0220499038696</v>
      </c>
      <c r="C514" s="253">
        <v>15.811363220214799</v>
      </c>
      <c r="D514" s="253">
        <v>16.4251308441162</v>
      </c>
      <c r="E514" s="253">
        <v>16.464759826660199</v>
      </c>
      <c r="F514" s="253">
        <v>15.680528640747101</v>
      </c>
      <c r="G514" s="253">
        <v>15.0112085342407</v>
      </c>
      <c r="H514" s="253">
        <v>14.5817928314209</v>
      </c>
      <c r="I514" s="253">
        <v>14.458288192749</v>
      </c>
      <c r="J514" s="253">
        <v>14.326377868652299</v>
      </c>
      <c r="K514" s="253">
        <v>14.293612480163601</v>
      </c>
      <c r="L514" s="253">
        <v>14.4205980300903</v>
      </c>
      <c r="M514" s="253">
        <v>14.6031141281128</v>
      </c>
      <c r="N514" s="253">
        <v>14.8352861404419</v>
      </c>
      <c r="O514" s="253">
        <v>14.979790687561</v>
      </c>
      <c r="P514" s="253">
        <v>15.0010738372803</v>
      </c>
      <c r="Q514" s="253">
        <v>15.073490142822299</v>
      </c>
      <c r="R514" s="253">
        <v>15.2468109130859</v>
      </c>
      <c r="S514" s="253">
        <v>15.482013702392599</v>
      </c>
      <c r="T514" s="253">
        <v>15.6422672271729</v>
      </c>
      <c r="U514" s="253">
        <v>15.809124946594199</v>
      </c>
      <c r="V514" s="253">
        <v>15.869408607482899</v>
      </c>
      <c r="W514" s="253">
        <v>15.910493850708001</v>
      </c>
      <c r="X514" s="253">
        <v>16.000511169433601</v>
      </c>
      <c r="Y514" s="253">
        <v>16.127393722534201</v>
      </c>
    </row>
    <row r="515" spans="1:26" x14ac:dyDescent="0.2">
      <c r="A515" s="249" t="s">
        <v>474</v>
      </c>
      <c r="B515" s="253">
        <v>8.3285751342773402</v>
      </c>
      <c r="C515" s="253">
        <v>9.67810153961182</v>
      </c>
      <c r="D515" s="253">
        <v>10.6516561508179</v>
      </c>
      <c r="E515" s="253">
        <v>10.5737972259521</v>
      </c>
      <c r="F515" s="253">
        <v>9.7301187515258807</v>
      </c>
      <c r="G515" s="253">
        <v>9.2126417160034197</v>
      </c>
      <c r="H515" s="253">
        <v>8.7946681976318395</v>
      </c>
      <c r="I515" s="253">
        <v>8.5506849288940394</v>
      </c>
      <c r="J515" s="253">
        <v>8.3542766571044904</v>
      </c>
      <c r="K515" s="253">
        <v>8.2684001922607404</v>
      </c>
      <c r="L515" s="253">
        <v>8.3419942855834996</v>
      </c>
      <c r="M515" s="253">
        <v>8.4596767425537092</v>
      </c>
      <c r="N515" s="253">
        <v>8.6078786849975604</v>
      </c>
      <c r="O515" s="253">
        <v>8.7398357391357404</v>
      </c>
      <c r="P515" s="253">
        <v>8.7483062744140607</v>
      </c>
      <c r="Q515" s="253">
        <v>8.7686567306518608</v>
      </c>
      <c r="R515" s="253">
        <v>8.8867673873901403</v>
      </c>
      <c r="S515" s="253">
        <v>9.0631914138793892</v>
      </c>
      <c r="T515" s="253">
        <v>9.2055320739746094</v>
      </c>
      <c r="U515" s="253">
        <v>9.3421277999877894</v>
      </c>
      <c r="V515" s="253">
        <v>9.4150266647338903</v>
      </c>
      <c r="W515" s="253">
        <v>9.4582109451293892</v>
      </c>
      <c r="X515" s="253">
        <v>9.5390539169311506</v>
      </c>
      <c r="Y515" s="253">
        <v>9.6245632171630895</v>
      </c>
    </row>
    <row r="516" spans="1:26" x14ac:dyDescent="0.2">
      <c r="A516" s="249" t="s">
        <v>475</v>
      </c>
      <c r="B516" s="253">
        <v>10.0436496734619</v>
      </c>
      <c r="C516" s="253">
        <v>11.266843795776399</v>
      </c>
      <c r="D516" s="253">
        <v>13.0600261688232</v>
      </c>
      <c r="E516" s="253">
        <v>12.5262813568115</v>
      </c>
      <c r="F516" s="253">
        <v>11.260459899902299</v>
      </c>
      <c r="G516" s="253">
        <v>10.814398765564</v>
      </c>
      <c r="H516" s="253">
        <v>10.6458578109741</v>
      </c>
      <c r="I516" s="253">
        <v>10.453662872314499</v>
      </c>
      <c r="J516" s="253">
        <v>10.443992614746101</v>
      </c>
      <c r="K516" s="253">
        <v>10.420529365539601</v>
      </c>
      <c r="L516" s="253">
        <v>10.4911556243896</v>
      </c>
      <c r="M516" s="253">
        <v>10.5971431732178</v>
      </c>
      <c r="N516" s="253">
        <v>10.650529861450201</v>
      </c>
      <c r="O516" s="253">
        <v>10.7566242218018</v>
      </c>
      <c r="P516" s="253">
        <v>10.8697347640991</v>
      </c>
      <c r="Q516" s="253">
        <v>10.955939292907701</v>
      </c>
      <c r="R516" s="253">
        <v>11.0780487060547</v>
      </c>
      <c r="S516" s="253">
        <v>11.222780227661101</v>
      </c>
      <c r="T516" s="253">
        <v>11.364427566528301</v>
      </c>
      <c r="U516" s="253">
        <v>11.5109758377075</v>
      </c>
      <c r="V516" s="253">
        <v>11.6184797286987</v>
      </c>
      <c r="W516" s="253">
        <v>11.7467203140259</v>
      </c>
      <c r="X516" s="253">
        <v>11.8437652587891</v>
      </c>
      <c r="Y516" s="253">
        <v>11.9311771392822</v>
      </c>
    </row>
    <row r="517" spans="1:26" x14ac:dyDescent="0.2">
      <c r="A517" s="249" t="s">
        <v>476</v>
      </c>
      <c r="B517" s="253">
        <v>8.3698368072509801</v>
      </c>
      <c r="C517" s="253">
        <v>9.5702075958252006</v>
      </c>
      <c r="D517" s="253">
        <v>10.537187576293899</v>
      </c>
      <c r="E517" s="253">
        <v>10.120927810668899</v>
      </c>
      <c r="F517" s="253">
        <v>9.0704116821289098</v>
      </c>
      <c r="G517" s="253">
        <v>8.6811342239379901</v>
      </c>
      <c r="H517" s="253">
        <v>8.4951152801513707</v>
      </c>
      <c r="I517" s="253">
        <v>8.3145399093627894</v>
      </c>
      <c r="J517" s="253">
        <v>8.2864685058593803</v>
      </c>
      <c r="K517" s="253">
        <v>8.2537784576415998</v>
      </c>
      <c r="L517" s="253">
        <v>8.2966070175170898</v>
      </c>
      <c r="M517" s="253">
        <v>8.3739995956420898</v>
      </c>
      <c r="N517" s="253">
        <v>8.4385089874267596</v>
      </c>
      <c r="O517" s="253">
        <v>8.4884243011474592</v>
      </c>
      <c r="P517" s="253">
        <v>8.5346355438232404</v>
      </c>
      <c r="Q517" s="253">
        <v>8.5863618850708008</v>
      </c>
      <c r="R517" s="253">
        <v>8.7058753967285192</v>
      </c>
      <c r="S517" s="253">
        <v>8.7835302352905291</v>
      </c>
      <c r="T517" s="253">
        <v>8.8462095260620099</v>
      </c>
      <c r="U517" s="253">
        <v>8.9105930328369105</v>
      </c>
      <c r="V517" s="253">
        <v>8.9716310501098597</v>
      </c>
      <c r="W517" s="253">
        <v>9.0270709991455096</v>
      </c>
      <c r="X517" s="253">
        <v>9.0740833282470703</v>
      </c>
      <c r="Y517" s="253">
        <v>9.1169166564941406</v>
      </c>
    </row>
    <row r="518" spans="1:26" x14ac:dyDescent="0.2">
      <c r="A518" s="249" t="s">
        <v>477</v>
      </c>
      <c r="B518" s="253">
        <v>12.976583480835</v>
      </c>
      <c r="C518" s="253">
        <v>14.582922935485801</v>
      </c>
      <c r="D518" s="253">
        <v>17.5701904296875</v>
      </c>
      <c r="E518" s="253">
        <v>17.073207855224599</v>
      </c>
      <c r="F518" s="253">
        <v>15.3619232177734</v>
      </c>
      <c r="G518" s="253">
        <v>14.740796089172401</v>
      </c>
      <c r="H518" s="253">
        <v>14.555371284484901</v>
      </c>
      <c r="I518" s="253">
        <v>14.281338691711399</v>
      </c>
      <c r="J518" s="253">
        <v>14.253823280334499</v>
      </c>
      <c r="K518" s="253">
        <v>14.190848350524901</v>
      </c>
      <c r="L518" s="253">
        <v>14.252662658691399</v>
      </c>
      <c r="M518" s="253">
        <v>14.348473548889199</v>
      </c>
      <c r="N518" s="253">
        <v>14.316626548767101</v>
      </c>
      <c r="O518" s="253">
        <v>14.447472572326699</v>
      </c>
      <c r="P518" s="253">
        <v>14.6025552749634</v>
      </c>
      <c r="Q518" s="253">
        <v>14.6705665588379</v>
      </c>
      <c r="R518" s="253">
        <v>14.712552070617701</v>
      </c>
      <c r="S518" s="253">
        <v>14.8757133483887</v>
      </c>
      <c r="T518" s="253">
        <v>15.056845664978001</v>
      </c>
      <c r="U518" s="253">
        <v>15.2477731704712</v>
      </c>
      <c r="V518" s="253">
        <v>15.3445425033569</v>
      </c>
      <c r="W518" s="253">
        <v>15.4947566986084</v>
      </c>
      <c r="X518" s="253">
        <v>15.580441474914601</v>
      </c>
      <c r="Y518" s="253">
        <v>15.645468711853001</v>
      </c>
    </row>
    <row r="519" spans="1:26" x14ac:dyDescent="0.2">
      <c r="A519" s="249" t="s">
        <v>478</v>
      </c>
      <c r="B519" s="253">
        <v>7.8179483413696298</v>
      </c>
      <c r="C519" s="253">
        <v>9.2187824249267596</v>
      </c>
      <c r="D519" s="253">
        <v>9.9373922348022496</v>
      </c>
      <c r="E519" s="253">
        <v>10.0359506607056</v>
      </c>
      <c r="F519" s="253">
        <v>9.3121318817138707</v>
      </c>
      <c r="G519" s="253">
        <v>8.7750911712646502</v>
      </c>
      <c r="H519" s="253">
        <v>8.2899227142334002</v>
      </c>
      <c r="I519" s="253">
        <v>8.0357856750488299</v>
      </c>
      <c r="J519" s="253">
        <v>7.7935147285461399</v>
      </c>
      <c r="K519" s="253">
        <v>7.6957306861877397</v>
      </c>
      <c r="L519" s="253">
        <v>7.7737927436828604</v>
      </c>
      <c r="M519" s="253">
        <v>7.89709520339966</v>
      </c>
      <c r="N519" s="253">
        <v>8.0722961425781303</v>
      </c>
      <c r="O519" s="253">
        <v>8.21258449554443</v>
      </c>
      <c r="P519" s="253">
        <v>8.1957035064697301</v>
      </c>
      <c r="Q519" s="253">
        <v>8.2030982971191406</v>
      </c>
      <c r="R519" s="253">
        <v>8.3247480392456108</v>
      </c>
      <c r="S519" s="253">
        <v>8.5131444931030291</v>
      </c>
      <c r="T519" s="253">
        <v>8.6595201492309606</v>
      </c>
      <c r="U519" s="253">
        <v>8.7975921630859393</v>
      </c>
      <c r="V519" s="253">
        <v>8.8660669326782209</v>
      </c>
      <c r="W519" s="253">
        <v>8.8930187225341797</v>
      </c>
      <c r="X519" s="253">
        <v>8.9751634597778303</v>
      </c>
      <c r="Y519" s="253">
        <v>9.0651559829711896</v>
      </c>
    </row>
    <row r="520" spans="1:26" x14ac:dyDescent="0.2">
      <c r="A520" s="249" t="s">
        <v>479</v>
      </c>
      <c r="B520" s="253">
        <v>25.222642898559599</v>
      </c>
      <c r="C520" s="253">
        <v>25.415189743041999</v>
      </c>
      <c r="D520" s="253">
        <v>25.1893119812012</v>
      </c>
      <c r="E520" s="253">
        <v>25.147850036621101</v>
      </c>
      <c r="F520" s="253">
        <v>24.3894958496094</v>
      </c>
      <c r="G520" s="253">
        <v>23.460399627685501</v>
      </c>
      <c r="H520" s="253">
        <v>22.990982055664102</v>
      </c>
      <c r="I520" s="253">
        <v>23.018142700195298</v>
      </c>
      <c r="J520" s="253">
        <v>22.960025787353501</v>
      </c>
      <c r="K520" s="253">
        <v>22.974227905273398</v>
      </c>
      <c r="L520" s="253">
        <v>23.1215305328369</v>
      </c>
      <c r="M520" s="253">
        <v>23.312740325927699</v>
      </c>
      <c r="N520" s="253">
        <v>23.5714206695557</v>
      </c>
      <c r="O520" s="253">
        <v>23.632020950317401</v>
      </c>
      <c r="P520" s="253">
        <v>23.589054107666001</v>
      </c>
      <c r="Q520" s="253">
        <v>23.650138854980501</v>
      </c>
      <c r="R520" s="253">
        <v>23.8146667480469</v>
      </c>
      <c r="S520" s="253">
        <v>24.0346794128418</v>
      </c>
      <c r="T520" s="253">
        <v>24.122148513793899</v>
      </c>
      <c r="U520" s="253">
        <v>24.230636596679702</v>
      </c>
      <c r="V520" s="253">
        <v>24.181154251098601</v>
      </c>
      <c r="W520" s="253">
        <v>24.130558013916001</v>
      </c>
      <c r="X520" s="253">
        <v>24.148235321044901</v>
      </c>
      <c r="Y520" s="253">
        <v>24.238166809081999</v>
      </c>
    </row>
    <row r="521" spans="1:26" x14ac:dyDescent="0.2">
      <c r="A521" s="249" t="s">
        <v>440</v>
      </c>
      <c r="B521" s="253" t="s">
        <v>440</v>
      </c>
      <c r="C521" s="253" t="s">
        <v>440</v>
      </c>
      <c r="D521" s="253" t="s">
        <v>440</v>
      </c>
      <c r="E521" s="253" t="s">
        <v>440</v>
      </c>
      <c r="F521" s="253" t="s">
        <v>440</v>
      </c>
      <c r="G521" s="253" t="s">
        <v>440</v>
      </c>
      <c r="H521" s="253" t="s">
        <v>440</v>
      </c>
      <c r="I521" s="253" t="s">
        <v>440</v>
      </c>
      <c r="J521" s="253" t="s">
        <v>440</v>
      </c>
      <c r="K521" s="253" t="s">
        <v>440</v>
      </c>
      <c r="L521" s="253" t="s">
        <v>440</v>
      </c>
      <c r="M521" s="253" t="s">
        <v>440</v>
      </c>
      <c r="N521" s="253" t="s">
        <v>440</v>
      </c>
      <c r="O521" s="253" t="s">
        <v>440</v>
      </c>
      <c r="P521" s="253" t="s">
        <v>440</v>
      </c>
      <c r="Q521" s="253" t="s">
        <v>440</v>
      </c>
      <c r="R521" s="253" t="s">
        <v>440</v>
      </c>
      <c r="S521" s="253" t="s">
        <v>440</v>
      </c>
      <c r="T521" s="253" t="s">
        <v>440</v>
      </c>
      <c r="U521" s="253" t="s">
        <v>440</v>
      </c>
      <c r="V521" s="253" t="s">
        <v>440</v>
      </c>
      <c r="W521" s="253" t="s">
        <v>440</v>
      </c>
      <c r="X521" s="253" t="s">
        <v>440</v>
      </c>
      <c r="Y521" s="253" t="s">
        <v>440</v>
      </c>
    </row>
    <row r="522" spans="1:26" x14ac:dyDescent="0.2">
      <c r="A522" s="249" t="s">
        <v>480</v>
      </c>
      <c r="B522" s="253">
        <v>15.064169883728001</v>
      </c>
      <c r="C522" s="253">
        <v>15.629265785217299</v>
      </c>
      <c r="D522" s="253">
        <v>15.835299491882299</v>
      </c>
      <c r="E522" s="253">
        <v>15.918291091918899</v>
      </c>
      <c r="F522" s="253">
        <v>15.0829524993896</v>
      </c>
      <c r="G522" s="253">
        <v>14.3196773529053</v>
      </c>
      <c r="H522" s="253">
        <v>13.910519599914601</v>
      </c>
      <c r="I522" s="253">
        <v>13.8424997329712</v>
      </c>
      <c r="J522" s="253">
        <v>13.762632369995099</v>
      </c>
      <c r="K522" s="253">
        <v>13.8186712265015</v>
      </c>
      <c r="L522" s="253">
        <v>14.058515548706101</v>
      </c>
      <c r="M522" s="253">
        <v>14.316973686218301</v>
      </c>
      <c r="N522" s="253">
        <v>14.661353111267101</v>
      </c>
      <c r="O522" s="253">
        <v>14.869439125061</v>
      </c>
      <c r="P522" s="253">
        <v>14.9301090240479</v>
      </c>
      <c r="Q522" s="253">
        <v>15.044508934021</v>
      </c>
      <c r="R522" s="253">
        <v>15.2485342025757</v>
      </c>
      <c r="S522" s="253">
        <v>15.517853736877401</v>
      </c>
      <c r="T522" s="253">
        <v>15.7009220123291</v>
      </c>
      <c r="U522" s="253">
        <v>15.889198303222701</v>
      </c>
      <c r="V522" s="253">
        <v>15.933961868286101</v>
      </c>
      <c r="W522" s="253">
        <v>15.975202560424799</v>
      </c>
      <c r="X522" s="253">
        <v>16.0630493164063</v>
      </c>
      <c r="Y522" s="253">
        <v>16.195989608764599</v>
      </c>
    </row>
    <row r="523" spans="1:26" x14ac:dyDescent="0.2">
      <c r="A523" s="249" t="s">
        <v>474</v>
      </c>
      <c r="B523" s="253">
        <v>6.5697088241577104</v>
      </c>
      <c r="C523" s="253">
        <v>7.9157042503356898</v>
      </c>
      <c r="D523" s="253">
        <v>8.3734645843505895</v>
      </c>
      <c r="E523" s="253">
        <v>8.3683490753173793</v>
      </c>
      <c r="F523" s="253">
        <v>7.7444124221801802</v>
      </c>
      <c r="G523" s="253">
        <v>7.3380589485168501</v>
      </c>
      <c r="H523" s="253">
        <v>7.0368156433105504</v>
      </c>
      <c r="I523" s="253">
        <v>6.9020848274231001</v>
      </c>
      <c r="J523" s="253">
        <v>6.8100509643554696</v>
      </c>
      <c r="K523" s="253">
        <v>6.84179735183716</v>
      </c>
      <c r="L523" s="253">
        <v>6.8974781036376998</v>
      </c>
      <c r="M523" s="253">
        <v>6.9808845520019496</v>
      </c>
      <c r="N523" s="253">
        <v>7.1057710647582999</v>
      </c>
      <c r="O523" s="253">
        <v>7.20139837265015</v>
      </c>
      <c r="P523" s="253">
        <v>7.18692874908447</v>
      </c>
      <c r="Q523" s="253">
        <v>7.1932849884033203</v>
      </c>
      <c r="R523" s="253">
        <v>7.2944316864013699</v>
      </c>
      <c r="S523" s="253">
        <v>7.4377117156982404</v>
      </c>
      <c r="T523" s="253">
        <v>7.5399260520935103</v>
      </c>
      <c r="U523" s="253">
        <v>7.6392593383789098</v>
      </c>
      <c r="V523" s="253">
        <v>7.6873850822448704</v>
      </c>
      <c r="W523" s="253">
        <v>7.6958703994751003</v>
      </c>
      <c r="X523" s="253">
        <v>7.7559337615966797</v>
      </c>
      <c r="Y523" s="253">
        <v>7.8220491409301802</v>
      </c>
    </row>
    <row r="524" spans="1:26" x14ac:dyDescent="0.2">
      <c r="A524" s="249" t="s">
        <v>475</v>
      </c>
      <c r="B524" s="253">
        <v>6.9482707977294904</v>
      </c>
      <c r="C524" s="253">
        <v>8.0266513824462908</v>
      </c>
      <c r="D524" s="253">
        <v>8.9197750091552699</v>
      </c>
      <c r="E524" s="253">
        <v>8.6532449722290004</v>
      </c>
      <c r="F524" s="253">
        <v>7.9109911918640101</v>
      </c>
      <c r="G524" s="253">
        <v>7.48618364334106</v>
      </c>
      <c r="H524" s="253">
        <v>7.32971286773682</v>
      </c>
      <c r="I524" s="253">
        <v>7.1282916069030797</v>
      </c>
      <c r="J524" s="253">
        <v>7.1344366073608398</v>
      </c>
      <c r="K524" s="253">
        <v>7.2035880088806197</v>
      </c>
      <c r="L524" s="253">
        <v>7.21549415588379</v>
      </c>
      <c r="M524" s="253">
        <v>7.2433881759643599</v>
      </c>
      <c r="N524" s="253">
        <v>7.2548027038574201</v>
      </c>
      <c r="O524" s="253">
        <v>7.2826437950134304</v>
      </c>
      <c r="P524" s="253">
        <v>7.3254833221435502</v>
      </c>
      <c r="Q524" s="253">
        <v>7.3667011260986301</v>
      </c>
      <c r="R524" s="253">
        <v>7.4382300376892099</v>
      </c>
      <c r="S524" s="253">
        <v>7.5099358558654803</v>
      </c>
      <c r="T524" s="253">
        <v>7.5474686622619602</v>
      </c>
      <c r="U524" s="253">
        <v>7.6315479278564498</v>
      </c>
      <c r="V524" s="253">
        <v>7.69354152679443</v>
      </c>
      <c r="W524" s="253">
        <v>7.7161302566528303</v>
      </c>
      <c r="X524" s="253">
        <v>7.7569241523742702</v>
      </c>
      <c r="Y524" s="253">
        <v>7.8363184928893999</v>
      </c>
    </row>
    <row r="525" spans="1:26" x14ac:dyDescent="0.2">
      <c r="A525" s="249" t="s">
        <v>476</v>
      </c>
      <c r="B525" s="253">
        <v>6.1493649482727104</v>
      </c>
      <c r="C525" s="253">
        <v>7.03082323074341</v>
      </c>
      <c r="D525" s="253">
        <v>7.7272844314575204</v>
      </c>
      <c r="E525" s="253">
        <v>7.4210705757141104</v>
      </c>
      <c r="F525" s="253">
        <v>6.8826036453247097</v>
      </c>
      <c r="G525" s="253">
        <v>6.5409913063049299</v>
      </c>
      <c r="H525" s="253">
        <v>6.4167842864990199</v>
      </c>
      <c r="I525" s="253">
        <v>6.2535924911498997</v>
      </c>
      <c r="J525" s="253">
        <v>6.2965154647827104</v>
      </c>
      <c r="K525" s="253">
        <v>6.4007697105407697</v>
      </c>
      <c r="L525" s="253">
        <v>6.4218788146972701</v>
      </c>
      <c r="M525" s="253">
        <v>6.4483299255371103</v>
      </c>
      <c r="N525" s="253">
        <v>6.4679012298584002</v>
      </c>
      <c r="O525" s="253">
        <v>6.4912290573120099</v>
      </c>
      <c r="P525" s="253">
        <v>6.52826023101807</v>
      </c>
      <c r="Q525" s="253">
        <v>6.5738272666931197</v>
      </c>
      <c r="R525" s="253">
        <v>6.6604804992675799</v>
      </c>
      <c r="S525" s="253">
        <v>6.7330570220947301</v>
      </c>
      <c r="T525" s="253">
        <v>6.75683689117432</v>
      </c>
      <c r="U525" s="253">
        <v>6.8434348106384304</v>
      </c>
      <c r="V525" s="253">
        <v>6.9099073410034197</v>
      </c>
      <c r="W525" s="253">
        <v>6.9186587333679199</v>
      </c>
      <c r="X525" s="253">
        <v>6.9633812904357901</v>
      </c>
      <c r="Y525" s="253">
        <v>7.0585165023803702</v>
      </c>
    </row>
    <row r="526" spans="1:26" x14ac:dyDescent="0.2">
      <c r="A526" s="249" t="s">
        <v>481</v>
      </c>
      <c r="B526" s="253">
        <v>4.2683343887329102</v>
      </c>
      <c r="C526" s="253">
        <v>4.9646224975585902</v>
      </c>
      <c r="D526" s="253">
        <v>5.0606441497802699</v>
      </c>
      <c r="E526" s="253">
        <v>5.3499689102172896</v>
      </c>
      <c r="F526" s="253">
        <v>5.0606269836425799</v>
      </c>
      <c r="G526" s="253">
        <v>4.6454811096191397</v>
      </c>
      <c r="H526" s="253">
        <v>4.44089698791504</v>
      </c>
      <c r="I526" s="253">
        <v>4.3064308166503897</v>
      </c>
      <c r="J526" s="253">
        <v>4.2577414512634304</v>
      </c>
      <c r="K526" s="253">
        <v>4.3118896484375</v>
      </c>
      <c r="L526" s="253">
        <v>4.3638815879821804</v>
      </c>
      <c r="M526" s="253">
        <v>4.4166550636291504</v>
      </c>
      <c r="N526" s="253">
        <v>4.4711151123046902</v>
      </c>
      <c r="O526" s="253">
        <v>4.5238728523254403</v>
      </c>
      <c r="P526" s="253">
        <v>4.5756058692932102</v>
      </c>
      <c r="Q526" s="253">
        <v>4.6275658607482901</v>
      </c>
      <c r="R526" s="253">
        <v>4.6890521049499503</v>
      </c>
      <c r="S526" s="253">
        <v>4.7516570091247603</v>
      </c>
      <c r="T526" s="253">
        <v>4.8052668571472203</v>
      </c>
      <c r="U526" s="253">
        <v>4.8599562644958496</v>
      </c>
      <c r="V526" s="253">
        <v>4.9139251708984402</v>
      </c>
      <c r="W526" s="253">
        <v>4.9674754142761204</v>
      </c>
      <c r="X526" s="253">
        <v>5.0218071937561</v>
      </c>
      <c r="Y526" s="253">
        <v>5.0773591995239302</v>
      </c>
    </row>
    <row r="527" spans="1:26" x14ac:dyDescent="0.2">
      <c r="A527" s="274" t="s">
        <v>478</v>
      </c>
      <c r="B527" s="253">
        <v>6.6170339584350604</v>
      </c>
      <c r="C527" s="253">
        <v>8.0769119262695295</v>
      </c>
      <c r="D527" s="253">
        <v>8.4474086761474592</v>
      </c>
      <c r="E527" s="253">
        <v>8.5042705535888707</v>
      </c>
      <c r="F527" s="253">
        <v>7.8856530189514196</v>
      </c>
      <c r="G527" s="253">
        <v>7.4673976898193404</v>
      </c>
      <c r="H527" s="253">
        <v>7.1177520751953098</v>
      </c>
      <c r="I527" s="253">
        <v>6.9923906326293901</v>
      </c>
      <c r="J527" s="253">
        <v>6.8716683387756303</v>
      </c>
      <c r="K527" s="253">
        <v>6.8934268951415998</v>
      </c>
      <c r="L527" s="253">
        <v>6.9598770141601598</v>
      </c>
      <c r="M527" s="253">
        <v>7.0576272010803196</v>
      </c>
      <c r="N527" s="253">
        <v>7.21203565597534</v>
      </c>
      <c r="O527" s="253">
        <v>7.32529544830322</v>
      </c>
      <c r="P527" s="253">
        <v>7.2944836616516104</v>
      </c>
      <c r="Q527" s="253">
        <v>7.2903637886047399</v>
      </c>
      <c r="R527" s="253">
        <v>7.3995337486267099</v>
      </c>
      <c r="S527" s="253">
        <v>7.56237888336182</v>
      </c>
      <c r="T527" s="253">
        <v>7.6814393997192401</v>
      </c>
      <c r="U527" s="253">
        <v>7.78521823883057</v>
      </c>
      <c r="V527" s="253">
        <v>7.8287162780761701</v>
      </c>
      <c r="W527" s="253">
        <v>7.8313083648681596</v>
      </c>
      <c r="X527" s="253">
        <v>7.8953433036804199</v>
      </c>
      <c r="Y527" s="253">
        <v>7.9576945304870597</v>
      </c>
      <c r="Z527" s="283">
        <f>Y527+($AI$357-$Y$527)/10</f>
        <v>8.0099991534203383</v>
      </c>
    </row>
    <row r="528" spans="1:26" x14ac:dyDescent="0.2">
      <c r="A528" s="276" t="s">
        <v>479</v>
      </c>
      <c r="B528" s="253">
        <v>23.353584289550799</v>
      </c>
      <c r="C528" s="253">
        <v>23.2374382019043</v>
      </c>
      <c r="D528" s="253">
        <v>23.0415229797363</v>
      </c>
      <c r="E528" s="253">
        <v>22.938554763793899</v>
      </c>
      <c r="F528" s="253">
        <v>21.8424968719482</v>
      </c>
      <c r="G528" s="253">
        <v>20.6924953460693</v>
      </c>
      <c r="H528" s="253">
        <v>20.1292018890381</v>
      </c>
      <c r="I528" s="253">
        <v>20.063879013061499</v>
      </c>
      <c r="J528" s="253">
        <v>19.9343872070313</v>
      </c>
      <c r="K528" s="253">
        <v>19.938108444213899</v>
      </c>
      <c r="L528" s="253">
        <v>20.262083053588899</v>
      </c>
      <c r="M528" s="253">
        <v>20.589830398559599</v>
      </c>
      <c r="N528" s="253">
        <v>21.038742065429702</v>
      </c>
      <c r="O528" s="253">
        <v>21.2544975280762</v>
      </c>
      <c r="P528" s="253">
        <v>21.300868988037099</v>
      </c>
      <c r="Q528" s="253">
        <v>21.4323215484619</v>
      </c>
      <c r="R528" s="253">
        <v>21.647081375122099</v>
      </c>
      <c r="S528" s="253">
        <v>21.937980651855501</v>
      </c>
      <c r="T528" s="253">
        <v>22.104045867919901</v>
      </c>
      <c r="U528" s="253">
        <v>22.281753540039102</v>
      </c>
      <c r="V528" s="253">
        <v>22.24875831604</v>
      </c>
      <c r="W528" s="253">
        <v>22.2471523284912</v>
      </c>
      <c r="X528" s="253">
        <v>22.287950515747099</v>
      </c>
      <c r="Y528" s="253">
        <v>22.4030246734619</v>
      </c>
      <c r="Z528" s="285">
        <f>Y528+($AI$358-$Y$528)/10</f>
        <v>22.313820934181763</v>
      </c>
    </row>
    <row r="529" spans="1:71" x14ac:dyDescent="0.2">
      <c r="A529" s="249" t="s">
        <v>440</v>
      </c>
      <c r="B529" s="253" t="s">
        <v>440</v>
      </c>
      <c r="C529" s="253" t="s">
        <v>440</v>
      </c>
      <c r="D529" s="253" t="s">
        <v>440</v>
      </c>
      <c r="E529" s="253" t="s">
        <v>440</v>
      </c>
      <c r="F529" s="253" t="s">
        <v>440</v>
      </c>
      <c r="G529" s="253" t="s">
        <v>440</v>
      </c>
      <c r="H529" s="253" t="s">
        <v>440</v>
      </c>
      <c r="I529" s="253" t="s">
        <v>440</v>
      </c>
      <c r="J529" s="253" t="s">
        <v>440</v>
      </c>
      <c r="K529" s="253" t="s">
        <v>440</v>
      </c>
      <c r="L529" s="253" t="s">
        <v>440</v>
      </c>
      <c r="M529" s="253" t="s">
        <v>440</v>
      </c>
      <c r="N529" s="253" t="s">
        <v>440</v>
      </c>
      <c r="O529" s="253" t="s">
        <v>440</v>
      </c>
      <c r="P529" s="253" t="s">
        <v>440</v>
      </c>
      <c r="Q529" s="253" t="s">
        <v>440</v>
      </c>
      <c r="R529" s="253" t="s">
        <v>440</v>
      </c>
      <c r="S529" s="253" t="s">
        <v>440</v>
      </c>
      <c r="T529" s="253" t="s">
        <v>440</v>
      </c>
      <c r="U529" s="253" t="s">
        <v>440</v>
      </c>
      <c r="V529" s="253" t="s">
        <v>440</v>
      </c>
      <c r="W529" s="253" t="s">
        <v>440</v>
      </c>
      <c r="X529" s="253" t="s">
        <v>440</v>
      </c>
      <c r="Y529" s="253" t="s">
        <v>440</v>
      </c>
    </row>
    <row r="530" spans="1:71" ht="13.5" thickBot="1" x14ac:dyDescent="0.25">
      <c r="A530" s="249" t="s">
        <v>482</v>
      </c>
      <c r="B530" s="253">
        <v>6.3922061920165998</v>
      </c>
      <c r="C530" s="253">
        <v>7.7839651107788104</v>
      </c>
      <c r="D530" s="253">
        <v>8.7301359176635707</v>
      </c>
      <c r="E530" s="253">
        <v>8.5276689529418892</v>
      </c>
      <c r="F530" s="253">
        <v>7.7321057319641104</v>
      </c>
      <c r="G530" s="253">
        <v>7.2916359901428196</v>
      </c>
      <c r="H530" s="253">
        <v>7.0938224792480504</v>
      </c>
      <c r="I530" s="253">
        <v>6.9649901390075701</v>
      </c>
      <c r="J530" s="253">
        <v>6.8520793914794904</v>
      </c>
      <c r="K530" s="253">
        <v>6.8315567970275897</v>
      </c>
      <c r="L530" s="253">
        <v>6.8953166007995597</v>
      </c>
      <c r="M530" s="253">
        <v>6.99013376235962</v>
      </c>
      <c r="N530" s="253">
        <v>7.1103782653808603</v>
      </c>
      <c r="O530" s="253">
        <v>7.2379879951477104</v>
      </c>
      <c r="P530" s="253">
        <v>7.276611328125</v>
      </c>
      <c r="Q530" s="253">
        <v>7.3343372344970703</v>
      </c>
      <c r="R530" s="253">
        <v>7.4634890556335396</v>
      </c>
      <c r="S530" s="253">
        <v>7.6215224266052202</v>
      </c>
      <c r="T530" s="253">
        <v>7.7529444694518999</v>
      </c>
      <c r="U530" s="253">
        <v>7.8803434371948198</v>
      </c>
      <c r="V530" s="253">
        <v>7.9471721649169904</v>
      </c>
      <c r="W530" s="253">
        <v>7.99715328216553</v>
      </c>
      <c r="X530" s="253">
        <v>8.05676174163818</v>
      </c>
      <c r="Y530" s="253">
        <v>8.1260271072387695</v>
      </c>
    </row>
    <row r="531" spans="1:71" ht="13.5" thickBot="1" x14ac:dyDescent="0.25">
      <c r="A531" s="249" t="s">
        <v>483</v>
      </c>
      <c r="B531" s="253">
        <v>4.9298634529113796</v>
      </c>
      <c r="C531" s="253">
        <v>6.4939708709716797</v>
      </c>
      <c r="D531" s="253">
        <v>7.4592456817626998</v>
      </c>
      <c r="E531" s="253">
        <v>7.2321572303771999</v>
      </c>
      <c r="F531" s="253">
        <v>6.3973078727722203</v>
      </c>
      <c r="G531" s="253">
        <v>5.9808039665222203</v>
      </c>
      <c r="H531" s="253">
        <v>5.7940292358398402</v>
      </c>
      <c r="I531" s="253">
        <v>5.64864206314087</v>
      </c>
      <c r="J531" s="253">
        <v>5.54791307449341</v>
      </c>
      <c r="K531" s="253">
        <v>5.5448842048645002</v>
      </c>
      <c r="L531" s="253">
        <v>5.5862631797790501</v>
      </c>
      <c r="M531" s="253">
        <v>5.6484580039978001</v>
      </c>
      <c r="N531" s="253">
        <v>5.7157526016235396</v>
      </c>
      <c r="O531" s="253">
        <v>5.8273496627807599</v>
      </c>
      <c r="P531" s="253">
        <v>5.8644676208496103</v>
      </c>
      <c r="Q531" s="253">
        <v>5.9049983024597203</v>
      </c>
      <c r="R531" s="253">
        <v>6.0105843544006303</v>
      </c>
      <c r="S531" s="253">
        <v>6.1420850753784197</v>
      </c>
      <c r="T531" s="253">
        <v>6.2661328315734899</v>
      </c>
      <c r="U531" s="253">
        <v>6.3902029991149902</v>
      </c>
      <c r="V531" s="253">
        <v>6.4639844894409197</v>
      </c>
      <c r="W531" s="253">
        <v>6.5222811698913601</v>
      </c>
      <c r="X531" s="253">
        <v>6.5781168937683097</v>
      </c>
      <c r="Y531" s="253">
        <v>6.6401424407959002</v>
      </c>
      <c r="AA531" s="296">
        <f>Z701+($AI$531-$Y$701)/10</f>
        <v>1.6707610713595051</v>
      </c>
      <c r="AB531" s="296">
        <f t="shared" ref="AB531:AH531" si="75">AA531+($AI$531-$Y$701)/10</f>
        <v>1.7872284374395671</v>
      </c>
      <c r="AC531" s="296">
        <f t="shared" si="75"/>
        <v>1.903695803519629</v>
      </c>
      <c r="AD531" s="296">
        <f t="shared" si="75"/>
        <v>2.0201631695996909</v>
      </c>
      <c r="AE531" s="296">
        <f t="shared" si="75"/>
        <v>2.1366305356797528</v>
      </c>
      <c r="AF531" s="296">
        <f t="shared" si="75"/>
        <v>2.2530979017598147</v>
      </c>
      <c r="AG531" s="296">
        <f t="shared" si="75"/>
        <v>2.3695652678398766</v>
      </c>
      <c r="AH531" s="296">
        <f t="shared" si="75"/>
        <v>2.4860326339199386</v>
      </c>
      <c r="AI531" s="301">
        <v>2.6025</v>
      </c>
      <c r="AJ531" s="296">
        <f>AI531+($BM$531-$AI$531)/30</f>
        <v>2.6824166666666667</v>
      </c>
      <c r="AK531" s="296">
        <f t="shared" ref="AK531:BR531" si="76">AJ531+($BM$531-$AI$531)/30</f>
        <v>2.7623333333333333</v>
      </c>
      <c r="AL531" s="296">
        <f t="shared" si="76"/>
        <v>2.8422499999999999</v>
      </c>
      <c r="AM531" s="296">
        <f t="shared" si="76"/>
        <v>2.9221666666666666</v>
      </c>
      <c r="AN531" s="296">
        <f t="shared" si="76"/>
        <v>3.0020833333333332</v>
      </c>
      <c r="AO531" s="296">
        <f t="shared" si="76"/>
        <v>3.0819999999999999</v>
      </c>
      <c r="AP531" s="296">
        <f t="shared" si="76"/>
        <v>3.1619166666666665</v>
      </c>
      <c r="AQ531" s="296">
        <f t="shared" si="76"/>
        <v>3.2418333333333331</v>
      </c>
      <c r="AR531" s="296">
        <f t="shared" si="76"/>
        <v>3.3217499999999998</v>
      </c>
      <c r="AS531" s="296">
        <f t="shared" si="76"/>
        <v>3.4016666666666664</v>
      </c>
      <c r="AT531" s="296">
        <f t="shared" si="76"/>
        <v>3.481583333333333</v>
      </c>
      <c r="AU531" s="296">
        <f t="shared" si="76"/>
        <v>3.5614999999999997</v>
      </c>
      <c r="AV531" s="296">
        <f t="shared" si="76"/>
        <v>3.6414166666666663</v>
      </c>
      <c r="AW531" s="296">
        <f t="shared" si="76"/>
        <v>3.7213333333333329</v>
      </c>
      <c r="AX531" s="296">
        <f t="shared" si="76"/>
        <v>3.8012499999999996</v>
      </c>
      <c r="AY531" s="296">
        <f t="shared" si="76"/>
        <v>3.8811666666666662</v>
      </c>
      <c r="AZ531" s="296">
        <f t="shared" si="76"/>
        <v>3.9610833333333328</v>
      </c>
      <c r="BA531" s="296">
        <f t="shared" si="76"/>
        <v>4.0409999999999995</v>
      </c>
      <c r="BB531" s="296">
        <f t="shared" si="76"/>
        <v>4.1209166666666661</v>
      </c>
      <c r="BC531" s="296">
        <f t="shared" si="76"/>
        <v>4.2008333333333328</v>
      </c>
      <c r="BD531" s="296">
        <f t="shared" si="76"/>
        <v>4.2807499999999994</v>
      </c>
      <c r="BE531" s="296">
        <f t="shared" si="76"/>
        <v>4.360666666666666</v>
      </c>
      <c r="BF531" s="296">
        <f t="shared" si="76"/>
        <v>4.4405833333333327</v>
      </c>
      <c r="BG531" s="296">
        <f t="shared" si="76"/>
        <v>4.5204999999999993</v>
      </c>
      <c r="BH531" s="296">
        <f t="shared" si="76"/>
        <v>4.6004166666666659</v>
      </c>
      <c r="BI531" s="296">
        <f t="shared" si="76"/>
        <v>4.6803333333333326</v>
      </c>
      <c r="BJ531" s="296">
        <f t="shared" si="76"/>
        <v>4.7602499999999992</v>
      </c>
      <c r="BK531" s="296">
        <f t="shared" si="76"/>
        <v>4.8401666666666658</v>
      </c>
      <c r="BL531" s="296">
        <f t="shared" si="76"/>
        <v>4.9200833333333325</v>
      </c>
      <c r="BM531" s="299">
        <v>5</v>
      </c>
      <c r="BN531" s="296">
        <f t="shared" si="76"/>
        <v>5.0799166666666666</v>
      </c>
      <c r="BO531" s="296">
        <f t="shared" si="76"/>
        <v>5.1598333333333333</v>
      </c>
      <c r="BP531" s="296">
        <f t="shared" si="76"/>
        <v>5.2397499999999999</v>
      </c>
      <c r="BQ531" s="296">
        <f t="shared" si="76"/>
        <v>5.3196666666666665</v>
      </c>
      <c r="BR531" s="296">
        <f t="shared" si="76"/>
        <v>5.3995833333333332</v>
      </c>
    </row>
    <row r="532" spans="1:71" x14ac:dyDescent="0.2">
      <c r="A532" s="249" t="s">
        <v>475</v>
      </c>
      <c r="B532" s="253">
        <v>6.5291514396667498</v>
      </c>
      <c r="C532" s="253">
        <v>8.2850980758666992</v>
      </c>
      <c r="D532" s="253">
        <v>9.8001232147216797</v>
      </c>
      <c r="E532" s="253">
        <v>9.3072748184204102</v>
      </c>
      <c r="F532" s="253">
        <v>8.1255960464477504</v>
      </c>
      <c r="G532" s="253">
        <v>7.6394152641296396</v>
      </c>
      <c r="H532" s="253">
        <v>7.5353851318359402</v>
      </c>
      <c r="I532" s="253">
        <v>7.29905128479004</v>
      </c>
      <c r="J532" s="253">
        <v>7.2437157630920401</v>
      </c>
      <c r="K532" s="253">
        <v>7.2615475654602104</v>
      </c>
      <c r="L532" s="253">
        <v>7.28952884674072</v>
      </c>
      <c r="M532" s="253">
        <v>7.3323044776916504</v>
      </c>
      <c r="N532" s="253">
        <v>7.3129158020019496</v>
      </c>
      <c r="O532" s="253">
        <v>7.4180650711059597</v>
      </c>
      <c r="P532" s="253">
        <v>7.5101509094238299</v>
      </c>
      <c r="Q532" s="253">
        <v>7.5518846511840803</v>
      </c>
      <c r="R532" s="253">
        <v>7.6326026916503897</v>
      </c>
      <c r="S532" s="253">
        <v>7.7444272041320801</v>
      </c>
      <c r="T532" s="253">
        <v>7.8752341270446804</v>
      </c>
      <c r="U532" s="253">
        <v>8.0334920883178693</v>
      </c>
      <c r="V532" s="253">
        <v>8.1469945907592791</v>
      </c>
      <c r="W532" s="253">
        <v>8.2539978027343803</v>
      </c>
      <c r="X532" s="253">
        <v>8.3047761917114293</v>
      </c>
      <c r="Y532" s="253">
        <v>8.3638219833374006</v>
      </c>
      <c r="AA532" s="299">
        <v>8.7353999999999985</v>
      </c>
      <c r="AB532" s="299">
        <v>8.7353999999999985</v>
      </c>
      <c r="AC532" s="299">
        <v>8.7353999999999985</v>
      </c>
      <c r="AD532" s="299">
        <v>8.7353999999999985</v>
      </c>
      <c r="AE532" s="299">
        <v>8.7353999999999985</v>
      </c>
      <c r="AF532" s="299">
        <v>8.7353999999999985</v>
      </c>
      <c r="AG532" s="299">
        <v>8.7353999999999985</v>
      </c>
      <c r="AH532" s="299">
        <v>8.2799999999999994</v>
      </c>
      <c r="AI532" s="299">
        <v>8.2799999999999994</v>
      </c>
      <c r="AJ532" s="289">
        <f>AI532+($AX$532-$AI$532)/15</f>
        <v>8.2855063337213686</v>
      </c>
      <c r="AK532" s="289">
        <f t="shared" ref="AK532:AW532" si="77">AJ532+($AX$532-$AI$532)/15</f>
        <v>8.2910126674427378</v>
      </c>
      <c r="AL532" s="289">
        <f t="shared" si="77"/>
        <v>8.296519001164107</v>
      </c>
      <c r="AM532" s="289">
        <f t="shared" si="77"/>
        <v>8.3020253348854762</v>
      </c>
      <c r="AN532" s="289">
        <f t="shared" si="77"/>
        <v>8.3075316686068454</v>
      </c>
      <c r="AO532" s="289">
        <f t="shared" si="77"/>
        <v>8.3130380023282147</v>
      </c>
      <c r="AP532" s="289">
        <f t="shared" si="77"/>
        <v>8.3185443360495839</v>
      </c>
      <c r="AQ532" s="289">
        <f t="shared" si="77"/>
        <v>8.3240506697709531</v>
      </c>
      <c r="AR532" s="289">
        <f t="shared" si="77"/>
        <v>8.3295570034923223</v>
      </c>
      <c r="AS532" s="289">
        <f t="shared" si="77"/>
        <v>8.3350633372136915</v>
      </c>
      <c r="AT532" s="289">
        <f t="shared" si="77"/>
        <v>8.3405696709350607</v>
      </c>
      <c r="AU532" s="289">
        <f t="shared" si="77"/>
        <v>8.34607600465643</v>
      </c>
      <c r="AV532" s="289">
        <f t="shared" si="77"/>
        <v>8.3515823383777992</v>
      </c>
      <c r="AW532" s="289">
        <f t="shared" si="77"/>
        <v>8.3570886720991684</v>
      </c>
      <c r="AX532" s="294">
        <f>AI532*$B$747</f>
        <v>8.3625950058205305</v>
      </c>
      <c r="AY532" s="289">
        <f>AX532+($BM$532-$AX$532)/15</f>
        <v>8.3654368677345836</v>
      </c>
      <c r="AZ532" s="289">
        <f t="shared" ref="AZ532:BL532" si="78">AY532+($BM$532-$AX$532)/15</f>
        <v>8.3682787296486367</v>
      </c>
      <c r="BA532" s="289">
        <f t="shared" si="78"/>
        <v>8.3711205915626898</v>
      </c>
      <c r="BB532" s="289">
        <f t="shared" si="78"/>
        <v>8.373962453476743</v>
      </c>
      <c r="BC532" s="289">
        <f t="shared" si="78"/>
        <v>8.3768043153907961</v>
      </c>
      <c r="BD532" s="289">
        <f t="shared" si="78"/>
        <v>8.3796461773048492</v>
      </c>
      <c r="BE532" s="289">
        <f t="shared" si="78"/>
        <v>8.3824880392189023</v>
      </c>
      <c r="BF532" s="289">
        <f t="shared" si="78"/>
        <v>8.3853299011329554</v>
      </c>
      <c r="BG532" s="289">
        <f t="shared" si="78"/>
        <v>8.3881717630470085</v>
      </c>
      <c r="BH532" s="289">
        <f t="shared" si="78"/>
        <v>8.3910136249610616</v>
      </c>
      <c r="BI532" s="289">
        <f t="shared" si="78"/>
        <v>8.3938554868751147</v>
      </c>
      <c r="BJ532" s="289">
        <f t="shared" si="78"/>
        <v>8.3966973487891678</v>
      </c>
      <c r="BK532" s="289">
        <f t="shared" si="78"/>
        <v>8.399539210703221</v>
      </c>
      <c r="BL532" s="289">
        <f t="shared" si="78"/>
        <v>8.4023810726172741</v>
      </c>
      <c r="BM532" s="294">
        <f>AX532*$C$747</f>
        <v>8.4052229345313236</v>
      </c>
      <c r="BN532" s="289">
        <f>BM532+($BR$532-$BM$532)/5</f>
        <v>8.4080792827007791</v>
      </c>
      <c r="BO532" s="289">
        <f>BN532+($BR$532-$BM$532)/5</f>
        <v>8.4109356308702345</v>
      </c>
      <c r="BP532" s="289">
        <f>BO532+($BR$532-$BM$532)/5</f>
        <v>8.41379197903969</v>
      </c>
      <c r="BQ532" s="289">
        <f>BP532+($BR$532-$BM$532)/5</f>
        <v>8.4166483272091455</v>
      </c>
      <c r="BR532" s="294">
        <f>BM532*$D$747</f>
        <v>8.4195046753785974</v>
      </c>
    </row>
    <row r="533" spans="1:71" x14ac:dyDescent="0.2">
      <c r="A533" s="249" t="s">
        <v>476</v>
      </c>
      <c r="B533" s="253">
        <v>6.3323707580566397</v>
      </c>
      <c r="C533" s="253">
        <v>7.2384452819824201</v>
      </c>
      <c r="D533" s="253">
        <v>7.96527099609375</v>
      </c>
      <c r="E533" s="253">
        <v>7.6527137756347701</v>
      </c>
      <c r="F533" s="253">
        <v>7.15256595611572</v>
      </c>
      <c r="G533" s="253">
        <v>6.8207654953002903</v>
      </c>
      <c r="H533" s="253">
        <v>6.8779778480529803</v>
      </c>
      <c r="I533" s="253">
        <v>6.7174663543701199</v>
      </c>
      <c r="J533" s="253">
        <v>6.78255271911621</v>
      </c>
      <c r="K533" s="253">
        <v>7.1339807510376003</v>
      </c>
      <c r="L533" s="253">
        <v>7.1601362228393599</v>
      </c>
      <c r="M533" s="253">
        <v>7.1876134872436497</v>
      </c>
      <c r="N533" s="253">
        <v>7.1760501861572301</v>
      </c>
      <c r="O533" s="253">
        <v>7.19400835037231</v>
      </c>
      <c r="P533" s="253">
        <v>7.2192950248718297</v>
      </c>
      <c r="Q533" s="253">
        <v>7.2771706581115696</v>
      </c>
      <c r="R533" s="253">
        <v>7.32332468032837</v>
      </c>
      <c r="S533" s="253">
        <v>7.37906789779663</v>
      </c>
      <c r="T533" s="253">
        <v>7.3721222877502397</v>
      </c>
      <c r="U533" s="253">
        <v>7.4461221694946298</v>
      </c>
      <c r="V533" s="253">
        <v>7.5145907402038601</v>
      </c>
      <c r="W533" s="253">
        <v>7.4954967498779297</v>
      </c>
      <c r="X533" s="253">
        <v>7.5633401870727504</v>
      </c>
      <c r="Y533" s="253">
        <v>7.7325506210327104</v>
      </c>
      <c r="AA533" s="300">
        <v>4.78</v>
      </c>
      <c r="AB533" s="300">
        <v>4.78</v>
      </c>
      <c r="AC533" s="300">
        <v>4.78</v>
      </c>
      <c r="AD533" s="300">
        <v>4.78</v>
      </c>
      <c r="AE533" s="300">
        <v>4.78</v>
      </c>
      <c r="AF533" s="300">
        <v>4.78</v>
      </c>
      <c r="AG533" s="300">
        <v>4.78</v>
      </c>
      <c r="AH533" s="300">
        <v>4.78</v>
      </c>
      <c r="AI533" s="300">
        <v>4.78</v>
      </c>
      <c r="AJ533" s="300">
        <v>4.78</v>
      </c>
      <c r="AK533" s="300">
        <v>4.78</v>
      </c>
      <c r="AL533" s="300">
        <v>4.78</v>
      </c>
      <c r="AM533" s="300">
        <v>4.78</v>
      </c>
      <c r="AN533" s="300">
        <v>4.78</v>
      </c>
      <c r="AO533" s="300">
        <v>4.78</v>
      </c>
      <c r="AP533" s="300">
        <v>4.78</v>
      </c>
      <c r="AQ533" s="300">
        <v>4.78</v>
      </c>
      <c r="AR533" s="300">
        <v>4.78</v>
      </c>
      <c r="AS533" s="300">
        <v>4.78</v>
      </c>
      <c r="AT533" s="300">
        <v>4.78</v>
      </c>
      <c r="AU533" s="300">
        <v>4.78</v>
      </c>
      <c r="AV533" s="300">
        <v>4.78</v>
      </c>
      <c r="AW533" s="300">
        <v>4.78</v>
      </c>
      <c r="AX533" s="300">
        <v>4.78</v>
      </c>
      <c r="AY533" s="300">
        <v>4.78</v>
      </c>
      <c r="AZ533" s="300">
        <v>4.78</v>
      </c>
      <c r="BA533" s="300">
        <v>4.78</v>
      </c>
      <c r="BB533" s="300">
        <v>4.78</v>
      </c>
      <c r="BC533" s="300">
        <v>4.78</v>
      </c>
      <c r="BD533" s="300">
        <v>4.78</v>
      </c>
      <c r="BE533" s="300">
        <v>4.78</v>
      </c>
      <c r="BF533" s="300">
        <v>4.78</v>
      </c>
      <c r="BG533" s="300">
        <v>4.78</v>
      </c>
      <c r="BH533" s="300">
        <v>4.78</v>
      </c>
      <c r="BI533" s="300">
        <v>4.78</v>
      </c>
      <c r="BJ533" s="300">
        <v>4.78</v>
      </c>
      <c r="BK533" s="300">
        <v>4.78</v>
      </c>
      <c r="BL533" s="300">
        <v>4.78</v>
      </c>
      <c r="BM533" s="300">
        <v>4.78</v>
      </c>
      <c r="BN533" s="300">
        <v>4.78</v>
      </c>
      <c r="BO533" s="300">
        <v>4.78</v>
      </c>
      <c r="BP533" s="300">
        <v>4.78</v>
      </c>
      <c r="BQ533" s="300">
        <v>4.78</v>
      </c>
      <c r="BR533" s="300">
        <v>4.78</v>
      </c>
      <c r="BS533" s="222"/>
    </row>
    <row r="534" spans="1:71" x14ac:dyDescent="0.2">
      <c r="A534" s="249" t="s">
        <v>477</v>
      </c>
      <c r="B534" s="253">
        <v>8.4833917617797905</v>
      </c>
      <c r="C534" s="253">
        <v>12.566796302795399</v>
      </c>
      <c r="D534" s="253">
        <v>15.1470994949341</v>
      </c>
      <c r="E534" s="253">
        <v>13.2375335693359</v>
      </c>
      <c r="F534" s="253">
        <v>11.1595468521118</v>
      </c>
      <c r="G534" s="253">
        <v>10.509430885314901</v>
      </c>
      <c r="H534" s="253">
        <v>10.3245944976807</v>
      </c>
      <c r="I534" s="253">
        <v>10.044970512390099</v>
      </c>
      <c r="J534" s="253">
        <v>10.0157480239868</v>
      </c>
      <c r="K534" s="253">
        <v>9.9449577331543004</v>
      </c>
      <c r="L534" s="253">
        <v>10.002993583679199</v>
      </c>
      <c r="M534" s="253">
        <v>10.097089767456101</v>
      </c>
      <c r="N534" s="253">
        <v>10.020875930786101</v>
      </c>
      <c r="O534" s="253">
        <v>10.2241611480713</v>
      </c>
      <c r="P534" s="253">
        <v>10.3367824554443</v>
      </c>
      <c r="Q534" s="253">
        <v>10.319104194641101</v>
      </c>
      <c r="R534" s="253">
        <v>10.409514427185099</v>
      </c>
      <c r="S534" s="253">
        <v>10.552604675293001</v>
      </c>
      <c r="T534" s="253">
        <v>10.737306594848601</v>
      </c>
      <c r="U534" s="253">
        <v>10.9299325942993</v>
      </c>
      <c r="V534" s="253">
        <v>11.0452260971069</v>
      </c>
      <c r="W534" s="253">
        <v>11.198148727416999</v>
      </c>
      <c r="X534" s="253">
        <v>11.303442955017101</v>
      </c>
      <c r="Y534" s="253">
        <v>11.352322578430201</v>
      </c>
      <c r="AA534" s="299" t="e">
        <f t="shared" ref="AA534:AG534" si="79">AA533*GJ_p_MMBtu</f>
        <v>#NAME?</v>
      </c>
      <c r="AB534" s="299" t="e">
        <f t="shared" si="79"/>
        <v>#NAME?</v>
      </c>
      <c r="AC534" s="299" t="e">
        <f t="shared" si="79"/>
        <v>#NAME?</v>
      </c>
      <c r="AD534" s="299" t="e">
        <f t="shared" si="79"/>
        <v>#NAME?</v>
      </c>
      <c r="AE534" s="299" t="e">
        <f t="shared" si="79"/>
        <v>#NAME?</v>
      </c>
      <c r="AF534" s="299" t="e">
        <f t="shared" si="79"/>
        <v>#NAME?</v>
      </c>
      <c r="AG534" s="299" t="e">
        <f t="shared" si="79"/>
        <v>#NAME?</v>
      </c>
      <c r="AH534" s="299" t="e">
        <f t="shared" ref="AH534:BM534" si="80">AH533*GJ_p_MMBtu</f>
        <v>#NAME?</v>
      </c>
      <c r="AI534" s="299" t="e">
        <f t="shared" si="80"/>
        <v>#NAME?</v>
      </c>
      <c r="AJ534" s="299" t="e">
        <f t="shared" si="80"/>
        <v>#NAME?</v>
      </c>
      <c r="AK534" s="299" t="e">
        <f t="shared" si="80"/>
        <v>#NAME?</v>
      </c>
      <c r="AL534" s="299" t="e">
        <f t="shared" si="80"/>
        <v>#NAME?</v>
      </c>
      <c r="AM534" s="299" t="e">
        <f t="shared" si="80"/>
        <v>#NAME?</v>
      </c>
      <c r="AN534" s="299" t="e">
        <f t="shared" si="80"/>
        <v>#NAME?</v>
      </c>
      <c r="AO534" s="299" t="e">
        <f t="shared" si="80"/>
        <v>#NAME?</v>
      </c>
      <c r="AP534" s="299" t="e">
        <f t="shared" si="80"/>
        <v>#NAME?</v>
      </c>
      <c r="AQ534" s="299" t="e">
        <f t="shared" si="80"/>
        <v>#NAME?</v>
      </c>
      <c r="AR534" s="299" t="e">
        <f t="shared" si="80"/>
        <v>#NAME?</v>
      </c>
      <c r="AS534" s="299" t="e">
        <f t="shared" si="80"/>
        <v>#NAME?</v>
      </c>
      <c r="AT534" s="299" t="e">
        <f t="shared" si="80"/>
        <v>#NAME?</v>
      </c>
      <c r="AU534" s="299" t="e">
        <f t="shared" si="80"/>
        <v>#NAME?</v>
      </c>
      <c r="AV534" s="299" t="e">
        <f t="shared" si="80"/>
        <v>#NAME?</v>
      </c>
      <c r="AW534" s="299" t="e">
        <f t="shared" si="80"/>
        <v>#NAME?</v>
      </c>
      <c r="AX534" s="299" t="e">
        <f t="shared" si="80"/>
        <v>#NAME?</v>
      </c>
      <c r="AY534" s="299" t="e">
        <f t="shared" si="80"/>
        <v>#NAME?</v>
      </c>
      <c r="AZ534" s="299" t="e">
        <f t="shared" si="80"/>
        <v>#NAME?</v>
      </c>
      <c r="BA534" s="299" t="e">
        <f t="shared" si="80"/>
        <v>#NAME?</v>
      </c>
      <c r="BB534" s="299" t="e">
        <f t="shared" si="80"/>
        <v>#NAME?</v>
      </c>
      <c r="BC534" s="299" t="e">
        <f t="shared" si="80"/>
        <v>#NAME?</v>
      </c>
      <c r="BD534" s="299" t="e">
        <f t="shared" si="80"/>
        <v>#NAME?</v>
      </c>
      <c r="BE534" s="299" t="e">
        <f t="shared" si="80"/>
        <v>#NAME?</v>
      </c>
      <c r="BF534" s="299" t="e">
        <f t="shared" si="80"/>
        <v>#NAME?</v>
      </c>
      <c r="BG534" s="299" t="e">
        <f t="shared" si="80"/>
        <v>#NAME?</v>
      </c>
      <c r="BH534" s="299" t="e">
        <f t="shared" si="80"/>
        <v>#NAME?</v>
      </c>
      <c r="BI534" s="299" t="e">
        <f t="shared" si="80"/>
        <v>#NAME?</v>
      </c>
      <c r="BJ534" s="299" t="e">
        <f t="shared" si="80"/>
        <v>#NAME?</v>
      </c>
      <c r="BK534" s="299" t="e">
        <f t="shared" si="80"/>
        <v>#NAME?</v>
      </c>
      <c r="BL534" s="299" t="e">
        <f t="shared" si="80"/>
        <v>#NAME?</v>
      </c>
      <c r="BM534" s="299" t="e">
        <f t="shared" si="80"/>
        <v>#NAME?</v>
      </c>
      <c r="BN534" s="299" t="e">
        <f>BN533*GJ_p_MMBtu</f>
        <v>#NAME?</v>
      </c>
      <c r="BO534" s="299" t="e">
        <f>BO533*GJ_p_MMBtu</f>
        <v>#NAME?</v>
      </c>
      <c r="BP534" s="299" t="e">
        <f>BP533*GJ_p_MMBtu</f>
        <v>#NAME?</v>
      </c>
      <c r="BQ534" s="299" t="e">
        <f>BQ533*GJ_p_MMBtu</f>
        <v>#NAME?</v>
      </c>
      <c r="BR534" s="299" t="e">
        <f>BR533*GJ_p_MMBtu</f>
        <v>#NAME?</v>
      </c>
    </row>
    <row r="535" spans="1:71" ht="51" customHeight="1" x14ac:dyDescent="0.2">
      <c r="A535" s="249" t="s">
        <v>481</v>
      </c>
      <c r="B535" s="253">
        <v>3.9384419918060298</v>
      </c>
      <c r="C535" s="253">
        <v>4.5867881774902299</v>
      </c>
      <c r="D535" s="253">
        <v>4.6800308227539098</v>
      </c>
      <c r="E535" s="253">
        <v>4.9388971328735396</v>
      </c>
      <c r="F535" s="253">
        <v>4.6724338531494096</v>
      </c>
      <c r="G535" s="253">
        <v>4.2573971748352104</v>
      </c>
      <c r="H535" s="253">
        <v>4.0660681724548304</v>
      </c>
      <c r="I535" s="253">
        <v>3.9201312065124498</v>
      </c>
      <c r="J535" s="253">
        <v>3.8699574470520002</v>
      </c>
      <c r="K535" s="253">
        <v>3.9242179393768302</v>
      </c>
      <c r="L535" s="253">
        <v>3.9701111316680899</v>
      </c>
      <c r="M535" s="253">
        <v>4.0123748779296902</v>
      </c>
      <c r="N535" s="253">
        <v>4.03127193450928</v>
      </c>
      <c r="O535" s="253">
        <v>4.0987625122070304</v>
      </c>
      <c r="P535" s="253">
        <v>4.1393604278564498</v>
      </c>
      <c r="Q535" s="253">
        <v>4.1877317428588903</v>
      </c>
      <c r="R535" s="253">
        <v>4.2278647422790501</v>
      </c>
      <c r="S535" s="253">
        <v>4.2813539505004901</v>
      </c>
      <c r="T535" s="253">
        <v>4.3376803398132298</v>
      </c>
      <c r="U535" s="253">
        <v>4.4096555709838903</v>
      </c>
      <c r="V535" s="253">
        <v>4.4638853073120099</v>
      </c>
      <c r="W535" s="253">
        <v>4.5156707763671902</v>
      </c>
      <c r="X535" s="253">
        <v>4.5648870468139604</v>
      </c>
      <c r="Y535" s="253">
        <v>4.6165790557861301</v>
      </c>
      <c r="AA535" s="253"/>
      <c r="AB535" s="253"/>
      <c r="AC535" s="253"/>
      <c r="AD535" s="253"/>
      <c r="AE535" s="253"/>
      <c r="AF535" s="253"/>
      <c r="AG535" s="253"/>
      <c r="AH535" s="253"/>
    </row>
    <row r="536" spans="1:71" x14ac:dyDescent="0.2">
      <c r="A536" s="274" t="s">
        <v>484</v>
      </c>
      <c r="B536" s="253">
        <v>3.88655662536621</v>
      </c>
      <c r="C536" s="253">
        <v>5.55936574935913</v>
      </c>
      <c r="D536" s="253">
        <v>6.0491561889648402</v>
      </c>
      <c r="E536" s="253">
        <v>6.0767245292663601</v>
      </c>
      <c r="F536" s="253">
        <v>5.4288315773010298</v>
      </c>
      <c r="G536" s="253">
        <v>4.9784579277038601</v>
      </c>
      <c r="H536" s="253">
        <v>4.6095819473266602</v>
      </c>
      <c r="I536" s="253">
        <v>4.5152282714843803</v>
      </c>
      <c r="J536" s="253">
        <v>4.3734540939331099</v>
      </c>
      <c r="K536" s="253">
        <v>4.3719940185546902</v>
      </c>
      <c r="L536" s="253">
        <v>4.4435229301452601</v>
      </c>
      <c r="M536" s="253">
        <v>4.5411396026611301</v>
      </c>
      <c r="N536" s="253">
        <v>4.7005810737609899</v>
      </c>
      <c r="O536" s="253">
        <v>4.81768798828125</v>
      </c>
      <c r="P536" s="253">
        <v>4.7900476455688503</v>
      </c>
      <c r="Q536" s="253">
        <v>4.8231658935546902</v>
      </c>
      <c r="R536" s="253">
        <v>4.9558763504028303</v>
      </c>
      <c r="S536" s="253">
        <v>5.1147346496581996</v>
      </c>
      <c r="T536" s="253">
        <v>5.2329874038696298</v>
      </c>
      <c r="U536" s="253">
        <v>5.3250308036804199</v>
      </c>
      <c r="V536" s="253">
        <v>5.3559622764587402</v>
      </c>
      <c r="W536" s="253">
        <v>5.3499736785888699</v>
      </c>
      <c r="X536" s="253">
        <v>5.4079699516296396</v>
      </c>
      <c r="Y536" s="253">
        <v>5.4724006652831996</v>
      </c>
      <c r="Z536" s="283">
        <f>Y536+($AI$366-$Y$536)/10</f>
        <v>5.502911815190215</v>
      </c>
    </row>
    <row r="537" spans="1:71" x14ac:dyDescent="0.2">
      <c r="A537" s="249" t="s">
        <v>485</v>
      </c>
      <c r="B537" s="253">
        <v>1.88388228416443</v>
      </c>
      <c r="C537" s="253">
        <v>1.8499996662139899</v>
      </c>
      <c r="D537" s="253">
        <v>1.9631321430206301</v>
      </c>
      <c r="E537" s="253">
        <v>1.9065624475479099</v>
      </c>
      <c r="F537" s="253">
        <v>1.8876701593398999</v>
      </c>
      <c r="G537" s="253">
        <v>1.8568421602249101</v>
      </c>
      <c r="H537" s="253">
        <v>1.8503668308258101</v>
      </c>
      <c r="I537" s="253">
        <v>1.8461718559265099</v>
      </c>
      <c r="J537" s="253">
        <v>1.81827020645142</v>
      </c>
      <c r="K537" s="253">
        <v>1.79229772090912</v>
      </c>
      <c r="L537" s="253">
        <v>1.7775920629501301</v>
      </c>
      <c r="M537" s="253">
        <v>1.7720992565155</v>
      </c>
      <c r="N537" s="253">
        <v>1.7673192024230999</v>
      </c>
      <c r="O537" s="253">
        <v>1.76388168334961</v>
      </c>
      <c r="P537" s="253">
        <v>1.7582092285156301</v>
      </c>
      <c r="Q537" s="253">
        <v>1.7531107664108301</v>
      </c>
      <c r="R537" s="253">
        <v>1.7537478208541899</v>
      </c>
      <c r="S537" s="253">
        <v>1.7550060749053999</v>
      </c>
      <c r="T537" s="253">
        <v>1.75110328197479</v>
      </c>
      <c r="U537" s="253">
        <v>1.741095662117</v>
      </c>
      <c r="V537" s="253">
        <v>1.72283828258514</v>
      </c>
      <c r="W537" s="253">
        <v>1.7066173553466799</v>
      </c>
      <c r="X537" s="253">
        <v>1.6973831653595</v>
      </c>
      <c r="Y537" s="253">
        <v>1.68216860294342</v>
      </c>
    </row>
    <row r="538" spans="1:71" x14ac:dyDescent="0.2">
      <c r="A538" s="249" t="s">
        <v>486</v>
      </c>
      <c r="B538" s="253">
        <v>1.5976041555404701</v>
      </c>
      <c r="C538" s="253">
        <v>1.5543407201767001</v>
      </c>
      <c r="D538" s="253">
        <v>1.5665656328201301</v>
      </c>
      <c r="E538" s="253">
        <v>1.6037170886993399</v>
      </c>
      <c r="F538" s="253">
        <v>1.59409379959106</v>
      </c>
      <c r="G538" s="253">
        <v>1.5766631364822401</v>
      </c>
      <c r="H538" s="253">
        <v>1.5775339603424099</v>
      </c>
      <c r="I538" s="253">
        <v>1.5708864927291899</v>
      </c>
      <c r="J538" s="253">
        <v>1.5649564266204801</v>
      </c>
      <c r="K538" s="253">
        <v>1.56413578987122</v>
      </c>
      <c r="L538" s="253">
        <v>1.5547889471054099</v>
      </c>
      <c r="M538" s="253">
        <v>1.54732978343964</v>
      </c>
      <c r="N538" s="253">
        <v>1.54787278175354</v>
      </c>
      <c r="O538" s="253">
        <v>1.5495419502258301</v>
      </c>
      <c r="P538" s="253">
        <v>1.5494637489318801</v>
      </c>
      <c r="Q538" s="253">
        <v>1.5568271875381501</v>
      </c>
      <c r="R538" s="253">
        <v>1.55967605113983</v>
      </c>
      <c r="S538" s="253">
        <v>1.5613601207733201</v>
      </c>
      <c r="T538" s="253">
        <v>1.5625598430633501</v>
      </c>
      <c r="U538" s="253">
        <v>1.5681461095809901</v>
      </c>
      <c r="V538" s="253">
        <v>1.5708984136581401</v>
      </c>
      <c r="W538" s="253">
        <v>1.6035954952239999</v>
      </c>
      <c r="X538" s="253">
        <v>1.60524129867554</v>
      </c>
      <c r="Y538" s="253">
        <v>1.6024739742279099</v>
      </c>
    </row>
    <row r="539" spans="1:71" x14ac:dyDescent="0.2">
      <c r="A539" s="276" t="s">
        <v>479</v>
      </c>
      <c r="B539" s="253">
        <v>14.734835624694799</v>
      </c>
      <c r="C539" s="253">
        <v>15.0261535644531</v>
      </c>
      <c r="D539" s="253">
        <v>15.7151737213135</v>
      </c>
      <c r="E539" s="253">
        <v>15.5977983474731</v>
      </c>
      <c r="F539" s="253">
        <v>15.0554456710815</v>
      </c>
      <c r="G539" s="253">
        <v>14.415571212768601</v>
      </c>
      <c r="H539" s="253">
        <v>14.123340606689499</v>
      </c>
      <c r="I539" s="253">
        <v>14.033378601074199</v>
      </c>
      <c r="J539" s="253">
        <v>13.8423414230347</v>
      </c>
      <c r="K539" s="253">
        <v>13.6992740631104</v>
      </c>
      <c r="L539" s="253">
        <v>13.8484916687012</v>
      </c>
      <c r="M539" s="253">
        <v>14.089280128479</v>
      </c>
      <c r="N539" s="253">
        <v>14.438159942626999</v>
      </c>
      <c r="O539" s="253">
        <v>14.622407913208001</v>
      </c>
      <c r="P539" s="253">
        <v>14.680962562561</v>
      </c>
      <c r="Q539" s="253">
        <v>14.817166328430201</v>
      </c>
      <c r="R539" s="253">
        <v>15.035754203796399</v>
      </c>
      <c r="S539" s="253">
        <v>15.3131446838379</v>
      </c>
      <c r="T539" s="253">
        <v>15.467190742492701</v>
      </c>
      <c r="U539" s="253">
        <v>15.608844757080099</v>
      </c>
      <c r="V539" s="253">
        <v>15.623446464538601</v>
      </c>
      <c r="W539" s="253">
        <v>15.6070909500122</v>
      </c>
      <c r="X539" s="253">
        <v>15.6627254486084</v>
      </c>
      <c r="Y539" s="253">
        <v>15.7515544891357</v>
      </c>
      <c r="Z539" s="285">
        <f>Y539+($AI$369-$Y$539)/10</f>
        <v>15.681619149325263</v>
      </c>
    </row>
    <row r="540" spans="1:71" x14ac:dyDescent="0.2">
      <c r="A540" s="249" t="s">
        <v>440</v>
      </c>
      <c r="B540" s="253" t="s">
        <v>440</v>
      </c>
      <c r="C540" s="253" t="s">
        <v>440</v>
      </c>
      <c r="D540" s="253" t="s">
        <v>440</v>
      </c>
      <c r="E540" s="253" t="s">
        <v>440</v>
      </c>
      <c r="F540" s="253" t="s">
        <v>440</v>
      </c>
      <c r="G540" s="253" t="s">
        <v>440</v>
      </c>
      <c r="H540" s="253" t="s">
        <v>440</v>
      </c>
      <c r="I540" s="253" t="s">
        <v>440</v>
      </c>
      <c r="J540" s="253" t="s">
        <v>440</v>
      </c>
      <c r="K540" s="253" t="s">
        <v>440</v>
      </c>
      <c r="L540" s="253" t="s">
        <v>440</v>
      </c>
      <c r="M540" s="253" t="s">
        <v>440</v>
      </c>
      <c r="N540" s="253" t="s">
        <v>440</v>
      </c>
      <c r="O540" s="253" t="s">
        <v>440</v>
      </c>
      <c r="P540" s="253" t="s">
        <v>440</v>
      </c>
      <c r="Q540" s="253" t="s">
        <v>440</v>
      </c>
      <c r="R540" s="253" t="s">
        <v>440</v>
      </c>
      <c r="S540" s="253" t="s">
        <v>440</v>
      </c>
      <c r="T540" s="253" t="s">
        <v>440</v>
      </c>
      <c r="U540" s="253" t="s">
        <v>440</v>
      </c>
      <c r="V540" s="253" t="s">
        <v>440</v>
      </c>
      <c r="W540" s="253" t="s">
        <v>440</v>
      </c>
      <c r="X540" s="253" t="s">
        <v>440</v>
      </c>
      <c r="Y540" s="253" t="s">
        <v>440</v>
      </c>
    </row>
    <row r="541" spans="1:71" x14ac:dyDescent="0.2">
      <c r="A541" s="249" t="s">
        <v>487</v>
      </c>
      <c r="B541" s="253">
        <v>10.068477630615201</v>
      </c>
      <c r="C541" s="253">
        <v>11.4567165374756</v>
      </c>
      <c r="D541" s="253">
        <v>12.984972000122101</v>
      </c>
      <c r="E541" s="253">
        <v>12.646059036254901</v>
      </c>
      <c r="F541" s="253">
        <v>12.0215864181519</v>
      </c>
      <c r="G541" s="253">
        <v>11.451254844665501</v>
      </c>
      <c r="H541" s="253">
        <v>11.2903280258179</v>
      </c>
      <c r="I541" s="253">
        <v>11.054517745971699</v>
      </c>
      <c r="J541" s="253">
        <v>10.953487396240201</v>
      </c>
      <c r="K541" s="253">
        <v>10.9616088867188</v>
      </c>
      <c r="L541" s="253">
        <v>10.9120273590088</v>
      </c>
      <c r="M541" s="253">
        <v>10.9370317459106</v>
      </c>
      <c r="N541" s="253">
        <v>10.932166099548301</v>
      </c>
      <c r="O541" s="253">
        <v>10.949841499328601</v>
      </c>
      <c r="P541" s="253">
        <v>10.9948740005493</v>
      </c>
      <c r="Q541" s="253">
        <v>11.046938896179199</v>
      </c>
      <c r="R541" s="253">
        <v>11.074780464172401</v>
      </c>
      <c r="S541" s="253">
        <v>11.117128372192401</v>
      </c>
      <c r="T541" s="253">
        <v>11.155697822570801</v>
      </c>
      <c r="U541" s="253">
        <v>11.209436416626</v>
      </c>
      <c r="V541" s="253">
        <v>11.2737817764282</v>
      </c>
      <c r="W541" s="253">
        <v>11.3331050872803</v>
      </c>
      <c r="X541" s="253">
        <v>11.350456237793001</v>
      </c>
      <c r="Y541" s="253">
        <v>11.462995529174799</v>
      </c>
    </row>
    <row r="542" spans="1:71" x14ac:dyDescent="0.2">
      <c r="A542" s="249" t="s">
        <v>483</v>
      </c>
      <c r="B542" s="253">
        <v>10.0396184921265</v>
      </c>
      <c r="C542" s="253">
        <v>11.4297380447388</v>
      </c>
      <c r="D542" s="253">
        <v>12.961000442504901</v>
      </c>
      <c r="E542" s="253">
        <v>12.6219329833984</v>
      </c>
      <c r="F542" s="253">
        <v>11.9984340667725</v>
      </c>
      <c r="G542" s="253">
        <v>11.4290685653687</v>
      </c>
      <c r="H542" s="253">
        <v>11.2685947418213</v>
      </c>
      <c r="I542" s="253">
        <v>11.0320892333984</v>
      </c>
      <c r="J542" s="253">
        <v>10.930870056152299</v>
      </c>
      <c r="K542" s="253">
        <v>10.938961982727101</v>
      </c>
      <c r="L542" s="253">
        <v>10.8886499404907</v>
      </c>
      <c r="M542" s="253">
        <v>10.913072586059601</v>
      </c>
      <c r="N542" s="253">
        <v>10.9073333740234</v>
      </c>
      <c r="O542" s="253">
        <v>10.9247722625732</v>
      </c>
      <c r="P542" s="253">
        <v>10.969937324523899</v>
      </c>
      <c r="Q542" s="253">
        <v>11.021965980529799</v>
      </c>
      <c r="R542" s="253">
        <v>11.049379348754901</v>
      </c>
      <c r="S542" s="253">
        <v>11.0911350250244</v>
      </c>
      <c r="T542" s="253">
        <v>11.129392623901399</v>
      </c>
      <c r="U542" s="253">
        <v>11.182910919189499</v>
      </c>
      <c r="V542" s="253">
        <v>11.247509956359901</v>
      </c>
      <c r="W542" s="253">
        <v>11.307147026061999</v>
      </c>
      <c r="X542" s="253">
        <v>11.324338912963899</v>
      </c>
      <c r="Y542" s="253">
        <v>11.436959266662599</v>
      </c>
    </row>
    <row r="543" spans="1:71" x14ac:dyDescent="0.2">
      <c r="A543" s="249" t="s">
        <v>475</v>
      </c>
      <c r="B543" s="253">
        <v>10.0409812927246</v>
      </c>
      <c r="C543" s="253">
        <v>11.431476593017599</v>
      </c>
      <c r="D543" s="253">
        <v>12.9638833999634</v>
      </c>
      <c r="E543" s="253">
        <v>12.6248769760132</v>
      </c>
      <c r="F543" s="253">
        <v>12.0015964508057</v>
      </c>
      <c r="G543" s="253">
        <v>11.432228088378899</v>
      </c>
      <c r="H543" s="253">
        <v>11.2722625732422</v>
      </c>
      <c r="I543" s="253">
        <v>11.0358724594116</v>
      </c>
      <c r="J543" s="253">
        <v>10.934929847717299</v>
      </c>
      <c r="K543" s="253">
        <v>10.9432172775269</v>
      </c>
      <c r="L543" s="253">
        <v>10.892875671386699</v>
      </c>
      <c r="M543" s="253">
        <v>10.9173030853271</v>
      </c>
      <c r="N543" s="253">
        <v>10.911340713501</v>
      </c>
      <c r="O543" s="253">
        <v>10.928663253784199</v>
      </c>
      <c r="P543" s="253">
        <v>10.9740562438965</v>
      </c>
      <c r="Q543" s="253">
        <v>11.026309967041</v>
      </c>
      <c r="R543" s="253">
        <v>11.0536193847656</v>
      </c>
      <c r="S543" s="253">
        <v>11.0952548980713</v>
      </c>
      <c r="T543" s="253">
        <v>11.1333513259888</v>
      </c>
      <c r="U543" s="253">
        <v>11.1867895126343</v>
      </c>
      <c r="V543" s="253">
        <v>11.251508712768601</v>
      </c>
      <c r="W543" s="253">
        <v>11.3113117218018</v>
      </c>
      <c r="X543" s="253">
        <v>11.328408241271999</v>
      </c>
      <c r="Y543" s="253">
        <v>11.4412240982056</v>
      </c>
    </row>
    <row r="544" spans="1:71" x14ac:dyDescent="0.2">
      <c r="A544" s="280" t="s">
        <v>488</v>
      </c>
      <c r="B544" s="253">
        <v>9.5535230636596697</v>
      </c>
      <c r="C544" s="253">
        <v>10.9202365875244</v>
      </c>
      <c r="D544" s="253">
        <v>12.0208587646484</v>
      </c>
      <c r="E544" s="253">
        <v>11.5461339950562</v>
      </c>
      <c r="F544" s="253">
        <v>11.286841392517101</v>
      </c>
      <c r="G544" s="253">
        <v>11.003821372985801</v>
      </c>
      <c r="H544" s="253">
        <v>10.8476676940918</v>
      </c>
      <c r="I544" s="253">
        <v>10.675346374511699</v>
      </c>
      <c r="J544" s="253">
        <v>10.7599039077759</v>
      </c>
      <c r="K544" s="253">
        <v>10.8244476318359</v>
      </c>
      <c r="L544" s="253">
        <v>10.807107925415</v>
      </c>
      <c r="M544" s="253">
        <v>10.788902282714799</v>
      </c>
      <c r="N544" s="253">
        <v>10.7359352111816</v>
      </c>
      <c r="O544" s="253">
        <v>10.7108716964722</v>
      </c>
      <c r="P544" s="253">
        <v>10.6978845596313</v>
      </c>
      <c r="Q544" s="253">
        <v>10.720422744751</v>
      </c>
      <c r="R544" s="253">
        <v>10.715018272399901</v>
      </c>
      <c r="S544" s="253">
        <v>10.7237329483032</v>
      </c>
      <c r="T544" s="253">
        <v>10.658562660217299</v>
      </c>
      <c r="U544" s="253">
        <v>10.6896152496338</v>
      </c>
      <c r="V544" s="253">
        <v>10.7133436203003</v>
      </c>
      <c r="W544" s="253">
        <v>10.6396188735962</v>
      </c>
      <c r="X544" s="253">
        <v>10.6814889907837</v>
      </c>
      <c r="Y544" s="253">
        <v>10.8466644287109</v>
      </c>
      <c r="Z544" s="287">
        <f>Y544+($AI$374-$Y$544)/10</f>
        <v>11.215393895691953</v>
      </c>
    </row>
    <row r="545" spans="1:26" x14ac:dyDescent="0.2">
      <c r="A545" s="249" t="s">
        <v>489</v>
      </c>
      <c r="B545" s="253">
        <v>6.0538434982299796</v>
      </c>
      <c r="C545" s="253">
        <v>6.4578518867492702</v>
      </c>
      <c r="D545" s="253">
        <v>8.1168746948242205</v>
      </c>
      <c r="E545" s="253">
        <v>7.6875572204589799</v>
      </c>
      <c r="F545" s="253">
        <v>7.0150871276855504</v>
      </c>
      <c r="G545" s="253">
        <v>6.5790328979492196</v>
      </c>
      <c r="H545" s="253">
        <v>6.5712537765502903</v>
      </c>
      <c r="I545" s="253">
        <v>6.42602443695068</v>
      </c>
      <c r="J545" s="253">
        <v>6.2476048469543501</v>
      </c>
      <c r="K545" s="253">
        <v>6.2184038162231401</v>
      </c>
      <c r="L545" s="253">
        <v>6.2436552047729501</v>
      </c>
      <c r="M545" s="253">
        <v>6.2858424186706499</v>
      </c>
      <c r="N545" s="253">
        <v>6.2737250328064</v>
      </c>
      <c r="O545" s="253">
        <v>6.2926135063171396</v>
      </c>
      <c r="P545" s="253">
        <v>6.3336305618286097</v>
      </c>
      <c r="Q545" s="253">
        <v>6.3623290061950701</v>
      </c>
      <c r="R545" s="253">
        <v>6.4419050216674796</v>
      </c>
      <c r="S545" s="253">
        <v>6.5377755165100098</v>
      </c>
      <c r="T545" s="253">
        <v>6.5789065361022896</v>
      </c>
      <c r="U545" s="253">
        <v>6.7034192085266104</v>
      </c>
      <c r="V545" s="253">
        <v>6.8036813735961896</v>
      </c>
      <c r="W545" s="253">
        <v>6.8691210746765101</v>
      </c>
      <c r="X545" s="253">
        <v>6.8930430412292498</v>
      </c>
      <c r="Y545" s="253">
        <v>6.9258189201354998</v>
      </c>
    </row>
    <row r="546" spans="1:26" x14ac:dyDescent="0.2">
      <c r="A546" s="280" t="s">
        <v>490</v>
      </c>
      <c r="B546" s="253">
        <v>11.3207235336304</v>
      </c>
      <c r="C546" s="253">
        <v>12.9284992218018</v>
      </c>
      <c r="D546" s="253">
        <v>14.6530704498291</v>
      </c>
      <c r="E546" s="253">
        <v>14.346965789794901</v>
      </c>
      <c r="F546" s="253">
        <v>13.634911537170399</v>
      </c>
      <c r="G546" s="253">
        <v>12.9354457855225</v>
      </c>
      <c r="H546" s="253">
        <v>12.7248182296753</v>
      </c>
      <c r="I546" s="253">
        <v>12.444727897644</v>
      </c>
      <c r="J546" s="253">
        <v>12.3216390609741</v>
      </c>
      <c r="K546" s="253">
        <v>12.333900451660201</v>
      </c>
      <c r="L546" s="253">
        <v>12.228641510009799</v>
      </c>
      <c r="M546" s="253">
        <v>12.2244319915771</v>
      </c>
      <c r="N546" s="253">
        <v>12.232741355896</v>
      </c>
      <c r="O546" s="253">
        <v>12.2594261169434</v>
      </c>
      <c r="P546" s="253">
        <v>12.3207359313965</v>
      </c>
      <c r="Q546" s="253">
        <v>12.3872022628784</v>
      </c>
      <c r="R546" s="253">
        <v>12.4125566482544</v>
      </c>
      <c r="S546" s="253">
        <v>12.451280593872101</v>
      </c>
      <c r="T546" s="253">
        <v>12.520702362060501</v>
      </c>
      <c r="U546" s="253">
        <v>12.5581102371216</v>
      </c>
      <c r="V546" s="253">
        <v>12.622034072876</v>
      </c>
      <c r="W546" s="253">
        <v>12.7203483581543</v>
      </c>
      <c r="X546" s="253">
        <v>12.7153625488281</v>
      </c>
      <c r="Y546" s="253">
        <v>12.8139133453369</v>
      </c>
      <c r="Z546" s="287">
        <f>Y546+($AI$376-$Y$546)/10</f>
        <v>13.239838295522954</v>
      </c>
    </row>
    <row r="547" spans="1:26" x14ac:dyDescent="0.2">
      <c r="A547" s="249" t="s">
        <v>481</v>
      </c>
      <c r="B547" s="253">
        <v>3.83150410652161</v>
      </c>
      <c r="C547" s="253">
        <v>4.4939312934875497</v>
      </c>
      <c r="D547" s="253">
        <v>4.5839381217956499</v>
      </c>
      <c r="E547" s="253">
        <v>4.8374905586242702</v>
      </c>
      <c r="F547" s="253">
        <v>4.5451078414917001</v>
      </c>
      <c r="G547" s="253">
        <v>4.1204147338867196</v>
      </c>
      <c r="H547" s="253">
        <v>3.9213058948516801</v>
      </c>
      <c r="I547" s="253">
        <v>3.7859048843383798</v>
      </c>
      <c r="J547" s="253">
        <v>3.7380118370056201</v>
      </c>
      <c r="K547" s="253">
        <v>3.79148626327515</v>
      </c>
      <c r="L547" s="253">
        <v>3.8454215526580802</v>
      </c>
      <c r="M547" s="253">
        <v>3.8996179103851301</v>
      </c>
      <c r="N547" s="253">
        <v>3.9557838439941402</v>
      </c>
      <c r="O547" s="253">
        <v>4.0096635818481401</v>
      </c>
      <c r="P547" s="253">
        <v>4.0587000846862802</v>
      </c>
      <c r="Q547" s="253">
        <v>4.1115031242370597</v>
      </c>
      <c r="R547" s="253">
        <v>4.1679596900939897</v>
      </c>
      <c r="S547" s="253">
        <v>4.2270021438598597</v>
      </c>
      <c r="T547" s="253">
        <v>4.2823433876037598</v>
      </c>
      <c r="U547" s="253">
        <v>4.3368558883667001</v>
      </c>
      <c r="V547" s="253">
        <v>4.3924484252929696</v>
      </c>
      <c r="W547" s="253">
        <v>4.4465680122375497</v>
      </c>
      <c r="X547" s="253">
        <v>4.5027370452880904</v>
      </c>
      <c r="Y547" s="253">
        <v>4.5619544982910201</v>
      </c>
    </row>
    <row r="548" spans="1:26" x14ac:dyDescent="0.2">
      <c r="A548" s="249" t="s">
        <v>491</v>
      </c>
      <c r="B548" s="253">
        <v>15.146578788757299</v>
      </c>
      <c r="C548" s="253">
        <v>16.654964447021499</v>
      </c>
      <c r="D548" s="253">
        <v>20.603065490722699</v>
      </c>
      <c r="E548" s="253">
        <v>20.419296264648398</v>
      </c>
      <c r="F548" s="253">
        <v>16.382719039916999</v>
      </c>
      <c r="G548" s="253">
        <v>15.8189392089844</v>
      </c>
      <c r="H548" s="253">
        <v>15.6014108657837</v>
      </c>
      <c r="I548" s="253">
        <v>15.311073303222701</v>
      </c>
      <c r="J548" s="253">
        <v>15.2448682785034</v>
      </c>
      <c r="K548" s="253">
        <v>15.179443359375</v>
      </c>
      <c r="L548" s="253">
        <v>15.2014074325562</v>
      </c>
      <c r="M548" s="253">
        <v>15.2481698989868</v>
      </c>
      <c r="N548" s="253">
        <v>15.181710243225099</v>
      </c>
      <c r="O548" s="253">
        <v>15.278540611267101</v>
      </c>
      <c r="P548" s="253">
        <v>15.3825387954712</v>
      </c>
      <c r="Q548" s="253">
        <v>15.370577812194799</v>
      </c>
      <c r="R548" s="253">
        <v>15.3893880844116</v>
      </c>
      <c r="S548" s="253">
        <v>15.510032653808601</v>
      </c>
      <c r="T548" s="253">
        <v>15.6597127914429</v>
      </c>
      <c r="U548" s="253">
        <v>15.774450302124</v>
      </c>
      <c r="V548" s="253">
        <v>15.847083091735801</v>
      </c>
      <c r="W548" s="253">
        <v>16.037206649780298</v>
      </c>
      <c r="X548" s="253">
        <v>16.107362747192401</v>
      </c>
      <c r="Y548" s="253">
        <v>16.244932174682599</v>
      </c>
    </row>
    <row r="549" spans="1:26" x14ac:dyDescent="0.2">
      <c r="A549" s="249" t="s">
        <v>492</v>
      </c>
      <c r="B549" s="253">
        <v>7.2317700386047399</v>
      </c>
      <c r="C549" s="253">
        <v>9.0444478988647496</v>
      </c>
      <c r="D549" s="253">
        <v>9.7142534255981392</v>
      </c>
      <c r="E549" s="253">
        <v>9.7951860427856392</v>
      </c>
      <c r="F549" s="253">
        <v>9.2951183319091797</v>
      </c>
      <c r="G549" s="253">
        <v>8.9833269119262695</v>
      </c>
      <c r="H549" s="253">
        <v>8.7195968627929705</v>
      </c>
      <c r="I549" s="253">
        <v>8.6326360702514595</v>
      </c>
      <c r="J549" s="253">
        <v>8.5613536834716797</v>
      </c>
      <c r="K549" s="253">
        <v>8.6190090179443395</v>
      </c>
      <c r="L549" s="253">
        <v>8.7080965042114293</v>
      </c>
      <c r="M549" s="253">
        <v>8.8271207809448207</v>
      </c>
      <c r="N549" s="253">
        <v>8.9910020828247106</v>
      </c>
      <c r="O549" s="253">
        <v>9.1132879257202095</v>
      </c>
      <c r="P549" s="253">
        <v>9.1042909622192401</v>
      </c>
      <c r="Q549" s="253">
        <v>9.1039905548095703</v>
      </c>
      <c r="R549" s="253">
        <v>9.2009325027465803</v>
      </c>
      <c r="S549" s="253">
        <v>9.3432521820068395</v>
      </c>
      <c r="T549" s="253">
        <v>9.4465293884277308</v>
      </c>
      <c r="U549" s="253">
        <v>9.5402717590331996</v>
      </c>
      <c r="V549" s="253">
        <v>9.5791873931884801</v>
      </c>
      <c r="W549" s="253">
        <v>9.5845136642456108</v>
      </c>
      <c r="X549" s="253">
        <v>9.6436891555786097</v>
      </c>
      <c r="Y549" s="253">
        <v>9.694091796875</v>
      </c>
    </row>
    <row r="550" spans="1:26" x14ac:dyDescent="0.2">
      <c r="A550" s="282" t="s">
        <v>497</v>
      </c>
      <c r="B550" s="253">
        <v>14.6543264389038</v>
      </c>
      <c r="C550" s="253">
        <v>16.232709884643601</v>
      </c>
      <c r="D550" s="253">
        <v>19.6646022796631</v>
      </c>
      <c r="E550" s="253">
        <v>19.5902194976807</v>
      </c>
      <c r="F550" s="253">
        <v>19.473403930664102</v>
      </c>
      <c r="G550" s="253">
        <v>18.312351226806602</v>
      </c>
      <c r="H550" s="253">
        <v>18.154972076416001</v>
      </c>
      <c r="I550" s="253">
        <v>17.744245529174801</v>
      </c>
      <c r="J550" s="253">
        <v>17.108533859252901</v>
      </c>
      <c r="K550" s="253">
        <v>16.985416412353501</v>
      </c>
      <c r="L550" s="253">
        <v>16.891477584838899</v>
      </c>
      <c r="M550" s="253">
        <v>17.106473922729499</v>
      </c>
      <c r="N550" s="253">
        <v>17.298709869384801</v>
      </c>
      <c r="O550" s="253">
        <v>17.370653152465799</v>
      </c>
      <c r="P550" s="253">
        <v>17.404756546020501</v>
      </c>
      <c r="Q550" s="253">
        <v>17.4316711425781</v>
      </c>
      <c r="R550" s="253">
        <v>17.495216369628899</v>
      </c>
      <c r="S550" s="253">
        <v>17.111986160278299</v>
      </c>
      <c r="T550" s="253">
        <v>17.221326828002901</v>
      </c>
      <c r="U550" s="253">
        <v>17.6731853485107</v>
      </c>
      <c r="V550" s="253">
        <v>17.676996231079102</v>
      </c>
      <c r="W550" s="253">
        <v>17.866504669189499</v>
      </c>
      <c r="X550" s="253">
        <v>17.993064880371101</v>
      </c>
      <c r="Y550" s="253">
        <v>18.128524780273398</v>
      </c>
      <c r="Z550" s="289">
        <f>Y550+($AI$380-$Y$550)/10</f>
        <v>18.036478922002154</v>
      </c>
    </row>
    <row r="551" spans="1:26" x14ac:dyDescent="0.2">
      <c r="A551" s="249" t="s">
        <v>479</v>
      </c>
      <c r="B551" s="253">
        <v>20.034517288208001</v>
      </c>
      <c r="C551" s="253">
        <v>20.636144638061499</v>
      </c>
      <c r="D551" s="253">
        <v>21.1998176574707</v>
      </c>
      <c r="E551" s="253">
        <v>20.923387527465799</v>
      </c>
      <c r="F551" s="253">
        <v>19.967187881469702</v>
      </c>
      <c r="G551" s="253">
        <v>19.089002609252901</v>
      </c>
      <c r="H551" s="253">
        <v>18.799640655517599</v>
      </c>
      <c r="I551" s="253">
        <v>18.828804016113299</v>
      </c>
      <c r="J551" s="253">
        <v>18.807792663574201</v>
      </c>
      <c r="K551" s="253">
        <v>18.831340789794901</v>
      </c>
      <c r="L551" s="253">
        <v>19.0241508483887</v>
      </c>
      <c r="M551" s="253">
        <v>19.232509613037099</v>
      </c>
      <c r="N551" s="253">
        <v>19.521226882934599</v>
      </c>
      <c r="O551" s="253">
        <v>19.590469360351602</v>
      </c>
      <c r="P551" s="253">
        <v>19.544775009155298</v>
      </c>
      <c r="Q551" s="253">
        <v>19.5792236328125</v>
      </c>
      <c r="R551" s="253">
        <v>19.706111907958999</v>
      </c>
      <c r="S551" s="253">
        <v>19.899772644043001</v>
      </c>
      <c r="T551" s="253">
        <v>19.988050460815401</v>
      </c>
      <c r="U551" s="253">
        <v>20.054973602294901</v>
      </c>
      <c r="V551" s="253">
        <v>19.979206085205099</v>
      </c>
      <c r="W551" s="253">
        <v>19.890190124511701</v>
      </c>
      <c r="X551" s="253">
        <v>19.9172687530518</v>
      </c>
      <c r="Y551" s="253">
        <v>19.9590148925781</v>
      </c>
    </row>
    <row r="552" spans="1:26" x14ac:dyDescent="0.2">
      <c r="A552" s="249" t="s">
        <v>440</v>
      </c>
      <c r="B552" s="253" t="s">
        <v>440</v>
      </c>
      <c r="C552" s="253" t="s">
        <v>440</v>
      </c>
      <c r="D552" s="253" t="s">
        <v>440</v>
      </c>
      <c r="E552" s="253" t="s">
        <v>440</v>
      </c>
      <c r="F552" s="253" t="s">
        <v>440</v>
      </c>
      <c r="G552" s="253" t="s">
        <v>440</v>
      </c>
      <c r="H552" s="253" t="s">
        <v>440</v>
      </c>
      <c r="I552" s="253" t="s">
        <v>440</v>
      </c>
      <c r="J552" s="253" t="s">
        <v>440</v>
      </c>
      <c r="K552" s="253" t="s">
        <v>440</v>
      </c>
      <c r="L552" s="253" t="s">
        <v>440</v>
      </c>
      <c r="M552" s="253" t="s">
        <v>440</v>
      </c>
      <c r="N552" s="253" t="s">
        <v>440</v>
      </c>
      <c r="O552" s="253" t="s">
        <v>440</v>
      </c>
      <c r="P552" s="253" t="s">
        <v>440</v>
      </c>
      <c r="Q552" s="253" t="s">
        <v>440</v>
      </c>
      <c r="R552" s="253" t="s">
        <v>440</v>
      </c>
      <c r="S552" s="253" t="s">
        <v>440</v>
      </c>
      <c r="T552" s="253" t="s">
        <v>440</v>
      </c>
      <c r="U552" s="253" t="s">
        <v>440</v>
      </c>
      <c r="V552" s="253" t="s">
        <v>440</v>
      </c>
      <c r="W552" s="253" t="s">
        <v>440</v>
      </c>
      <c r="X552" s="253" t="s">
        <v>440</v>
      </c>
      <c r="Y552" s="253" t="s">
        <v>440</v>
      </c>
    </row>
    <row r="553" spans="1:26" x14ac:dyDescent="0.2">
      <c r="A553" s="249" t="s">
        <v>498</v>
      </c>
      <c r="B553" s="253">
        <v>10.2607097625732</v>
      </c>
      <c r="C553" s="253">
        <v>11.4965677261353</v>
      </c>
      <c r="D553" s="253">
        <v>12.498481750488301</v>
      </c>
      <c r="E553" s="253">
        <v>12.3126974105835</v>
      </c>
      <c r="F553" s="253">
        <v>11.5857706069946</v>
      </c>
      <c r="G553" s="253">
        <v>11.0374755859375</v>
      </c>
      <c r="H553" s="253">
        <v>10.8027191162109</v>
      </c>
      <c r="I553" s="253">
        <v>10.6485815048218</v>
      </c>
      <c r="J553" s="253">
        <v>10.5555610656738</v>
      </c>
      <c r="K553" s="253">
        <v>10.564617156982401</v>
      </c>
      <c r="L553" s="253">
        <v>10.6249675750732</v>
      </c>
      <c r="M553" s="253">
        <v>10.7333173751831</v>
      </c>
      <c r="N553" s="253">
        <v>10.851320266723601</v>
      </c>
      <c r="O553" s="253">
        <v>10.9544372558594</v>
      </c>
      <c r="P553" s="253">
        <v>11.0046529769897</v>
      </c>
      <c r="Q553" s="253">
        <v>11.070010185241699</v>
      </c>
      <c r="R553" s="253">
        <v>11.175311088561999</v>
      </c>
      <c r="S553" s="253">
        <v>11.313448905944799</v>
      </c>
      <c r="T553" s="253">
        <v>11.4217777252197</v>
      </c>
      <c r="U553" s="253">
        <v>11.534593582153301</v>
      </c>
      <c r="V553" s="253">
        <v>11.6029949188232</v>
      </c>
      <c r="W553" s="253">
        <v>11.660957336425801</v>
      </c>
      <c r="X553" s="253">
        <v>11.7183265686035</v>
      </c>
      <c r="Y553" s="253">
        <v>11.827390670776399</v>
      </c>
    </row>
    <row r="554" spans="1:26" x14ac:dyDescent="0.2">
      <c r="A554" s="249" t="s">
        <v>483</v>
      </c>
      <c r="B554" s="253">
        <v>7.8488264083862296</v>
      </c>
      <c r="C554" s="253">
        <v>9.3171482086181605</v>
      </c>
      <c r="D554" s="253">
        <v>10.5270042419434</v>
      </c>
      <c r="E554" s="253">
        <v>10.2914838790894</v>
      </c>
      <c r="F554" s="253">
        <v>9.5772314071655291</v>
      </c>
      <c r="G554" s="253">
        <v>9.0944671630859393</v>
      </c>
      <c r="H554" s="253">
        <v>8.8957033157348597</v>
      </c>
      <c r="I554" s="253">
        <v>8.7092790603637695</v>
      </c>
      <c r="J554" s="253">
        <v>8.6138839721679705</v>
      </c>
      <c r="K554" s="253">
        <v>8.6225843429565394</v>
      </c>
      <c r="L554" s="253">
        <v>8.6363019943237305</v>
      </c>
      <c r="M554" s="253">
        <v>8.7009534835815394</v>
      </c>
      <c r="N554" s="253">
        <v>8.7555856704711896</v>
      </c>
      <c r="O554" s="253">
        <v>8.8331260681152308</v>
      </c>
      <c r="P554" s="253">
        <v>8.8750228881835902</v>
      </c>
      <c r="Q554" s="253">
        <v>8.9212465286254901</v>
      </c>
      <c r="R554" s="253">
        <v>8.9933633804321307</v>
      </c>
      <c r="S554" s="253">
        <v>9.0904560089111293</v>
      </c>
      <c r="T554" s="253">
        <v>9.1763067245483398</v>
      </c>
      <c r="U554" s="253">
        <v>9.2688179016113299</v>
      </c>
      <c r="V554" s="253">
        <v>9.3425512313842791</v>
      </c>
      <c r="W554" s="253">
        <v>9.4030828475952095</v>
      </c>
      <c r="X554" s="253">
        <v>9.4481410980224592</v>
      </c>
      <c r="Y554" s="253">
        <v>9.5455484390258807</v>
      </c>
    </row>
    <row r="555" spans="1:26" x14ac:dyDescent="0.2">
      <c r="A555" s="249" t="s">
        <v>479</v>
      </c>
      <c r="B555" s="253">
        <v>21.599882125854499</v>
      </c>
      <c r="C555" s="253">
        <v>21.735733032226602</v>
      </c>
      <c r="D555" s="253">
        <v>21.728578567504901</v>
      </c>
      <c r="E555" s="253">
        <v>21.659519195556602</v>
      </c>
      <c r="F555" s="253">
        <v>20.859115600585898</v>
      </c>
      <c r="G555" s="253">
        <v>19.947565078735401</v>
      </c>
      <c r="H555" s="253">
        <v>19.5044040679932</v>
      </c>
      <c r="I555" s="253">
        <v>19.468164443969702</v>
      </c>
      <c r="J555" s="253">
        <v>19.363897323608398</v>
      </c>
      <c r="K555" s="253">
        <v>19.340778350830099</v>
      </c>
      <c r="L555" s="253">
        <v>19.565423965454102</v>
      </c>
      <c r="M555" s="253">
        <v>19.829431533813501</v>
      </c>
      <c r="N555" s="253">
        <v>20.184032440185501</v>
      </c>
      <c r="O555" s="253">
        <v>20.348131179809599</v>
      </c>
      <c r="P555" s="253">
        <v>20.384618759155298</v>
      </c>
      <c r="Q555" s="253">
        <v>20.4941310882568</v>
      </c>
      <c r="R555" s="253">
        <v>20.6934413909912</v>
      </c>
      <c r="S555" s="253">
        <v>20.961088180541999</v>
      </c>
      <c r="T555" s="253">
        <v>21.1064147949219</v>
      </c>
      <c r="U555" s="253">
        <v>21.2582683563232</v>
      </c>
      <c r="V555" s="253">
        <v>21.2429523468018</v>
      </c>
      <c r="W555" s="253">
        <v>21.2300205230713</v>
      </c>
      <c r="X555" s="253">
        <v>21.277418136596701</v>
      </c>
      <c r="Y555" s="253">
        <v>21.3841457366943</v>
      </c>
    </row>
    <row r="556" spans="1:26" x14ac:dyDescent="0.2">
      <c r="A556" s="249" t="s">
        <v>440</v>
      </c>
      <c r="B556" s="253" t="s">
        <v>440</v>
      </c>
      <c r="C556" s="253" t="s">
        <v>440</v>
      </c>
      <c r="D556" s="253" t="s">
        <v>440</v>
      </c>
      <c r="E556" s="253" t="s">
        <v>440</v>
      </c>
      <c r="F556" s="253" t="s">
        <v>440</v>
      </c>
      <c r="G556" s="253" t="s">
        <v>440</v>
      </c>
      <c r="H556" s="253" t="s">
        <v>440</v>
      </c>
      <c r="I556" s="253" t="s">
        <v>440</v>
      </c>
      <c r="J556" s="253" t="s">
        <v>440</v>
      </c>
      <c r="K556" s="253" t="s">
        <v>440</v>
      </c>
      <c r="L556" s="253" t="s">
        <v>440</v>
      </c>
      <c r="M556" s="253" t="s">
        <v>440</v>
      </c>
      <c r="N556" s="253" t="s">
        <v>440</v>
      </c>
      <c r="O556" s="253" t="s">
        <v>440</v>
      </c>
      <c r="P556" s="253" t="s">
        <v>440</v>
      </c>
      <c r="Q556" s="253" t="s">
        <v>440</v>
      </c>
      <c r="R556" s="253" t="s">
        <v>440</v>
      </c>
      <c r="S556" s="253" t="s">
        <v>440</v>
      </c>
      <c r="T556" s="253" t="s">
        <v>440</v>
      </c>
      <c r="U556" s="253" t="s">
        <v>440</v>
      </c>
      <c r="V556" s="253" t="s">
        <v>440</v>
      </c>
      <c r="W556" s="253" t="s">
        <v>440</v>
      </c>
      <c r="X556" s="253" t="s">
        <v>440</v>
      </c>
      <c r="Y556" s="253" t="s">
        <v>440</v>
      </c>
    </row>
    <row r="557" spans="1:26" x14ac:dyDescent="0.2">
      <c r="A557" s="249" t="s">
        <v>499</v>
      </c>
      <c r="B557" s="253" t="s">
        <v>440</v>
      </c>
      <c r="C557" s="253" t="s">
        <v>440</v>
      </c>
      <c r="D557" s="253" t="s">
        <v>440</v>
      </c>
      <c r="E557" s="253" t="s">
        <v>440</v>
      </c>
      <c r="F557" s="253" t="s">
        <v>440</v>
      </c>
      <c r="G557" s="253" t="s">
        <v>440</v>
      </c>
      <c r="H557" s="253" t="s">
        <v>440</v>
      </c>
      <c r="I557" s="253" t="s">
        <v>440</v>
      </c>
      <c r="J557" s="253" t="s">
        <v>440</v>
      </c>
      <c r="K557" s="253" t="s">
        <v>440</v>
      </c>
      <c r="L557" s="253" t="s">
        <v>440</v>
      </c>
      <c r="M557" s="253" t="s">
        <v>440</v>
      </c>
      <c r="N557" s="253" t="s">
        <v>440</v>
      </c>
      <c r="O557" s="253" t="s">
        <v>440</v>
      </c>
      <c r="P557" s="253" t="s">
        <v>440</v>
      </c>
      <c r="Q557" s="253" t="s">
        <v>440</v>
      </c>
      <c r="R557" s="253" t="s">
        <v>440</v>
      </c>
      <c r="S557" s="253" t="s">
        <v>440</v>
      </c>
      <c r="T557" s="253" t="s">
        <v>440</v>
      </c>
      <c r="U557" s="253" t="s">
        <v>440</v>
      </c>
      <c r="V557" s="253" t="s">
        <v>440</v>
      </c>
      <c r="W557" s="253" t="s">
        <v>440</v>
      </c>
      <c r="X557" s="253" t="s">
        <v>440</v>
      </c>
      <c r="Y557" s="253" t="s">
        <v>440</v>
      </c>
    </row>
    <row r="558" spans="1:26" x14ac:dyDescent="0.2">
      <c r="A558" s="249" t="s">
        <v>500</v>
      </c>
      <c r="B558" s="253">
        <v>1.8996955156326301</v>
      </c>
      <c r="C558" s="253">
        <v>2.2409727573394802</v>
      </c>
      <c r="D558" s="253">
        <v>2.4238619804382302</v>
      </c>
      <c r="E558" s="253">
        <v>2.3792355060577401</v>
      </c>
      <c r="F558" s="253">
        <v>2.2243471145629901</v>
      </c>
      <c r="G558" s="253">
        <v>2.11745405197144</v>
      </c>
      <c r="H558" s="253">
        <v>2.0720956325531001</v>
      </c>
      <c r="I558" s="253">
        <v>2.06648945808411</v>
      </c>
      <c r="J558" s="253">
        <v>2.0576293468475302</v>
      </c>
      <c r="K558" s="253">
        <v>2.0898380279540998</v>
      </c>
      <c r="L558" s="253">
        <v>2.13185787200928</v>
      </c>
      <c r="M558" s="253">
        <v>2.1827101707458501</v>
      </c>
      <c r="N558" s="253">
        <v>2.2442750930786102</v>
      </c>
      <c r="O558" s="253">
        <v>2.2846662998199498</v>
      </c>
      <c r="P558" s="253">
        <v>2.2886507511138898</v>
      </c>
      <c r="Q558" s="253">
        <v>2.31255102157593</v>
      </c>
      <c r="R558" s="253">
        <v>2.3658699989318799</v>
      </c>
      <c r="S558" s="253">
        <v>2.41897773742676</v>
      </c>
      <c r="T558" s="253">
        <v>2.4451649188995401</v>
      </c>
      <c r="U558" s="253">
        <v>2.4616906642913801</v>
      </c>
      <c r="V558" s="253">
        <v>2.4596512317657502</v>
      </c>
      <c r="W558" s="253">
        <v>2.4499151706695601</v>
      </c>
      <c r="X558" s="253">
        <v>2.46315670013428</v>
      </c>
      <c r="Y558" s="253">
        <v>2.4591720104217498</v>
      </c>
    </row>
    <row r="559" spans="1:26" x14ac:dyDescent="0.2">
      <c r="A559" s="249" t="s">
        <v>502</v>
      </c>
      <c r="B559" s="253">
        <v>4.3748912811279297</v>
      </c>
      <c r="C559" s="253">
        <v>5.2786889076232901</v>
      </c>
      <c r="D559" s="253">
        <v>5.9517397880554199</v>
      </c>
      <c r="E559" s="253">
        <v>5.8145914077758798</v>
      </c>
      <c r="F559" s="253">
        <v>5.36482858657837</v>
      </c>
      <c r="G559" s="253">
        <v>4.9555935859680202</v>
      </c>
      <c r="H559" s="253">
        <v>4.76583051681519</v>
      </c>
      <c r="I559" s="253">
        <v>4.6106519699096697</v>
      </c>
      <c r="J559" s="253">
        <v>4.5544371604919398</v>
      </c>
      <c r="K559" s="253">
        <v>4.5760931968689</v>
      </c>
      <c r="L559" s="253">
        <v>4.6005949974060103</v>
      </c>
      <c r="M559" s="253">
        <v>4.65545606613159</v>
      </c>
      <c r="N559" s="253">
        <v>4.7050404548645002</v>
      </c>
      <c r="O559" s="253">
        <v>4.76641750335693</v>
      </c>
      <c r="P559" s="253">
        <v>4.8219771385192898</v>
      </c>
      <c r="Q559" s="253">
        <v>4.8744759559631303</v>
      </c>
      <c r="R559" s="253">
        <v>4.9555630683898899</v>
      </c>
      <c r="S559" s="253">
        <v>5.0235657691955602</v>
      </c>
      <c r="T559" s="253">
        <v>5.0990805625915501</v>
      </c>
      <c r="U559" s="253">
        <v>5.1768889427185103</v>
      </c>
      <c r="V559" s="253">
        <v>5.2447147369384801</v>
      </c>
      <c r="W559" s="253">
        <v>5.3197603225707999</v>
      </c>
      <c r="X559" s="253">
        <v>5.3696103096008301</v>
      </c>
      <c r="Y559" s="253">
        <v>5.4173326492309597</v>
      </c>
    </row>
    <row r="560" spans="1:26" x14ac:dyDescent="0.2">
      <c r="A560" s="249" t="s">
        <v>476</v>
      </c>
      <c r="B560" s="253">
        <v>5.6938004493713397</v>
      </c>
      <c r="C560" s="253">
        <v>6.4773354530334499</v>
      </c>
      <c r="D560" s="253">
        <v>7.1750502586364702</v>
      </c>
      <c r="E560" s="253">
        <v>6.8899459838867196</v>
      </c>
      <c r="F560" s="253">
        <v>6.2672758102417001</v>
      </c>
      <c r="G560" s="253">
        <v>5.8609590530395499</v>
      </c>
      <c r="H560" s="253">
        <v>5.6430783271789604</v>
      </c>
      <c r="I560" s="253">
        <v>5.4534807205200204</v>
      </c>
      <c r="J560" s="253">
        <v>5.3617582321167001</v>
      </c>
      <c r="K560" s="253">
        <v>5.3288640975952104</v>
      </c>
      <c r="L560" s="253">
        <v>5.3712139129638699</v>
      </c>
      <c r="M560" s="253">
        <v>5.41644287109375</v>
      </c>
      <c r="N560" s="253">
        <v>5.4747476577758798</v>
      </c>
      <c r="O560" s="253">
        <v>5.5268063545227104</v>
      </c>
      <c r="P560" s="253">
        <v>5.5894103050231898</v>
      </c>
      <c r="Q560" s="253">
        <v>5.6297807693481401</v>
      </c>
      <c r="R560" s="253">
        <v>5.7926478385925302</v>
      </c>
      <c r="S560" s="253">
        <v>5.9167857170104998</v>
      </c>
      <c r="T560" s="253">
        <v>6.0082931518554696</v>
      </c>
      <c r="U560" s="253">
        <v>6.11431789398193</v>
      </c>
      <c r="V560" s="253">
        <v>6.21482229232788</v>
      </c>
      <c r="W560" s="253">
        <v>6.2930455207824698</v>
      </c>
      <c r="X560" s="253">
        <v>6.3174986839294398</v>
      </c>
      <c r="Y560" s="253">
        <v>6.3298768997192401</v>
      </c>
    </row>
    <row r="561" spans="1:26" x14ac:dyDescent="0.2">
      <c r="A561" s="249" t="s">
        <v>481</v>
      </c>
      <c r="B561" s="253">
        <v>3.9850425720214799</v>
      </c>
      <c r="C561" s="253">
        <v>4.7911210060119602</v>
      </c>
      <c r="D561" s="253">
        <v>5.5054435729980504</v>
      </c>
      <c r="E561" s="253">
        <v>5.3836607933044398</v>
      </c>
      <c r="F561" s="253">
        <v>4.9928164482116699</v>
      </c>
      <c r="G561" s="253">
        <v>4.5735058784484899</v>
      </c>
      <c r="H561" s="253">
        <v>4.37508344650269</v>
      </c>
      <c r="I561" s="253">
        <v>4.2357888221740696</v>
      </c>
      <c r="J561" s="253">
        <v>4.1871180534362802</v>
      </c>
      <c r="K561" s="253">
        <v>4.2367839813232404</v>
      </c>
      <c r="L561" s="253">
        <v>4.2823972702026403</v>
      </c>
      <c r="M561" s="253">
        <v>4.3351020812988299</v>
      </c>
      <c r="N561" s="253">
        <v>4.38077735900879</v>
      </c>
      <c r="O561" s="253">
        <v>4.4392328262329102</v>
      </c>
      <c r="P561" s="253">
        <v>4.4927945137023899</v>
      </c>
      <c r="Q561" s="253">
        <v>4.5466628074645996</v>
      </c>
      <c r="R561" s="253">
        <v>4.5988087654113796</v>
      </c>
      <c r="S561" s="253">
        <v>4.6550941467285201</v>
      </c>
      <c r="T561" s="253">
        <v>4.7130184173584002</v>
      </c>
      <c r="U561" s="253">
        <v>4.7694864273071298</v>
      </c>
      <c r="V561" s="253">
        <v>4.8261427879333496</v>
      </c>
      <c r="W561" s="253">
        <v>4.8835220336914098</v>
      </c>
      <c r="X561" s="253">
        <v>4.9410810470581099</v>
      </c>
      <c r="Y561" s="253">
        <v>5.0030183792114302</v>
      </c>
    </row>
    <row r="562" spans="1:26" x14ac:dyDescent="0.2">
      <c r="A562" s="274" t="s">
        <v>478</v>
      </c>
      <c r="B562" s="253">
        <v>3.6857740879058798</v>
      </c>
      <c r="C562" s="253">
        <v>5.4593739509582502</v>
      </c>
      <c r="D562" s="253">
        <v>5.9836626052856401</v>
      </c>
      <c r="E562" s="253">
        <v>5.9217834472656303</v>
      </c>
      <c r="F562" s="253">
        <v>5.2677536010742196</v>
      </c>
      <c r="G562" s="253">
        <v>4.83196926116943</v>
      </c>
      <c r="H562" s="253">
        <v>4.4959845542907697</v>
      </c>
      <c r="I562" s="253">
        <v>4.3869647979736301</v>
      </c>
      <c r="J562" s="253">
        <v>4.2738447189331099</v>
      </c>
      <c r="K562" s="253">
        <v>4.3073697090148899</v>
      </c>
      <c r="L562" s="253">
        <v>4.4138617515564</v>
      </c>
      <c r="M562" s="253">
        <v>4.5377993583679199</v>
      </c>
      <c r="N562" s="253">
        <v>4.6997785568237296</v>
      </c>
      <c r="O562" s="253">
        <v>4.8059244155883798</v>
      </c>
      <c r="P562" s="253">
        <v>4.7723231315612802</v>
      </c>
      <c r="Q562" s="253">
        <v>4.7962751388549796</v>
      </c>
      <c r="R562" s="253">
        <v>4.93237209320068</v>
      </c>
      <c r="S562" s="253">
        <v>5.0951194763183603</v>
      </c>
      <c r="T562" s="253">
        <v>5.2029786109924299</v>
      </c>
      <c r="U562" s="253">
        <v>5.2939982414245597</v>
      </c>
      <c r="V562" s="253">
        <v>5.3285460472106898</v>
      </c>
      <c r="W562" s="253">
        <v>5.3187093734741202</v>
      </c>
      <c r="X562" s="253">
        <v>5.3844461441040004</v>
      </c>
      <c r="Y562" s="253">
        <v>5.4420223236084002</v>
      </c>
      <c r="Z562" s="283">
        <f>Y562+($AI$392-$Y$562)/10</f>
        <v>5.4722581683132612</v>
      </c>
    </row>
    <row r="563" spans="1:26" x14ac:dyDescent="0.2">
      <c r="A563" s="278" t="s">
        <v>486</v>
      </c>
      <c r="B563" s="253">
        <v>1.2699717283248899</v>
      </c>
      <c r="C563" s="253">
        <v>1.27919089794159</v>
      </c>
      <c r="D563" s="253">
        <v>1.2833664417266799</v>
      </c>
      <c r="E563" s="253">
        <v>1.28942894935608</v>
      </c>
      <c r="F563" s="253">
        <v>1.29215919971466</v>
      </c>
      <c r="G563" s="253">
        <v>1.28011155128479</v>
      </c>
      <c r="H563" s="253">
        <v>1.2771430015564</v>
      </c>
      <c r="I563" s="253">
        <v>1.2664887905120801</v>
      </c>
      <c r="J563" s="253">
        <v>1.2516112327575699</v>
      </c>
      <c r="K563" s="253">
        <v>1.2440552711486801</v>
      </c>
      <c r="L563" s="253">
        <v>1.2386393547058101</v>
      </c>
      <c r="M563" s="253">
        <v>1.23525643348694</v>
      </c>
      <c r="N563" s="253">
        <v>1.23468470573425</v>
      </c>
      <c r="O563" s="253">
        <v>1.2341449260711701</v>
      </c>
      <c r="P563" s="253">
        <v>1.23174548149109</v>
      </c>
      <c r="Q563" s="253">
        <v>1.2347780466079701</v>
      </c>
      <c r="R563" s="253">
        <v>1.23870933055878</v>
      </c>
      <c r="S563" s="253">
        <v>1.2427853345871001</v>
      </c>
      <c r="T563" s="253">
        <v>1.24646520614624</v>
      </c>
      <c r="U563" s="253">
        <v>1.2552444934845</v>
      </c>
      <c r="V563" s="253">
        <v>1.26424860954285</v>
      </c>
      <c r="W563" s="253">
        <v>1.2944931983947801</v>
      </c>
      <c r="X563" s="253">
        <v>1.3030458688736</v>
      </c>
      <c r="Y563" s="253">
        <v>1.30599772930145</v>
      </c>
      <c r="Z563" s="291">
        <f>Y563+($AI$393-$Y$563)/10</f>
        <v>1.3088234854404943</v>
      </c>
    </row>
    <row r="564" spans="1:26" x14ac:dyDescent="0.2">
      <c r="A564" s="249" t="s">
        <v>440</v>
      </c>
      <c r="B564" s="253" t="s">
        <v>440</v>
      </c>
      <c r="C564" s="253" t="s">
        <v>440</v>
      </c>
      <c r="D564" s="253" t="s">
        <v>440</v>
      </c>
      <c r="E564" s="253" t="s">
        <v>440</v>
      </c>
      <c r="F564" s="253" t="s">
        <v>440</v>
      </c>
      <c r="G564" s="253" t="s">
        <v>440</v>
      </c>
      <c r="H564" s="253" t="s">
        <v>440</v>
      </c>
      <c r="I564" s="253" t="s">
        <v>440</v>
      </c>
      <c r="J564" s="253" t="s">
        <v>440</v>
      </c>
      <c r="K564" s="253" t="s">
        <v>440</v>
      </c>
      <c r="L564" s="253" t="s">
        <v>440</v>
      </c>
      <c r="M564" s="253" t="s">
        <v>440</v>
      </c>
      <c r="N564" s="253" t="s">
        <v>440</v>
      </c>
      <c r="O564" s="253" t="s">
        <v>440</v>
      </c>
      <c r="P564" s="253" t="s">
        <v>440</v>
      </c>
      <c r="Q564" s="253" t="s">
        <v>440</v>
      </c>
      <c r="R564" s="253" t="s">
        <v>440</v>
      </c>
      <c r="S564" s="253" t="s">
        <v>440</v>
      </c>
      <c r="T564" s="253" t="s">
        <v>440</v>
      </c>
      <c r="U564" s="253" t="s">
        <v>440</v>
      </c>
      <c r="V564" s="253" t="s">
        <v>440</v>
      </c>
      <c r="W564" s="253" t="s">
        <v>440</v>
      </c>
      <c r="X564" s="253" t="s">
        <v>440</v>
      </c>
      <c r="Y564" s="253" t="s">
        <v>440</v>
      </c>
    </row>
    <row r="565" spans="1:26" x14ac:dyDescent="0.2">
      <c r="A565" s="249" t="s">
        <v>503</v>
      </c>
      <c r="B565" s="253" t="s">
        <v>440</v>
      </c>
      <c r="C565" s="253" t="s">
        <v>440</v>
      </c>
      <c r="D565" s="253" t="s">
        <v>440</v>
      </c>
      <c r="E565" s="253" t="s">
        <v>440</v>
      </c>
      <c r="F565" s="253" t="s">
        <v>440</v>
      </c>
      <c r="G565" s="253" t="s">
        <v>440</v>
      </c>
      <c r="H565" s="253" t="s">
        <v>440</v>
      </c>
      <c r="I565" s="253" t="s">
        <v>440</v>
      </c>
      <c r="J565" s="253" t="s">
        <v>440</v>
      </c>
      <c r="K565" s="253" t="s">
        <v>440</v>
      </c>
      <c r="L565" s="253" t="s">
        <v>440</v>
      </c>
      <c r="M565" s="253" t="s">
        <v>440</v>
      </c>
      <c r="N565" s="253" t="s">
        <v>440</v>
      </c>
      <c r="O565" s="253" t="s">
        <v>440</v>
      </c>
      <c r="P565" s="253" t="s">
        <v>440</v>
      </c>
      <c r="Q565" s="253" t="s">
        <v>440</v>
      </c>
      <c r="R565" s="253" t="s">
        <v>440</v>
      </c>
      <c r="S565" s="253" t="s">
        <v>440</v>
      </c>
      <c r="T565" s="253" t="s">
        <v>440</v>
      </c>
      <c r="U565" s="253" t="s">
        <v>440</v>
      </c>
      <c r="V565" s="253" t="s">
        <v>440</v>
      </c>
      <c r="W565" s="253" t="s">
        <v>440</v>
      </c>
      <c r="X565" s="253" t="s">
        <v>440</v>
      </c>
      <c r="Y565" s="253" t="s">
        <v>440</v>
      </c>
    </row>
    <row r="566" spans="1:26" x14ac:dyDescent="0.2">
      <c r="A566" s="249" t="s">
        <v>504</v>
      </c>
      <c r="B566" s="253">
        <v>9.0916013717651403</v>
      </c>
      <c r="C566" s="253">
        <v>10.5092258453369</v>
      </c>
      <c r="D566" s="253">
        <v>12.005053520202599</v>
      </c>
      <c r="E566" s="253">
        <v>11.630154609680201</v>
      </c>
      <c r="F566" s="253">
        <v>10.867414474487299</v>
      </c>
      <c r="G566" s="253">
        <v>10.341483116149901</v>
      </c>
      <c r="H566" s="253">
        <v>10.206826210021999</v>
      </c>
      <c r="I566" s="253">
        <v>9.9809312820434606</v>
      </c>
      <c r="J566" s="253">
        <v>9.9117403030395508</v>
      </c>
      <c r="K566" s="253">
        <v>9.9329805374145508</v>
      </c>
      <c r="L566" s="253">
        <v>9.9184780120849592</v>
      </c>
      <c r="M566" s="253">
        <v>9.9575662612915004</v>
      </c>
      <c r="N566" s="253">
        <v>9.9538516998290998</v>
      </c>
      <c r="O566" s="253">
        <v>10.000968933105501</v>
      </c>
      <c r="P566" s="253">
        <v>10.066521644592299</v>
      </c>
      <c r="Q566" s="253">
        <v>10.122728347778301</v>
      </c>
      <c r="R566" s="253">
        <v>10.166119575500501</v>
      </c>
      <c r="S566" s="253">
        <v>10.2242088317871</v>
      </c>
      <c r="T566" s="253">
        <v>10.2887620925903</v>
      </c>
      <c r="U566" s="253">
        <v>10.370365142822299</v>
      </c>
      <c r="V566" s="253">
        <v>10.451409339904799</v>
      </c>
      <c r="W566" s="253">
        <v>10.528607368469199</v>
      </c>
      <c r="X566" s="253">
        <v>10.560112953186</v>
      </c>
      <c r="Y566" s="253">
        <v>10.6600894927979</v>
      </c>
    </row>
    <row r="567" spans="1:26" x14ac:dyDescent="0.2">
      <c r="A567" s="249" t="s">
        <v>505</v>
      </c>
      <c r="B567" s="253">
        <v>8.7129955291747994</v>
      </c>
      <c r="C567" s="253">
        <v>9.89868068695068</v>
      </c>
      <c r="D567" s="253">
        <v>10.9323616027832</v>
      </c>
      <c r="E567" s="253">
        <v>10.516496658325201</v>
      </c>
      <c r="F567" s="253">
        <v>10.0722150802612</v>
      </c>
      <c r="G567" s="253">
        <v>9.7644062042236293</v>
      </c>
      <c r="H567" s="253">
        <v>9.6708259582519496</v>
      </c>
      <c r="I567" s="253">
        <v>9.5059432983398402</v>
      </c>
      <c r="J567" s="253">
        <v>9.5328626632690394</v>
      </c>
      <c r="K567" s="253">
        <v>9.6073579788208008</v>
      </c>
      <c r="L567" s="253">
        <v>9.6717586517334002</v>
      </c>
      <c r="M567" s="253">
        <v>9.7472448348999006</v>
      </c>
      <c r="N567" s="253">
        <v>9.7227439880371094</v>
      </c>
      <c r="O567" s="253">
        <v>9.7185726165771502</v>
      </c>
      <c r="P567" s="253">
        <v>9.7264575958252006</v>
      </c>
      <c r="Q567" s="253">
        <v>9.7659683227539098</v>
      </c>
      <c r="R567" s="253">
        <v>9.7933034896850604</v>
      </c>
      <c r="S567" s="253">
        <v>9.8243274688720703</v>
      </c>
      <c r="T567" s="253">
        <v>9.7878532409668004</v>
      </c>
      <c r="U567" s="253">
        <v>9.8349857330322301</v>
      </c>
      <c r="V567" s="253">
        <v>9.8761272430419904</v>
      </c>
      <c r="W567" s="253">
        <v>9.8313732147216797</v>
      </c>
      <c r="X567" s="253">
        <v>9.8799133300781303</v>
      </c>
      <c r="Y567" s="253">
        <v>10.0311069488525</v>
      </c>
    </row>
    <row r="568" spans="1:26" x14ac:dyDescent="0.2">
      <c r="A568" s="249" t="s">
        <v>506</v>
      </c>
      <c r="B568" s="253">
        <v>6.0538434982299796</v>
      </c>
      <c r="C568" s="253">
        <v>6.4578518867492702</v>
      </c>
      <c r="D568" s="253">
        <v>8.1168746948242205</v>
      </c>
      <c r="E568" s="253">
        <v>7.6875572204589799</v>
      </c>
      <c r="F568" s="253">
        <v>7.0150871276855504</v>
      </c>
      <c r="G568" s="253">
        <v>6.5790328979492196</v>
      </c>
      <c r="H568" s="253">
        <v>6.5712537765502903</v>
      </c>
      <c r="I568" s="253">
        <v>6.42602443695068</v>
      </c>
      <c r="J568" s="253">
        <v>6.2476048469543501</v>
      </c>
      <c r="K568" s="253">
        <v>6.2184038162231401</v>
      </c>
      <c r="L568" s="253">
        <v>6.2436552047729501</v>
      </c>
      <c r="M568" s="253">
        <v>6.2858424186706499</v>
      </c>
      <c r="N568" s="253">
        <v>6.2737250328064</v>
      </c>
      <c r="O568" s="253">
        <v>6.2926135063171396</v>
      </c>
      <c r="P568" s="253">
        <v>6.3336305618286097</v>
      </c>
      <c r="Q568" s="253">
        <v>6.3623290061950701</v>
      </c>
      <c r="R568" s="253">
        <v>6.4419050216674796</v>
      </c>
      <c r="S568" s="253">
        <v>6.5377755165100098</v>
      </c>
      <c r="T568" s="253">
        <v>6.5789065361022896</v>
      </c>
      <c r="U568" s="253">
        <v>6.7034192085266104</v>
      </c>
      <c r="V568" s="253">
        <v>6.8036813735961896</v>
      </c>
      <c r="W568" s="253">
        <v>6.8691210746765101</v>
      </c>
      <c r="X568" s="253">
        <v>6.8930430412292498</v>
      </c>
      <c r="Y568" s="253">
        <v>6.9258189201354998</v>
      </c>
    </row>
    <row r="569" spans="1:26" x14ac:dyDescent="0.2">
      <c r="A569" s="249" t="s">
        <v>507</v>
      </c>
      <c r="B569" s="253">
        <v>9.5166797637939506</v>
      </c>
      <c r="C569" s="253">
        <v>13.0396432876587</v>
      </c>
      <c r="D569" s="253">
        <v>15.6858806610107</v>
      </c>
      <c r="E569" s="253">
        <v>14.0742273330688</v>
      </c>
      <c r="F569" s="253">
        <v>12.086350440979</v>
      </c>
      <c r="G569" s="253">
        <v>11.4653730392456</v>
      </c>
      <c r="H569" s="253">
        <v>11.285403251647899</v>
      </c>
      <c r="I569" s="253">
        <v>11.0092105865479</v>
      </c>
      <c r="J569" s="253">
        <v>10.989564895629901</v>
      </c>
      <c r="K569" s="253">
        <v>10.925596237182599</v>
      </c>
      <c r="L569" s="253">
        <v>10.987684249877899</v>
      </c>
      <c r="M569" s="253">
        <v>11.0838632583618</v>
      </c>
      <c r="N569" s="253">
        <v>11.0187425613403</v>
      </c>
      <c r="O569" s="253">
        <v>11.2084665298462</v>
      </c>
      <c r="P569" s="253">
        <v>11.3385829925537</v>
      </c>
      <c r="Q569" s="253">
        <v>11.336560249328601</v>
      </c>
      <c r="R569" s="253">
        <v>11.412732124328601</v>
      </c>
      <c r="S569" s="253">
        <v>11.5561437606812</v>
      </c>
      <c r="T569" s="253">
        <v>11.7385349273682</v>
      </c>
      <c r="U569" s="253">
        <v>11.9240121841431</v>
      </c>
      <c r="V569" s="253">
        <v>12.033415794372599</v>
      </c>
      <c r="W569" s="253">
        <v>12.184607505798301</v>
      </c>
      <c r="X569" s="253">
        <v>12.2847499847412</v>
      </c>
      <c r="Y569" s="253">
        <v>12.335958480835</v>
      </c>
    </row>
    <row r="570" spans="1:26" x14ac:dyDescent="0.2">
      <c r="A570" s="249" t="s">
        <v>508</v>
      </c>
      <c r="B570" s="253">
        <v>11.3185987472534</v>
      </c>
      <c r="C570" s="253">
        <v>12.9258327484131</v>
      </c>
      <c r="D570" s="253">
        <v>14.650143623352101</v>
      </c>
      <c r="E570" s="253">
        <v>14.3442440032959</v>
      </c>
      <c r="F570" s="253">
        <v>13.623025894165</v>
      </c>
      <c r="G570" s="253">
        <v>12.923449516296399</v>
      </c>
      <c r="H570" s="253">
        <v>12.7128458023071</v>
      </c>
      <c r="I570" s="253">
        <v>12.432819366455099</v>
      </c>
      <c r="J570" s="253">
        <v>12.310016632080099</v>
      </c>
      <c r="K570" s="253">
        <v>12.3222455978394</v>
      </c>
      <c r="L570" s="253">
        <v>12.2171115875244</v>
      </c>
      <c r="M570" s="253">
        <v>12.2130832672119</v>
      </c>
      <c r="N570" s="253">
        <v>12.22132396698</v>
      </c>
      <c r="O570" s="253">
        <v>12.248191833496101</v>
      </c>
      <c r="P570" s="253">
        <v>12.309587478637701</v>
      </c>
      <c r="Q570" s="253">
        <v>12.376181602478001</v>
      </c>
      <c r="R570" s="253">
        <v>12.4016332626343</v>
      </c>
      <c r="S570" s="253">
        <v>12.440443038940399</v>
      </c>
      <c r="T570" s="253">
        <v>12.509931564331101</v>
      </c>
      <c r="U570" s="253">
        <v>12.547391891479499</v>
      </c>
      <c r="V570" s="253">
        <v>12.611403465271</v>
      </c>
      <c r="W570" s="253">
        <v>12.7098541259766</v>
      </c>
      <c r="X570" s="253">
        <v>12.7049369812012</v>
      </c>
      <c r="Y570" s="253">
        <v>12.8036108016968</v>
      </c>
    </row>
    <row r="571" spans="1:26" x14ac:dyDescent="0.2">
      <c r="A571" s="249" t="s">
        <v>509</v>
      </c>
      <c r="B571" s="253">
        <v>3.9308724403381299</v>
      </c>
      <c r="C571" s="253">
        <v>4.6628575325012198</v>
      </c>
      <c r="D571" s="253">
        <v>5.07232666015625</v>
      </c>
      <c r="E571" s="253">
        <v>5.1433629989623997</v>
      </c>
      <c r="F571" s="253">
        <v>4.8060836791992196</v>
      </c>
      <c r="G571" s="253">
        <v>4.3862032890319798</v>
      </c>
      <c r="H571" s="253">
        <v>4.1832194328308097</v>
      </c>
      <c r="I571" s="253">
        <v>4.0440359115600604</v>
      </c>
      <c r="J571" s="253">
        <v>3.9943466186523402</v>
      </c>
      <c r="K571" s="253">
        <v>4.04720115661621</v>
      </c>
      <c r="L571" s="253">
        <v>4.0966601371765101</v>
      </c>
      <c r="M571" s="253">
        <v>4.1477751731872603</v>
      </c>
      <c r="N571" s="253">
        <v>4.19142723083496</v>
      </c>
      <c r="O571" s="253">
        <v>4.2503523826599103</v>
      </c>
      <c r="P571" s="253">
        <v>4.3018612861633301</v>
      </c>
      <c r="Q571" s="253">
        <v>4.3527650833129901</v>
      </c>
      <c r="R571" s="253">
        <v>4.4055538177490199</v>
      </c>
      <c r="S571" s="253">
        <v>4.4662823677062997</v>
      </c>
      <c r="T571" s="253">
        <v>4.5225110054016104</v>
      </c>
      <c r="U571" s="253">
        <v>4.5828208923339799</v>
      </c>
      <c r="V571" s="253">
        <v>4.6386957168579102</v>
      </c>
      <c r="W571" s="253">
        <v>4.6918659210205096</v>
      </c>
      <c r="X571" s="253">
        <v>4.7469024658203098</v>
      </c>
      <c r="Y571" s="253">
        <v>4.8068332672119096</v>
      </c>
    </row>
    <row r="572" spans="1:26" x14ac:dyDescent="0.2">
      <c r="A572" s="249" t="s">
        <v>510</v>
      </c>
      <c r="B572" s="253">
        <v>5.1461992263793901</v>
      </c>
      <c r="C572" s="253">
        <v>6.8558807373046902</v>
      </c>
      <c r="D572" s="253">
        <v>7.3508329391479501</v>
      </c>
      <c r="E572" s="253">
        <v>7.3838677406311</v>
      </c>
      <c r="F572" s="253">
        <v>6.7167663574218803</v>
      </c>
      <c r="G572" s="253">
        <v>6.2544136047363299</v>
      </c>
      <c r="H572" s="253">
        <v>5.8490047454834002</v>
      </c>
      <c r="I572" s="253">
        <v>5.6922402381896999</v>
      </c>
      <c r="J572" s="253">
        <v>5.5182204246520996</v>
      </c>
      <c r="K572" s="253">
        <v>5.4887638092040998</v>
      </c>
      <c r="L572" s="253">
        <v>5.5592789649963397</v>
      </c>
      <c r="M572" s="253">
        <v>5.6574964523315403</v>
      </c>
      <c r="N572" s="253">
        <v>5.8102455139160201</v>
      </c>
      <c r="O572" s="253">
        <v>5.9230461120605504</v>
      </c>
      <c r="P572" s="253">
        <v>5.8875889778137198</v>
      </c>
      <c r="Q572" s="253">
        <v>5.8938632011413601</v>
      </c>
      <c r="R572" s="253">
        <v>6.0147280693054199</v>
      </c>
      <c r="S572" s="253">
        <v>6.1772904396057102</v>
      </c>
      <c r="T572" s="253">
        <v>6.2973737716674796</v>
      </c>
      <c r="U572" s="253">
        <v>6.40012407302856</v>
      </c>
      <c r="V572" s="253">
        <v>6.4435343742370597</v>
      </c>
      <c r="W572" s="253">
        <v>6.4505195617675799</v>
      </c>
      <c r="X572" s="253">
        <v>6.5169725418090803</v>
      </c>
      <c r="Y572" s="253">
        <v>6.5874438285827601</v>
      </c>
    </row>
    <row r="573" spans="1:26" x14ac:dyDescent="0.2">
      <c r="A573" s="249" t="s">
        <v>511</v>
      </c>
      <c r="B573" s="253">
        <v>1.2938040494918801</v>
      </c>
      <c r="C573" s="253">
        <v>1.29924309253693</v>
      </c>
      <c r="D573" s="253">
        <v>1.30395972728729</v>
      </c>
      <c r="E573" s="253">
        <v>1.3117660284042401</v>
      </c>
      <c r="F573" s="253">
        <v>1.3130011558532699</v>
      </c>
      <c r="G573" s="253">
        <v>1.3001606464386</v>
      </c>
      <c r="H573" s="253">
        <v>1.2972036600112899</v>
      </c>
      <c r="I573" s="253">
        <v>1.28666663169861</v>
      </c>
      <c r="J573" s="253">
        <v>1.2722240686416599</v>
      </c>
      <c r="K573" s="253">
        <v>1.2649568319320701</v>
      </c>
      <c r="L573" s="253">
        <v>1.25909507274628</v>
      </c>
      <c r="M573" s="253">
        <v>1.25531446933746</v>
      </c>
      <c r="N573" s="253">
        <v>1.25464415550232</v>
      </c>
      <c r="O573" s="253">
        <v>1.25405156612396</v>
      </c>
      <c r="P573" s="253">
        <v>1.2516055107116699</v>
      </c>
      <c r="Q573" s="253">
        <v>1.25465047359467</v>
      </c>
      <c r="R573" s="253">
        <v>1.2582825422287001</v>
      </c>
      <c r="S573" s="253">
        <v>1.2619441747665401</v>
      </c>
      <c r="T573" s="253">
        <v>1.26514172554016</v>
      </c>
      <c r="U573" s="253">
        <v>1.27338314056396</v>
      </c>
      <c r="V573" s="253">
        <v>1.2817230224609399</v>
      </c>
      <c r="W573" s="253">
        <v>1.31160092353821</v>
      </c>
      <c r="X573" s="253">
        <v>1.3194112777710001</v>
      </c>
      <c r="Y573" s="253">
        <v>1.3217089176178001</v>
      </c>
    </row>
    <row r="574" spans="1:26" x14ac:dyDescent="0.2">
      <c r="A574" s="249" t="s">
        <v>512</v>
      </c>
      <c r="B574" s="253">
        <v>14.6543264389038</v>
      </c>
      <c r="C574" s="253">
        <v>16.232709884643601</v>
      </c>
      <c r="D574" s="253">
        <v>19.6646022796631</v>
      </c>
      <c r="E574" s="253">
        <v>19.5902194976807</v>
      </c>
      <c r="F574" s="253">
        <v>19.473403930664102</v>
      </c>
      <c r="G574" s="253">
        <v>18.312351226806602</v>
      </c>
      <c r="H574" s="253">
        <v>18.154972076416001</v>
      </c>
      <c r="I574" s="253">
        <v>17.744245529174801</v>
      </c>
      <c r="J574" s="253">
        <v>17.108533859252901</v>
      </c>
      <c r="K574" s="253">
        <v>16.985416412353501</v>
      </c>
      <c r="L574" s="253">
        <v>16.891477584838899</v>
      </c>
      <c r="M574" s="253">
        <v>17.106473922729499</v>
      </c>
      <c r="N574" s="253">
        <v>17.298709869384801</v>
      </c>
      <c r="O574" s="253">
        <v>17.370653152465799</v>
      </c>
      <c r="P574" s="253">
        <v>17.404756546020501</v>
      </c>
      <c r="Q574" s="253">
        <v>17.4316711425781</v>
      </c>
      <c r="R574" s="253">
        <v>17.495216369628899</v>
      </c>
      <c r="S574" s="253">
        <v>17.111986160278299</v>
      </c>
      <c r="T574" s="253">
        <v>17.221326828002901</v>
      </c>
      <c r="U574" s="253">
        <v>17.6731853485107</v>
      </c>
      <c r="V574" s="253">
        <v>17.676996231079102</v>
      </c>
      <c r="W574" s="253">
        <v>17.866504669189499</v>
      </c>
      <c r="X574" s="253">
        <v>17.993064880371101</v>
      </c>
      <c r="Y574" s="253">
        <v>18.128524780273398</v>
      </c>
    </row>
    <row r="575" spans="1:26" x14ac:dyDescent="0.2">
      <c r="A575" s="249" t="s">
        <v>479</v>
      </c>
      <c r="B575" s="253">
        <v>21.599882125854499</v>
      </c>
      <c r="C575" s="253">
        <v>21.735733032226602</v>
      </c>
      <c r="D575" s="253">
        <v>21.728578567504901</v>
      </c>
      <c r="E575" s="253">
        <v>21.659519195556602</v>
      </c>
      <c r="F575" s="253">
        <v>20.859115600585898</v>
      </c>
      <c r="G575" s="253">
        <v>19.947565078735401</v>
      </c>
      <c r="H575" s="253">
        <v>19.5044040679932</v>
      </c>
      <c r="I575" s="253">
        <v>19.468164443969702</v>
      </c>
      <c r="J575" s="253">
        <v>19.363897323608398</v>
      </c>
      <c r="K575" s="253">
        <v>19.340778350830099</v>
      </c>
      <c r="L575" s="253">
        <v>19.565423965454102</v>
      </c>
      <c r="M575" s="253">
        <v>19.829431533813501</v>
      </c>
      <c r="N575" s="253">
        <v>20.184032440185501</v>
      </c>
      <c r="O575" s="253">
        <v>20.348131179809599</v>
      </c>
      <c r="P575" s="253">
        <v>20.384618759155298</v>
      </c>
      <c r="Q575" s="253">
        <v>20.4941310882568</v>
      </c>
      <c r="R575" s="253">
        <v>20.6934413909912</v>
      </c>
      <c r="S575" s="253">
        <v>20.961088180541999</v>
      </c>
      <c r="T575" s="253">
        <v>21.1064147949219</v>
      </c>
      <c r="U575" s="253">
        <v>21.2582683563232</v>
      </c>
      <c r="V575" s="253">
        <v>21.2429523468018</v>
      </c>
      <c r="W575" s="253">
        <v>21.2300205230713</v>
      </c>
      <c r="X575" s="253">
        <v>21.277418136596701</v>
      </c>
      <c r="Y575" s="253">
        <v>21.3841457366943</v>
      </c>
    </row>
    <row r="576" spans="1:26" x14ac:dyDescent="0.2">
      <c r="A576" s="249" t="s">
        <v>440</v>
      </c>
      <c r="B576" s="253" t="s">
        <v>440</v>
      </c>
      <c r="C576" s="253" t="s">
        <v>440</v>
      </c>
      <c r="D576" s="253" t="s">
        <v>440</v>
      </c>
      <c r="E576" s="253" t="s">
        <v>440</v>
      </c>
      <c r="F576" s="253" t="s">
        <v>440</v>
      </c>
      <c r="G576" s="253" t="s">
        <v>440</v>
      </c>
      <c r="H576" s="253" t="s">
        <v>440</v>
      </c>
      <c r="I576" s="253" t="s">
        <v>440</v>
      </c>
      <c r="J576" s="253" t="s">
        <v>440</v>
      </c>
      <c r="K576" s="253" t="s">
        <v>440</v>
      </c>
      <c r="L576" s="253" t="s">
        <v>440</v>
      </c>
      <c r="M576" s="253" t="s">
        <v>440</v>
      </c>
      <c r="N576" s="253" t="s">
        <v>440</v>
      </c>
      <c r="O576" s="253" t="s">
        <v>440</v>
      </c>
      <c r="P576" s="253" t="s">
        <v>440</v>
      </c>
      <c r="Q576" s="253" t="s">
        <v>440</v>
      </c>
      <c r="R576" s="253" t="s">
        <v>440</v>
      </c>
      <c r="S576" s="253" t="s">
        <v>440</v>
      </c>
      <c r="T576" s="253" t="s">
        <v>440</v>
      </c>
      <c r="U576" s="253" t="s">
        <v>440</v>
      </c>
      <c r="V576" s="253" t="s">
        <v>440</v>
      </c>
      <c r="W576" s="253" t="s">
        <v>440</v>
      </c>
      <c r="X576" s="253" t="s">
        <v>440</v>
      </c>
      <c r="Y576" s="253" t="s">
        <v>440</v>
      </c>
    </row>
    <row r="577" spans="1:25" x14ac:dyDescent="0.2">
      <c r="A577" s="249" t="s">
        <v>513</v>
      </c>
      <c r="B577" s="253" t="s">
        <v>440</v>
      </c>
      <c r="C577" s="253" t="s">
        <v>440</v>
      </c>
      <c r="D577" s="253" t="s">
        <v>440</v>
      </c>
      <c r="E577" s="253" t="s">
        <v>440</v>
      </c>
      <c r="F577" s="253" t="s">
        <v>440</v>
      </c>
      <c r="G577" s="253" t="s">
        <v>440</v>
      </c>
      <c r="H577" s="253" t="s">
        <v>440</v>
      </c>
      <c r="I577" s="253" t="s">
        <v>440</v>
      </c>
      <c r="J577" s="253" t="s">
        <v>440</v>
      </c>
      <c r="K577" s="253" t="s">
        <v>440</v>
      </c>
      <c r="L577" s="253" t="s">
        <v>440</v>
      </c>
      <c r="M577" s="253" t="s">
        <v>440</v>
      </c>
      <c r="N577" s="253" t="s">
        <v>440</v>
      </c>
      <c r="O577" s="253" t="s">
        <v>440</v>
      </c>
      <c r="P577" s="253" t="s">
        <v>440</v>
      </c>
      <c r="Q577" s="253" t="s">
        <v>440</v>
      </c>
      <c r="R577" s="253" t="s">
        <v>440</v>
      </c>
      <c r="S577" s="253" t="s">
        <v>440</v>
      </c>
      <c r="T577" s="253" t="s">
        <v>440</v>
      </c>
      <c r="U577" s="253" t="s">
        <v>440</v>
      </c>
      <c r="V577" s="253" t="s">
        <v>440</v>
      </c>
      <c r="W577" s="253" t="s">
        <v>440</v>
      </c>
      <c r="X577" s="253" t="s">
        <v>440</v>
      </c>
      <c r="Y577" s="253" t="s">
        <v>440</v>
      </c>
    </row>
    <row r="578" spans="1:25" x14ac:dyDescent="0.2">
      <c r="A578" s="249" t="s">
        <v>514</v>
      </c>
      <c r="B578" s="253" t="s">
        <v>440</v>
      </c>
      <c r="C578" s="253" t="s">
        <v>440</v>
      </c>
      <c r="D578" s="253" t="s">
        <v>440</v>
      </c>
      <c r="E578" s="253" t="s">
        <v>440</v>
      </c>
      <c r="F578" s="253" t="s">
        <v>440</v>
      </c>
      <c r="G578" s="253" t="s">
        <v>440</v>
      </c>
      <c r="H578" s="253" t="s">
        <v>440</v>
      </c>
      <c r="I578" s="253" t="s">
        <v>440</v>
      </c>
      <c r="J578" s="253" t="s">
        <v>440</v>
      </c>
      <c r="K578" s="253" t="s">
        <v>440</v>
      </c>
      <c r="L578" s="253" t="s">
        <v>440</v>
      </c>
      <c r="M578" s="253" t="s">
        <v>440</v>
      </c>
      <c r="N578" s="253" t="s">
        <v>440</v>
      </c>
      <c r="O578" s="253" t="s">
        <v>440</v>
      </c>
      <c r="P578" s="253" t="s">
        <v>440</v>
      </c>
      <c r="Q578" s="253" t="s">
        <v>440</v>
      </c>
      <c r="R578" s="253" t="s">
        <v>440</v>
      </c>
      <c r="S578" s="253" t="s">
        <v>440</v>
      </c>
      <c r="T578" s="253" t="s">
        <v>440</v>
      </c>
      <c r="U578" s="253" t="s">
        <v>440</v>
      </c>
      <c r="V578" s="253" t="s">
        <v>440</v>
      </c>
      <c r="W578" s="253" t="s">
        <v>440</v>
      </c>
      <c r="X578" s="253" t="s">
        <v>440</v>
      </c>
      <c r="Y578" s="253" t="s">
        <v>440</v>
      </c>
    </row>
    <row r="579" spans="1:25" x14ac:dyDescent="0.2">
      <c r="A579" s="249" t="s">
        <v>473</v>
      </c>
      <c r="B579" s="253">
        <v>163.90481567382801</v>
      </c>
      <c r="C579" s="253">
        <v>177.16523742675801</v>
      </c>
      <c r="D579" s="253">
        <v>181.72630310058599</v>
      </c>
      <c r="E579" s="253">
        <v>185.23806762695301</v>
      </c>
      <c r="F579" s="253">
        <v>178.77069091796901</v>
      </c>
      <c r="G579" s="253">
        <v>174.57431030273401</v>
      </c>
      <c r="H579" s="253">
        <v>173.49729919433599</v>
      </c>
      <c r="I579" s="253">
        <v>174.68045043945301</v>
      </c>
      <c r="J579" s="253">
        <v>175.87545776367199</v>
      </c>
      <c r="K579" s="253">
        <v>177.93170166015599</v>
      </c>
      <c r="L579" s="253">
        <v>181.97520446777301</v>
      </c>
      <c r="M579" s="253">
        <v>185.45910644531301</v>
      </c>
      <c r="N579" s="253">
        <v>189.89924621582</v>
      </c>
      <c r="O579" s="253">
        <v>193.20950317382801</v>
      </c>
      <c r="P579" s="253">
        <v>195.50482177734401</v>
      </c>
      <c r="Q579" s="253">
        <v>197.60719299316401</v>
      </c>
      <c r="R579" s="253">
        <v>201.40017700195301</v>
      </c>
      <c r="S579" s="253">
        <v>205.80612182617199</v>
      </c>
      <c r="T579" s="253">
        <v>209.76078796386699</v>
      </c>
      <c r="U579" s="253">
        <v>212.75457763671901</v>
      </c>
      <c r="V579" s="253">
        <v>215.110427856445</v>
      </c>
      <c r="W579" s="253">
        <v>217.42091369628901</v>
      </c>
      <c r="X579" s="253">
        <v>220.97119140625</v>
      </c>
      <c r="Y579" s="253">
        <v>223.85739135742199</v>
      </c>
    </row>
    <row r="580" spans="1:25" x14ac:dyDescent="0.2">
      <c r="A580" s="249" t="s">
        <v>480</v>
      </c>
      <c r="B580" s="253">
        <v>122.690147399902</v>
      </c>
      <c r="C580" s="253">
        <v>128.153732299805</v>
      </c>
      <c r="D580" s="253">
        <v>130.48348999023401</v>
      </c>
      <c r="E580" s="253">
        <v>132.28971862793</v>
      </c>
      <c r="F580" s="253">
        <v>128.48481750488301</v>
      </c>
      <c r="G580" s="253">
        <v>125.5166015625</v>
      </c>
      <c r="H580" s="253">
        <v>125.36106109619099</v>
      </c>
      <c r="I580" s="253">
        <v>127.820442199707</v>
      </c>
      <c r="J580" s="253">
        <v>129.92327880859401</v>
      </c>
      <c r="K580" s="253">
        <v>133.10743713378901</v>
      </c>
      <c r="L580" s="253">
        <v>137.92835998535199</v>
      </c>
      <c r="M580" s="253">
        <v>142.925369262695</v>
      </c>
      <c r="N580" s="253">
        <v>148.816970825195</v>
      </c>
      <c r="O580" s="253">
        <v>153.52194213867199</v>
      </c>
      <c r="P580" s="253">
        <v>157.03869628906301</v>
      </c>
      <c r="Q580" s="253">
        <v>161.345138549805</v>
      </c>
      <c r="R580" s="253">
        <v>166.52362060546901</v>
      </c>
      <c r="S580" s="253">
        <v>172.33033752441401</v>
      </c>
      <c r="T580" s="253">
        <v>177.27947998046901</v>
      </c>
      <c r="U580" s="253">
        <v>182.50421142578099</v>
      </c>
      <c r="V580" s="253">
        <v>186.391357421875</v>
      </c>
      <c r="W580" s="253">
        <v>190.50810241699199</v>
      </c>
      <c r="X580" s="253">
        <v>195.38455200195301</v>
      </c>
      <c r="Y580" s="253">
        <v>200.92575073242199</v>
      </c>
    </row>
    <row r="581" spans="1:25" x14ac:dyDescent="0.2">
      <c r="A581" s="249" t="s">
        <v>515</v>
      </c>
      <c r="B581" s="253">
        <v>124.39901733398401</v>
      </c>
      <c r="C581" s="253">
        <v>147.11244201660199</v>
      </c>
      <c r="D581" s="253">
        <v>168.10716247558599</v>
      </c>
      <c r="E581" s="253">
        <v>167.31402587890599</v>
      </c>
      <c r="F581" s="253">
        <v>151.68084716796901</v>
      </c>
      <c r="G581" s="253">
        <v>143.54243469238301</v>
      </c>
      <c r="H581" s="253">
        <v>141.56742858886699</v>
      </c>
      <c r="I581" s="253">
        <v>140.77819824218801</v>
      </c>
      <c r="J581" s="253">
        <v>139.57333374023401</v>
      </c>
      <c r="K581" s="253">
        <v>140.39901733398401</v>
      </c>
      <c r="L581" s="253">
        <v>142.75350952148401</v>
      </c>
      <c r="M581" s="253">
        <v>145.42568969726599</v>
      </c>
      <c r="N581" s="253">
        <v>149.20526123046901</v>
      </c>
      <c r="O581" s="253">
        <v>152.35485839843801</v>
      </c>
      <c r="P581" s="253">
        <v>153.50325012207</v>
      </c>
      <c r="Q581" s="253">
        <v>156.35830688476599</v>
      </c>
      <c r="R581" s="253">
        <v>160.767654418945</v>
      </c>
      <c r="S581" s="253">
        <v>165.76315307617199</v>
      </c>
      <c r="T581" s="253">
        <v>169.931716918945</v>
      </c>
      <c r="U581" s="253">
        <v>173.961990356445</v>
      </c>
      <c r="V581" s="253">
        <v>176.65931701660199</v>
      </c>
      <c r="W581" s="253">
        <v>179.21453857421901</v>
      </c>
      <c r="X581" s="253">
        <v>182.00726318359401</v>
      </c>
      <c r="Y581" s="253">
        <v>184.95687866210901</v>
      </c>
    </row>
    <row r="582" spans="1:25" x14ac:dyDescent="0.2">
      <c r="A582" s="249" t="s">
        <v>487</v>
      </c>
      <c r="B582" s="253">
        <v>263.72879028320301</v>
      </c>
      <c r="C582" s="253">
        <v>302.59255981445301</v>
      </c>
      <c r="D582" s="253">
        <v>352.23770141601602</v>
      </c>
      <c r="E582" s="253">
        <v>351.05020141601602</v>
      </c>
      <c r="F582" s="253">
        <v>340.83407592773398</v>
      </c>
      <c r="G582" s="253">
        <v>332.5693359375</v>
      </c>
      <c r="H582" s="253">
        <v>335.96701049804699</v>
      </c>
      <c r="I582" s="253">
        <v>336.85531616210898</v>
      </c>
      <c r="J582" s="253">
        <v>341.13198852539102</v>
      </c>
      <c r="K582" s="253">
        <v>348.16427612304699</v>
      </c>
      <c r="L582" s="253">
        <v>352.90618896484398</v>
      </c>
      <c r="M582" s="253">
        <v>359.69818115234398</v>
      </c>
      <c r="N582" s="253">
        <v>365.95080566406301</v>
      </c>
      <c r="O582" s="253">
        <v>372.46246337890602</v>
      </c>
      <c r="P582" s="253">
        <v>379.283447265625</v>
      </c>
      <c r="Q582" s="253">
        <v>387.02755737304699</v>
      </c>
      <c r="R582" s="253">
        <v>393.88119506835898</v>
      </c>
      <c r="S582" s="253">
        <v>401.07183837890602</v>
      </c>
      <c r="T582" s="253">
        <v>407.83190917968801</v>
      </c>
      <c r="U582" s="253">
        <v>415.10699462890602</v>
      </c>
      <c r="V582" s="253">
        <v>423.06927490234398</v>
      </c>
      <c r="W582" s="253">
        <v>431.36416625976602</v>
      </c>
      <c r="X582" s="253">
        <v>438.52017211914102</v>
      </c>
      <c r="Y582" s="253">
        <v>449.30920410156301</v>
      </c>
    </row>
    <row r="583" spans="1:25" x14ac:dyDescent="0.2">
      <c r="A583" s="249" t="s">
        <v>516</v>
      </c>
      <c r="B583" s="253">
        <v>674.72277832031295</v>
      </c>
      <c r="C583" s="253">
        <v>755.02398681640602</v>
      </c>
      <c r="D583" s="253">
        <v>832.5546875</v>
      </c>
      <c r="E583" s="253">
        <v>835.89202880859398</v>
      </c>
      <c r="F583" s="253">
        <v>799.77044677734398</v>
      </c>
      <c r="G583" s="253">
        <v>776.20269775390602</v>
      </c>
      <c r="H583" s="253">
        <v>776.392822265625</v>
      </c>
      <c r="I583" s="253">
        <v>780.13439941406295</v>
      </c>
      <c r="J583" s="253">
        <v>786.50402832031295</v>
      </c>
      <c r="K583" s="253">
        <v>799.60241699218795</v>
      </c>
      <c r="L583" s="253">
        <v>815.563232421875</v>
      </c>
      <c r="M583" s="253">
        <v>833.50836181640602</v>
      </c>
      <c r="N583" s="253">
        <v>853.872314453125</v>
      </c>
      <c r="O583" s="253">
        <v>871.54876708984398</v>
      </c>
      <c r="P583" s="253">
        <v>885.33020019531295</v>
      </c>
      <c r="Q583" s="253">
        <v>902.33819580078102</v>
      </c>
      <c r="R583" s="253">
        <v>922.57263183593795</v>
      </c>
      <c r="S583" s="253">
        <v>944.971435546875</v>
      </c>
      <c r="T583" s="253">
        <v>964.80389404296898</v>
      </c>
      <c r="U583" s="253">
        <v>984.32775878906295</v>
      </c>
      <c r="V583" s="253">
        <v>1001.23034667969</v>
      </c>
      <c r="W583" s="253">
        <v>1018.50769042969</v>
      </c>
      <c r="X583" s="253">
        <v>1036.88317871094</v>
      </c>
      <c r="Y583" s="253">
        <v>1059.04919433594</v>
      </c>
    </row>
    <row r="584" spans="1:25" x14ac:dyDescent="0.2">
      <c r="A584" s="249" t="s">
        <v>517</v>
      </c>
      <c r="B584" s="253">
        <v>1.1704622767865699E-2</v>
      </c>
      <c r="C584" s="253">
        <v>1.72001253813505E-2</v>
      </c>
      <c r="D584" s="253">
        <v>2.0739471539855E-2</v>
      </c>
      <c r="E584" s="253">
        <v>2.2893460467457799E-2</v>
      </c>
      <c r="F584" s="253">
        <v>2.3359816521406201E-2</v>
      </c>
      <c r="G584" s="253">
        <v>2.56899110972881E-2</v>
      </c>
      <c r="H584" s="253">
        <v>2.8361881151795401E-2</v>
      </c>
      <c r="I584" s="253">
        <v>3.0972529202699699E-2</v>
      </c>
      <c r="J584" s="253">
        <v>3.4895084798336001E-2</v>
      </c>
      <c r="K584" s="253">
        <v>3.86636592447758E-2</v>
      </c>
      <c r="L584" s="253">
        <v>4.1480015963315998E-2</v>
      </c>
      <c r="M584" s="253">
        <v>4.3943785130977603E-2</v>
      </c>
      <c r="N584" s="253">
        <v>4.6801801770925501E-2</v>
      </c>
      <c r="O584" s="253">
        <v>4.9450792372226701E-2</v>
      </c>
      <c r="P584" s="253">
        <v>5.3890265524387401E-2</v>
      </c>
      <c r="Q584" s="253">
        <v>5.8303136378526701E-2</v>
      </c>
      <c r="R584" s="253">
        <v>6.2215700745582601E-2</v>
      </c>
      <c r="S584" s="253">
        <v>6.0202639549970599E-2</v>
      </c>
      <c r="T584" s="253">
        <v>6.6687978804111495E-2</v>
      </c>
      <c r="U584" s="253">
        <v>6.8060472607612596E-2</v>
      </c>
      <c r="V584" s="253">
        <v>7.0131160318851499E-2</v>
      </c>
      <c r="W584" s="253">
        <v>7.4032962322235094E-2</v>
      </c>
      <c r="X584" s="253">
        <v>7.6179362833499895E-2</v>
      </c>
      <c r="Y584" s="253">
        <v>7.9960107803344699E-2</v>
      </c>
    </row>
    <row r="585" spans="1:25" x14ac:dyDescent="0.2">
      <c r="A585" s="249" t="s">
        <v>518</v>
      </c>
      <c r="B585" s="253">
        <v>674.73449707031295</v>
      </c>
      <c r="C585" s="253">
        <v>755.04119873046898</v>
      </c>
      <c r="D585" s="253">
        <v>832.575439453125</v>
      </c>
      <c r="E585" s="253">
        <v>835.91491699218795</v>
      </c>
      <c r="F585" s="253">
        <v>799.79382324218795</v>
      </c>
      <c r="G585" s="253">
        <v>776.22839355468795</v>
      </c>
      <c r="H585" s="253">
        <v>776.42120361328102</v>
      </c>
      <c r="I585" s="253">
        <v>780.16534423828102</v>
      </c>
      <c r="J585" s="253">
        <v>786.53894042968795</v>
      </c>
      <c r="K585" s="253">
        <v>799.64105224609398</v>
      </c>
      <c r="L585" s="253">
        <v>815.604736328125</v>
      </c>
      <c r="M585" s="253">
        <v>833.55230712890602</v>
      </c>
      <c r="N585" s="253">
        <v>853.91912841796898</v>
      </c>
      <c r="O585" s="253">
        <v>871.59820556640602</v>
      </c>
      <c r="P585" s="253">
        <v>885.38409423828102</v>
      </c>
      <c r="Q585" s="253">
        <v>902.396484375</v>
      </c>
      <c r="R585" s="253">
        <v>922.63482666015602</v>
      </c>
      <c r="S585" s="253">
        <v>945.03161621093795</v>
      </c>
      <c r="T585" s="253">
        <v>964.87060546875</v>
      </c>
      <c r="U585" s="253">
        <v>984.39581298828102</v>
      </c>
      <c r="V585" s="253">
        <v>1001.30047607422</v>
      </c>
      <c r="W585" s="253">
        <v>1018.58172607422</v>
      </c>
      <c r="X585" s="253">
        <v>1036.95935058594</v>
      </c>
      <c r="Y585" s="253">
        <v>1059.12915039063</v>
      </c>
    </row>
    <row r="586" spans="1:25" x14ac:dyDescent="0.2">
      <c r="A586" s="293" t="s">
        <v>1082</v>
      </c>
      <c r="B586" s="253" t="s">
        <v>593</v>
      </c>
      <c r="C586" s="253"/>
      <c r="D586" s="253"/>
      <c r="E586" s="253"/>
      <c r="F586" s="253"/>
      <c r="G586" s="253"/>
      <c r="H586" s="253"/>
      <c r="I586" s="253"/>
      <c r="J586" s="253"/>
      <c r="K586" s="253"/>
      <c r="L586" s="253"/>
      <c r="M586" s="253"/>
      <c r="N586" s="253"/>
      <c r="O586" s="253"/>
      <c r="P586" s="253"/>
      <c r="Q586" s="253"/>
      <c r="R586" s="253"/>
      <c r="S586" s="253"/>
      <c r="T586" s="253"/>
      <c r="U586" s="253"/>
      <c r="V586" s="253"/>
      <c r="W586" s="253"/>
      <c r="X586" s="253"/>
      <c r="Y586" s="253"/>
    </row>
    <row r="587" spans="1:25" x14ac:dyDescent="0.2">
      <c r="A587" s="282" t="s">
        <v>311</v>
      </c>
      <c r="B587" s="253" t="s">
        <v>593</v>
      </c>
      <c r="C587" s="253"/>
      <c r="D587" s="253"/>
      <c r="E587" s="253"/>
      <c r="F587" s="253"/>
      <c r="G587" s="253"/>
      <c r="H587" s="253"/>
      <c r="I587" s="253"/>
      <c r="J587" s="253"/>
      <c r="K587" s="253"/>
      <c r="L587" s="253"/>
      <c r="M587" s="253"/>
      <c r="N587" s="253"/>
      <c r="O587" s="253"/>
      <c r="P587" s="253"/>
      <c r="Q587" s="253"/>
      <c r="R587" s="253"/>
      <c r="S587" s="253"/>
      <c r="T587" s="253"/>
      <c r="U587" s="253"/>
      <c r="V587" s="253"/>
      <c r="W587" s="253"/>
      <c r="X587" s="253"/>
      <c r="Y587" s="253"/>
    </row>
    <row r="588" spans="1:25" x14ac:dyDescent="0.2">
      <c r="A588" s="249" t="s">
        <v>440</v>
      </c>
      <c r="B588" s="253" t="s">
        <v>440</v>
      </c>
      <c r="C588" s="253" t="s">
        <v>440</v>
      </c>
      <c r="D588" s="253" t="s">
        <v>440</v>
      </c>
      <c r="E588" s="253" t="s">
        <v>440</v>
      </c>
      <c r="F588" s="253" t="s">
        <v>440</v>
      </c>
      <c r="G588" s="253" t="s">
        <v>440</v>
      </c>
      <c r="H588" s="253" t="s">
        <v>440</v>
      </c>
      <c r="I588" s="253" t="s">
        <v>440</v>
      </c>
      <c r="J588" s="253" t="s">
        <v>440</v>
      </c>
      <c r="K588" s="253" t="s">
        <v>440</v>
      </c>
      <c r="L588" s="253" t="s">
        <v>440</v>
      </c>
      <c r="M588" s="253" t="s">
        <v>440</v>
      </c>
      <c r="N588" s="253" t="s">
        <v>440</v>
      </c>
      <c r="O588" s="253" t="s">
        <v>440</v>
      </c>
      <c r="P588" s="253" t="s">
        <v>440</v>
      </c>
      <c r="Q588" s="253" t="s">
        <v>440</v>
      </c>
      <c r="R588" s="253" t="s">
        <v>440</v>
      </c>
      <c r="S588" s="253" t="s">
        <v>440</v>
      </c>
      <c r="T588" s="253" t="s">
        <v>440</v>
      </c>
      <c r="U588" s="253" t="s">
        <v>440</v>
      </c>
      <c r="V588" s="253" t="s">
        <v>440</v>
      </c>
      <c r="W588" s="253" t="s">
        <v>440</v>
      </c>
      <c r="X588" s="253" t="s">
        <v>440</v>
      </c>
      <c r="Y588" s="253" t="s">
        <v>440</v>
      </c>
    </row>
    <row r="589" spans="1:25" x14ac:dyDescent="0.2">
      <c r="A589" s="249" t="s">
        <v>519</v>
      </c>
      <c r="B589" s="253"/>
      <c r="C589" s="253"/>
      <c r="D589" s="253"/>
      <c r="E589" s="253"/>
      <c r="F589" s="253"/>
      <c r="G589" s="253"/>
      <c r="H589" s="253"/>
      <c r="I589" s="253"/>
      <c r="J589" s="253"/>
      <c r="K589" s="253"/>
      <c r="L589" s="253"/>
      <c r="M589" s="253"/>
      <c r="N589" s="253"/>
      <c r="O589" s="253"/>
      <c r="P589" s="253"/>
      <c r="Q589" s="253"/>
      <c r="R589" s="253"/>
      <c r="S589" s="253"/>
      <c r="T589" s="253"/>
      <c r="U589" s="253"/>
      <c r="V589" s="253"/>
      <c r="W589" s="253"/>
      <c r="X589" s="253"/>
      <c r="Y589" s="253"/>
    </row>
    <row r="590" spans="1:25" x14ac:dyDescent="0.2">
      <c r="A590" s="249" t="s">
        <v>520</v>
      </c>
      <c r="B590" s="253"/>
      <c r="C590" s="253"/>
      <c r="D590" s="253"/>
      <c r="E590" s="253"/>
      <c r="F590" s="253"/>
      <c r="G590" s="253"/>
      <c r="H590" s="253"/>
      <c r="I590" s="253"/>
      <c r="J590" s="253"/>
      <c r="K590" s="253"/>
      <c r="L590" s="253"/>
      <c r="M590" s="253"/>
      <c r="N590" s="253"/>
      <c r="O590" s="253"/>
      <c r="P590" s="253"/>
      <c r="Q590" s="253"/>
      <c r="R590" s="253"/>
      <c r="S590" s="253"/>
      <c r="T590" s="253"/>
      <c r="U590" s="253"/>
      <c r="V590" s="253"/>
      <c r="W590" s="253"/>
      <c r="X590" s="253"/>
      <c r="Y590" s="253"/>
    </row>
    <row r="591" spans="1:25" x14ac:dyDescent="0.2">
      <c r="A591" s="249" t="s">
        <v>521</v>
      </c>
      <c r="B591" s="253"/>
      <c r="C591" s="253"/>
      <c r="D591" s="253"/>
      <c r="E591" s="253"/>
      <c r="F591" s="253"/>
      <c r="G591" s="253"/>
      <c r="H591" s="253"/>
      <c r="I591" s="253"/>
      <c r="J591" s="253"/>
      <c r="K591" s="253"/>
      <c r="L591" s="253"/>
      <c r="M591" s="253"/>
      <c r="N591" s="253"/>
      <c r="O591" s="253"/>
      <c r="P591" s="253"/>
      <c r="Q591" s="253"/>
      <c r="R591" s="253"/>
      <c r="S591" s="253"/>
      <c r="T591" s="253"/>
      <c r="U591" s="253"/>
      <c r="V591" s="253"/>
      <c r="W591" s="253"/>
      <c r="X591" s="253"/>
      <c r="Y591" s="253"/>
    </row>
    <row r="592" spans="1:25" x14ac:dyDescent="0.2">
      <c r="A592" s="249" t="s">
        <v>522</v>
      </c>
      <c r="B592" s="253"/>
      <c r="C592" s="253"/>
      <c r="D592" s="253"/>
      <c r="E592" s="253"/>
      <c r="F592" s="253"/>
      <c r="G592" s="253"/>
      <c r="H592" s="253"/>
      <c r="I592" s="253"/>
      <c r="J592" s="253"/>
      <c r="K592" s="253"/>
      <c r="L592" s="253"/>
      <c r="M592" s="253"/>
      <c r="N592" s="253"/>
      <c r="O592" s="253"/>
      <c r="P592" s="253"/>
      <c r="Q592" s="253"/>
      <c r="R592" s="253"/>
      <c r="S592" s="253"/>
      <c r="T592" s="253"/>
      <c r="U592" s="253"/>
      <c r="V592" s="253"/>
      <c r="W592" s="253"/>
      <c r="X592" s="253"/>
      <c r="Y592" s="253"/>
    </row>
    <row r="593" spans="1:25" x14ac:dyDescent="0.2">
      <c r="A593" s="249" t="s">
        <v>523</v>
      </c>
      <c r="B593" s="253"/>
      <c r="C593" s="253"/>
      <c r="D593" s="253"/>
      <c r="E593" s="253"/>
      <c r="F593" s="253"/>
      <c r="G593" s="253"/>
      <c r="H593" s="253"/>
      <c r="I593" s="253"/>
      <c r="J593" s="253"/>
      <c r="K593" s="253"/>
      <c r="L593" s="253"/>
      <c r="M593" s="253"/>
      <c r="N593" s="253"/>
      <c r="O593" s="253"/>
      <c r="P593" s="253"/>
      <c r="Q593" s="253"/>
      <c r="R593" s="253"/>
      <c r="S593" s="253"/>
      <c r="T593" s="253"/>
      <c r="U593" s="253"/>
      <c r="V593" s="253"/>
      <c r="W593" s="253"/>
      <c r="X593" s="253"/>
      <c r="Y593" s="253"/>
    </row>
    <row r="594" spans="1:25" x14ac:dyDescent="0.2">
      <c r="A594" s="249" t="s">
        <v>524</v>
      </c>
      <c r="B594" s="253"/>
      <c r="C594" s="253"/>
      <c r="D594" s="253"/>
      <c r="E594" s="253"/>
      <c r="F594" s="253"/>
      <c r="G594" s="253"/>
      <c r="H594" s="253"/>
      <c r="I594" s="253"/>
      <c r="J594" s="253"/>
      <c r="K594" s="253"/>
      <c r="L594" s="253"/>
      <c r="M594" s="253"/>
      <c r="N594" s="253"/>
      <c r="O594" s="253"/>
      <c r="P594" s="253"/>
      <c r="Q594" s="253"/>
      <c r="R594" s="253"/>
      <c r="S594" s="253"/>
      <c r="T594" s="253"/>
      <c r="U594" s="253"/>
      <c r="V594" s="253"/>
      <c r="W594" s="253"/>
      <c r="X594" s="253"/>
      <c r="Y594" s="253"/>
    </row>
    <row r="595" spans="1:25" x14ac:dyDescent="0.2">
      <c r="A595" s="249" t="s">
        <v>525</v>
      </c>
      <c r="B595" s="253"/>
      <c r="C595" s="253"/>
      <c r="D595" s="253"/>
      <c r="E595" s="253"/>
      <c r="F595" s="253"/>
      <c r="G595" s="253"/>
      <c r="H595" s="253"/>
      <c r="I595" s="253"/>
      <c r="J595" s="253"/>
      <c r="K595" s="253"/>
      <c r="L595" s="253"/>
      <c r="M595" s="253"/>
      <c r="N595" s="253"/>
      <c r="O595" s="253"/>
      <c r="P595" s="253"/>
      <c r="Q595" s="253"/>
      <c r="R595" s="253"/>
      <c r="S595" s="253"/>
      <c r="T595" s="253"/>
      <c r="U595" s="253"/>
      <c r="V595" s="253"/>
      <c r="W595" s="253"/>
      <c r="X595" s="253"/>
      <c r="Y595" s="253"/>
    </row>
    <row r="596" spans="1:25" x14ac:dyDescent="0.2">
      <c r="A596" s="249" t="s">
        <v>526</v>
      </c>
      <c r="B596" s="253"/>
      <c r="C596" s="253"/>
      <c r="D596" s="253"/>
      <c r="E596" s="253"/>
      <c r="F596" s="253"/>
      <c r="G596" s="253"/>
      <c r="H596" s="253"/>
      <c r="I596" s="253"/>
      <c r="J596" s="253"/>
      <c r="K596" s="253"/>
      <c r="L596" s="253"/>
      <c r="M596" s="253"/>
      <c r="N596" s="253"/>
      <c r="O596" s="253"/>
      <c r="P596" s="253"/>
      <c r="Q596" s="253"/>
      <c r="R596" s="253"/>
      <c r="S596" s="253"/>
      <c r="T596" s="253"/>
      <c r="U596" s="253"/>
      <c r="V596" s="253"/>
      <c r="W596" s="253"/>
      <c r="X596" s="253"/>
      <c r="Y596" s="253"/>
    </row>
    <row r="597" spans="1:25" x14ac:dyDescent="0.2">
      <c r="A597" s="249" t="s">
        <v>527</v>
      </c>
      <c r="B597" s="253"/>
      <c r="C597" s="253"/>
      <c r="D597" s="253"/>
      <c r="E597" s="253"/>
      <c r="F597" s="253"/>
      <c r="G597" s="253"/>
      <c r="H597" s="253"/>
      <c r="I597" s="253"/>
      <c r="J597" s="253"/>
      <c r="K597" s="253"/>
      <c r="L597" s="253"/>
      <c r="M597" s="253"/>
      <c r="N597" s="253"/>
      <c r="O597" s="253"/>
      <c r="P597" s="253"/>
      <c r="Q597" s="253"/>
      <c r="R597" s="253"/>
      <c r="S597" s="253"/>
      <c r="T597" s="253"/>
      <c r="U597" s="253"/>
      <c r="V597" s="253"/>
      <c r="W597" s="253"/>
      <c r="X597" s="253"/>
      <c r="Y597" s="253"/>
    </row>
    <row r="598" spans="1:25" x14ac:dyDescent="0.2">
      <c r="A598" s="249" t="s">
        <v>532</v>
      </c>
      <c r="B598" s="253"/>
      <c r="C598" s="253"/>
      <c r="D598" s="253"/>
      <c r="E598" s="253"/>
      <c r="F598" s="253"/>
      <c r="G598" s="253"/>
      <c r="H598" s="253"/>
      <c r="I598" s="253"/>
      <c r="J598" s="253"/>
      <c r="K598" s="253"/>
      <c r="L598" s="253"/>
      <c r="M598" s="253"/>
      <c r="N598" s="253"/>
      <c r="O598" s="253"/>
      <c r="P598" s="253"/>
      <c r="Q598" s="253"/>
      <c r="R598" s="253"/>
      <c r="S598" s="253"/>
      <c r="T598" s="253"/>
      <c r="U598" s="253"/>
      <c r="V598" s="253"/>
      <c r="W598" s="253"/>
      <c r="X598" s="253"/>
      <c r="Y598" s="253"/>
    </row>
    <row r="599" spans="1:25" x14ac:dyDescent="0.2">
      <c r="A599" s="249" t="s">
        <v>542</v>
      </c>
      <c r="B599" s="253"/>
      <c r="C599" s="253"/>
      <c r="D599" s="253"/>
      <c r="E599" s="253"/>
      <c r="F599" s="253"/>
      <c r="G599" s="253"/>
      <c r="H599" s="253"/>
      <c r="I599" s="253"/>
      <c r="J599" s="253"/>
      <c r="K599" s="253"/>
      <c r="L599" s="253"/>
      <c r="M599" s="253"/>
      <c r="N599" s="253"/>
      <c r="O599" s="253"/>
      <c r="P599" s="253"/>
      <c r="Q599" s="253"/>
      <c r="R599" s="253"/>
      <c r="S599" s="253"/>
      <c r="T599" s="253"/>
      <c r="U599" s="253"/>
      <c r="V599" s="253"/>
      <c r="W599" s="253"/>
      <c r="X599" s="253"/>
      <c r="Y599" s="253"/>
    </row>
    <row r="600" spans="1:25" x14ac:dyDescent="0.2">
      <c r="A600" s="249" t="s">
        <v>543</v>
      </c>
      <c r="B600" s="253"/>
      <c r="C600" s="253"/>
      <c r="D600" s="253"/>
      <c r="E600" s="253"/>
      <c r="F600" s="253"/>
      <c r="G600" s="253"/>
      <c r="H600" s="253"/>
      <c r="I600" s="253"/>
      <c r="J600" s="253"/>
      <c r="K600" s="253"/>
      <c r="L600" s="253"/>
      <c r="M600" s="253"/>
      <c r="N600" s="253"/>
      <c r="O600" s="253"/>
      <c r="P600" s="253"/>
      <c r="Q600" s="253"/>
      <c r="R600" s="253"/>
      <c r="S600" s="253"/>
      <c r="T600" s="253"/>
      <c r="U600" s="253"/>
      <c r="V600" s="253"/>
      <c r="W600" s="253"/>
      <c r="X600" s="253"/>
      <c r="Y600" s="253"/>
    </row>
    <row r="601" spans="1:25" x14ac:dyDescent="0.2">
      <c r="A601" s="249" t="s">
        <v>544</v>
      </c>
      <c r="B601" s="253"/>
      <c r="C601" s="253"/>
      <c r="D601" s="253"/>
      <c r="E601" s="253"/>
      <c r="F601" s="253"/>
      <c r="G601" s="253"/>
      <c r="H601" s="253"/>
      <c r="I601" s="253"/>
      <c r="J601" s="253"/>
      <c r="K601" s="253"/>
      <c r="L601" s="253"/>
      <c r="M601" s="253"/>
      <c r="N601" s="253"/>
      <c r="O601" s="253"/>
      <c r="P601" s="253"/>
      <c r="Q601" s="253"/>
      <c r="R601" s="253"/>
      <c r="S601" s="253"/>
      <c r="T601" s="253"/>
      <c r="U601" s="253"/>
      <c r="V601" s="253"/>
      <c r="W601" s="253"/>
      <c r="X601" s="253"/>
      <c r="Y601" s="253"/>
    </row>
    <row r="602" spans="1:25" x14ac:dyDescent="0.2">
      <c r="A602" s="249" t="s">
        <v>545</v>
      </c>
      <c r="B602" s="253"/>
      <c r="C602" s="253"/>
      <c r="D602" s="253"/>
      <c r="E602" s="253"/>
      <c r="F602" s="253"/>
      <c r="G602" s="253"/>
      <c r="H602" s="253"/>
      <c r="I602" s="253"/>
      <c r="J602" s="253"/>
      <c r="K602" s="253"/>
      <c r="L602" s="253"/>
      <c r="M602" s="253"/>
      <c r="N602" s="253"/>
      <c r="O602" s="253"/>
      <c r="P602" s="253"/>
      <c r="Q602" s="253"/>
      <c r="R602" s="253"/>
      <c r="S602" s="253"/>
      <c r="T602" s="253"/>
      <c r="U602" s="253"/>
      <c r="V602" s="253"/>
      <c r="W602" s="253"/>
      <c r="X602" s="253"/>
      <c r="Y602" s="253"/>
    </row>
    <row r="603" spans="1:25" x14ac:dyDescent="0.2">
      <c r="A603" s="249" t="s">
        <v>546</v>
      </c>
      <c r="B603" s="253"/>
      <c r="C603" s="253"/>
      <c r="D603" s="253"/>
      <c r="E603" s="253"/>
      <c r="F603" s="253"/>
      <c r="G603" s="253"/>
      <c r="H603" s="253"/>
      <c r="I603" s="253"/>
      <c r="J603" s="253"/>
      <c r="K603" s="253"/>
      <c r="L603" s="253"/>
      <c r="M603" s="253"/>
      <c r="N603" s="253"/>
      <c r="O603" s="253"/>
      <c r="P603" s="253"/>
      <c r="Q603" s="253"/>
      <c r="R603" s="253"/>
      <c r="S603" s="253"/>
      <c r="T603" s="253"/>
      <c r="U603" s="253"/>
      <c r="V603" s="253"/>
      <c r="W603" s="253"/>
      <c r="X603" s="253"/>
      <c r="Y603" s="253"/>
    </row>
    <row r="604" spans="1:25" x14ac:dyDescent="0.2">
      <c r="A604" s="249" t="s">
        <v>547</v>
      </c>
      <c r="B604" s="253"/>
      <c r="C604" s="253"/>
      <c r="D604" s="253"/>
      <c r="E604" s="253"/>
      <c r="F604" s="253"/>
      <c r="G604" s="253"/>
      <c r="H604" s="253"/>
      <c r="I604" s="253"/>
      <c r="J604" s="253"/>
      <c r="K604" s="253"/>
      <c r="L604" s="253"/>
      <c r="M604" s="253"/>
      <c r="N604" s="253"/>
      <c r="O604" s="253"/>
      <c r="P604" s="253"/>
      <c r="Q604" s="253"/>
      <c r="R604" s="253"/>
      <c r="S604" s="253"/>
      <c r="T604" s="253"/>
      <c r="U604" s="253"/>
      <c r="V604" s="253"/>
      <c r="W604" s="253"/>
      <c r="X604" s="253"/>
      <c r="Y604" s="253"/>
    </row>
    <row r="605" spans="1:25" x14ac:dyDescent="0.2">
      <c r="A605" s="249" t="s">
        <v>548</v>
      </c>
      <c r="B605" s="253"/>
      <c r="C605" s="253"/>
      <c r="D605" s="253"/>
      <c r="E605" s="253"/>
      <c r="F605" s="253"/>
      <c r="G605" s="253"/>
      <c r="H605" s="253"/>
      <c r="I605" s="253"/>
      <c r="J605" s="253"/>
      <c r="K605" s="253"/>
      <c r="L605" s="253"/>
      <c r="M605" s="253"/>
      <c r="N605" s="253"/>
      <c r="O605" s="253"/>
      <c r="P605" s="253"/>
      <c r="Q605" s="253"/>
      <c r="R605" s="253"/>
      <c r="S605" s="253"/>
      <c r="T605" s="253"/>
      <c r="U605" s="253"/>
      <c r="V605" s="253"/>
      <c r="W605" s="253"/>
      <c r="X605" s="253"/>
      <c r="Y605" s="253"/>
    </row>
    <row r="606" spans="1:25" x14ac:dyDescent="0.2">
      <c r="A606" s="249" t="s">
        <v>552</v>
      </c>
      <c r="B606" s="253"/>
      <c r="C606" s="253"/>
      <c r="D606" s="253"/>
      <c r="E606" s="253"/>
      <c r="F606" s="253"/>
      <c r="G606" s="253"/>
      <c r="H606" s="253"/>
      <c r="I606" s="253"/>
      <c r="J606" s="253"/>
      <c r="K606" s="253"/>
      <c r="L606" s="253"/>
      <c r="M606" s="253"/>
      <c r="N606" s="253"/>
      <c r="O606" s="253"/>
      <c r="P606" s="253"/>
      <c r="Q606" s="253"/>
      <c r="R606" s="253"/>
      <c r="S606" s="253"/>
      <c r="T606" s="253"/>
      <c r="U606" s="253"/>
      <c r="V606" s="253"/>
      <c r="W606" s="253"/>
      <c r="X606" s="253"/>
      <c r="Y606" s="253"/>
    </row>
    <row r="607" spans="1:25" x14ac:dyDescent="0.2">
      <c r="A607" s="249" t="s">
        <v>553</v>
      </c>
      <c r="B607" s="253"/>
      <c r="C607" s="253"/>
      <c r="D607" s="253"/>
      <c r="E607" s="253"/>
      <c r="F607" s="253"/>
      <c r="G607" s="253"/>
      <c r="H607" s="253"/>
      <c r="I607" s="253"/>
      <c r="J607" s="253"/>
      <c r="K607" s="253"/>
      <c r="L607" s="253"/>
      <c r="M607" s="253"/>
      <c r="N607" s="253"/>
      <c r="O607" s="253"/>
      <c r="P607" s="253"/>
      <c r="Q607" s="253"/>
      <c r="R607" s="253"/>
      <c r="S607" s="253"/>
      <c r="T607" s="253"/>
      <c r="U607" s="253"/>
      <c r="V607" s="253"/>
      <c r="W607" s="253"/>
      <c r="X607" s="253"/>
      <c r="Y607" s="253"/>
    </row>
    <row r="608" spans="1:25" x14ac:dyDescent="0.2">
      <c r="A608" s="249" t="s">
        <v>554</v>
      </c>
      <c r="B608" s="253"/>
      <c r="C608" s="253"/>
      <c r="D608" s="253"/>
      <c r="E608" s="253"/>
      <c r="F608" s="253"/>
      <c r="G608" s="253"/>
      <c r="H608" s="253"/>
      <c r="I608" s="253"/>
      <c r="J608" s="253"/>
      <c r="K608" s="253"/>
      <c r="L608" s="253"/>
      <c r="M608" s="253"/>
      <c r="N608" s="253"/>
      <c r="O608" s="253"/>
      <c r="P608" s="253"/>
      <c r="Q608" s="253"/>
      <c r="R608" s="253"/>
      <c r="S608" s="253"/>
      <c r="T608" s="253"/>
      <c r="U608" s="253"/>
      <c r="V608" s="253"/>
      <c r="W608" s="253"/>
      <c r="X608" s="253"/>
      <c r="Y608" s="253"/>
    </row>
    <row r="609" spans="1:26" x14ac:dyDescent="0.2">
      <c r="A609" s="249" t="s">
        <v>555</v>
      </c>
      <c r="B609" s="253"/>
      <c r="C609" s="253"/>
      <c r="D609" s="253"/>
      <c r="E609" s="253"/>
      <c r="F609" s="253"/>
      <c r="G609" s="253"/>
      <c r="H609" s="253"/>
      <c r="I609" s="253"/>
      <c r="J609" s="253"/>
      <c r="K609" s="253"/>
      <c r="L609" s="253"/>
      <c r="M609" s="253"/>
      <c r="N609" s="253"/>
      <c r="O609" s="253"/>
      <c r="P609" s="253"/>
      <c r="Q609" s="253"/>
      <c r="R609" s="253"/>
      <c r="S609" s="253"/>
      <c r="T609" s="253"/>
      <c r="U609" s="253"/>
      <c r="V609" s="253"/>
      <c r="W609" s="253"/>
      <c r="X609" s="253"/>
      <c r="Y609" s="253"/>
    </row>
    <row r="610" spans="1:26" x14ac:dyDescent="0.2">
      <c r="A610" s="249" t="s">
        <v>556</v>
      </c>
      <c r="B610" s="253"/>
      <c r="C610" s="253"/>
      <c r="D610" s="253"/>
      <c r="E610" s="253"/>
      <c r="F610" s="253"/>
      <c r="G610" s="253"/>
      <c r="H610" s="253"/>
      <c r="I610" s="253"/>
      <c r="J610" s="253"/>
      <c r="K610" s="253"/>
      <c r="L610" s="253"/>
      <c r="M610" s="253"/>
      <c r="N610" s="253"/>
      <c r="O610" s="253"/>
      <c r="P610" s="253"/>
      <c r="Q610" s="253"/>
      <c r="R610" s="253"/>
      <c r="S610" s="253"/>
      <c r="T610" s="253"/>
      <c r="U610" s="253"/>
      <c r="V610" s="253"/>
      <c r="W610" s="253"/>
      <c r="X610" s="253"/>
      <c r="Y610" s="253"/>
    </row>
    <row r="611" spans="1:26" x14ac:dyDescent="0.2">
      <c r="A611" s="249" t="s">
        <v>557</v>
      </c>
      <c r="B611" s="253"/>
      <c r="C611" s="253"/>
      <c r="D611" s="253"/>
      <c r="E611" s="253"/>
      <c r="F611" s="253"/>
      <c r="G611" s="253"/>
      <c r="H611" s="253"/>
      <c r="I611" s="253"/>
      <c r="J611" s="253"/>
      <c r="K611" s="253"/>
      <c r="L611" s="253"/>
      <c r="M611" s="253"/>
      <c r="N611" s="253"/>
      <c r="O611" s="253"/>
      <c r="P611" s="253"/>
      <c r="Q611" s="253"/>
      <c r="R611" s="253"/>
      <c r="S611" s="253"/>
      <c r="T611" s="253"/>
      <c r="U611" s="253"/>
      <c r="V611" s="253"/>
      <c r="W611" s="253"/>
      <c r="X611" s="253"/>
      <c r="Y611" s="253"/>
    </row>
    <row r="612" spans="1:26" x14ac:dyDescent="0.2">
      <c r="A612" s="249" t="s">
        <v>558</v>
      </c>
      <c r="B612" s="253"/>
      <c r="C612" s="253"/>
      <c r="D612" s="253"/>
      <c r="E612" s="253"/>
      <c r="F612" s="253"/>
      <c r="G612" s="253"/>
      <c r="H612" s="253"/>
      <c r="I612" s="253"/>
      <c r="J612" s="253"/>
      <c r="K612" s="253"/>
      <c r="L612" s="253"/>
      <c r="M612" s="253"/>
      <c r="N612" s="253"/>
      <c r="O612" s="253"/>
      <c r="P612" s="253"/>
      <c r="Q612" s="253"/>
      <c r="R612" s="253"/>
      <c r="S612" s="253"/>
      <c r="T612" s="253"/>
      <c r="U612" s="253"/>
      <c r="V612" s="253"/>
      <c r="W612" s="253"/>
      <c r="X612" s="253"/>
      <c r="Y612" s="253"/>
    </row>
    <row r="613" spans="1:26" x14ac:dyDescent="0.2">
      <c r="A613" s="249" t="s">
        <v>559</v>
      </c>
      <c r="B613" s="253"/>
      <c r="C613" s="253"/>
      <c r="D613" s="253"/>
      <c r="E613" s="253"/>
      <c r="F613" s="253"/>
      <c r="G613" s="253"/>
      <c r="H613" s="253"/>
      <c r="I613" s="253"/>
      <c r="J613" s="253"/>
      <c r="K613" s="253"/>
      <c r="L613" s="253"/>
      <c r="M613" s="253"/>
      <c r="N613" s="253"/>
      <c r="O613" s="253"/>
      <c r="P613" s="253"/>
      <c r="Q613" s="253"/>
      <c r="R613" s="253"/>
      <c r="S613" s="253"/>
      <c r="T613" s="253"/>
      <c r="U613" s="253"/>
      <c r="V613" s="253"/>
      <c r="W613" s="253"/>
      <c r="X613" s="253"/>
      <c r="Y613" s="253"/>
    </row>
    <row r="614" spans="1:26" ht="13.5" thickBot="1" x14ac:dyDescent="0.25">
      <c r="A614" s="254" t="s">
        <v>560</v>
      </c>
      <c r="B614" s="255"/>
      <c r="C614" s="255"/>
      <c r="D614" s="255"/>
      <c r="E614" s="255"/>
      <c r="F614" s="255"/>
      <c r="G614" s="255"/>
      <c r="H614" s="255"/>
      <c r="I614" s="255"/>
      <c r="J614" s="255"/>
      <c r="K614" s="255"/>
      <c r="L614" s="255"/>
      <c r="M614" s="255"/>
      <c r="N614" s="255"/>
      <c r="O614" s="255"/>
      <c r="P614" s="255"/>
      <c r="Q614" s="255"/>
      <c r="R614" s="255"/>
      <c r="S614" s="255"/>
      <c r="T614" s="255"/>
      <c r="U614" s="255"/>
      <c r="V614" s="255"/>
      <c r="W614" s="255"/>
      <c r="X614" s="255"/>
      <c r="Y614" s="255"/>
    </row>
    <row r="615" spans="1:26" x14ac:dyDescent="0.2">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spans="1:26" x14ac:dyDescent="0.2">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spans="1:26" ht="13.5" thickBot="1" x14ac:dyDescent="0.25">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spans="1:26" x14ac:dyDescent="0.2">
      <c r="A618" s="256" t="s">
        <v>561</v>
      </c>
      <c r="B618" s="257"/>
      <c r="C618" s="257" t="s">
        <v>862</v>
      </c>
      <c r="D618" s="257"/>
      <c r="E618" s="257"/>
      <c r="F618" s="257"/>
      <c r="G618" s="257"/>
      <c r="H618" s="257"/>
      <c r="I618" s="257"/>
      <c r="J618" s="257"/>
      <c r="K618" s="257"/>
      <c r="L618" s="257"/>
      <c r="M618" s="257"/>
      <c r="N618" s="257"/>
      <c r="O618" s="257"/>
      <c r="P618" s="257"/>
      <c r="Q618" s="257"/>
      <c r="R618" s="257"/>
      <c r="S618" s="257"/>
      <c r="T618" s="257"/>
      <c r="U618" s="257"/>
      <c r="V618" s="257"/>
      <c r="W618" s="257"/>
      <c r="X618" s="257"/>
      <c r="Y618" s="257"/>
    </row>
    <row r="619" spans="1:26" x14ac:dyDescent="0.2">
      <c r="A619" s="258" t="s">
        <v>562</v>
      </c>
      <c r="B619" s="250"/>
      <c r="C619" s="1640" t="s">
        <v>867</v>
      </c>
      <c r="D619" s="1640"/>
      <c r="E619" s="1640"/>
      <c r="F619" s="1640"/>
      <c r="G619" s="1640"/>
      <c r="H619" s="1640"/>
      <c r="I619" s="1640"/>
      <c r="J619" s="1640"/>
      <c r="K619" s="1640"/>
      <c r="L619" s="1640"/>
      <c r="M619" s="1640"/>
      <c r="N619" s="1640"/>
      <c r="O619" s="1640"/>
      <c r="P619" s="1640"/>
      <c r="Q619" s="1640"/>
      <c r="R619" s="1640"/>
      <c r="S619" s="1640"/>
      <c r="T619" s="1640"/>
      <c r="U619" s="1640"/>
      <c r="V619" s="1640"/>
      <c r="W619" s="1640"/>
      <c r="X619" s="1640"/>
      <c r="Y619" s="1640"/>
    </row>
    <row r="620" spans="1:26" x14ac:dyDescent="0.2">
      <c r="A620" s="249" t="s">
        <v>563</v>
      </c>
      <c r="B620" s="250"/>
      <c r="C620" s="1640" t="s">
        <v>868</v>
      </c>
      <c r="D620" s="1640"/>
      <c r="E620" s="1640"/>
      <c r="F620" s="1640"/>
      <c r="G620" s="1640"/>
      <c r="H620" s="1640"/>
      <c r="I620" s="1640"/>
      <c r="J620" s="1640"/>
      <c r="K620" s="1640"/>
      <c r="L620" s="1640"/>
      <c r="M620" s="1640"/>
      <c r="N620" s="1640"/>
      <c r="O620" s="1640"/>
      <c r="P620" s="1640"/>
      <c r="Q620" s="1640"/>
      <c r="R620" s="1640"/>
      <c r="S620" s="1640"/>
      <c r="T620" s="1640"/>
      <c r="U620" s="1640"/>
      <c r="V620" s="1640"/>
      <c r="W620" s="1640"/>
      <c r="X620" s="1640"/>
      <c r="Y620" s="1640"/>
    </row>
    <row r="621" spans="1:26" x14ac:dyDescent="0.2">
      <c r="A621" s="251" t="s">
        <v>446</v>
      </c>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row>
    <row r="622" spans="1:26" x14ac:dyDescent="0.2">
      <c r="A622" s="249"/>
      <c r="B622" s="250"/>
      <c r="C622" s="295"/>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row>
    <row r="623" spans="1:26" x14ac:dyDescent="0.2">
      <c r="A623" s="249" t="s">
        <v>447</v>
      </c>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row>
    <row r="624" spans="1:26" x14ac:dyDescent="0.2">
      <c r="A624" s="249" t="s">
        <v>448</v>
      </c>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row>
    <row r="625" spans="1:26" x14ac:dyDescent="0.2">
      <c r="A625" s="249"/>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t="s">
        <v>591</v>
      </c>
    </row>
    <row r="626" spans="1:26" x14ac:dyDescent="0.2">
      <c r="A626" s="249" t="s">
        <v>440</v>
      </c>
      <c r="B626" s="250" t="s">
        <v>449</v>
      </c>
      <c r="C626" s="250" t="s">
        <v>450</v>
      </c>
      <c r="D626" s="250" t="s">
        <v>451</v>
      </c>
      <c r="E626" s="250" t="s">
        <v>452</v>
      </c>
      <c r="F626" s="250" t="s">
        <v>453</v>
      </c>
      <c r="G626" s="250" t="s">
        <v>454</v>
      </c>
      <c r="H626" s="250" t="s">
        <v>455</v>
      </c>
      <c r="I626" s="250" t="s">
        <v>456</v>
      </c>
      <c r="J626" s="250" t="s">
        <v>457</v>
      </c>
      <c r="K626" s="250" t="s">
        <v>458</v>
      </c>
      <c r="L626" s="250" t="s">
        <v>459</v>
      </c>
      <c r="M626" s="250" t="s">
        <v>460</v>
      </c>
      <c r="N626" s="250" t="s">
        <v>461</v>
      </c>
      <c r="O626" s="250" t="s">
        <v>462</v>
      </c>
      <c r="P626" s="250" t="s">
        <v>463</v>
      </c>
      <c r="Q626" s="250" t="s">
        <v>464</v>
      </c>
      <c r="R626" s="250" t="s">
        <v>465</v>
      </c>
      <c r="S626" s="250" t="s">
        <v>466</v>
      </c>
      <c r="T626" s="250" t="s">
        <v>467</v>
      </c>
      <c r="U626" s="250" t="s">
        <v>468</v>
      </c>
      <c r="V626" s="250" t="s">
        <v>469</v>
      </c>
      <c r="W626" s="250" t="s">
        <v>470</v>
      </c>
      <c r="X626" s="250" t="s">
        <v>471</v>
      </c>
      <c r="Y626" s="250" t="s">
        <v>472</v>
      </c>
      <c r="Z626">
        <v>2026</v>
      </c>
    </row>
    <row r="627" spans="1:26" x14ac:dyDescent="0.2">
      <c r="A627" s="249" t="s">
        <v>440</v>
      </c>
      <c r="B627" s="250" t="s">
        <v>440</v>
      </c>
      <c r="C627" s="250" t="s">
        <v>440</v>
      </c>
      <c r="D627" s="250" t="s">
        <v>440</v>
      </c>
      <c r="E627" s="250" t="s">
        <v>440</v>
      </c>
      <c r="F627" s="250" t="s">
        <v>440</v>
      </c>
      <c r="G627" s="250" t="s">
        <v>440</v>
      </c>
      <c r="H627" s="250" t="s">
        <v>440</v>
      </c>
      <c r="I627" s="250" t="s">
        <v>440</v>
      </c>
      <c r="J627" s="250" t="s">
        <v>440</v>
      </c>
      <c r="K627" s="250" t="s">
        <v>440</v>
      </c>
      <c r="L627" s="250" t="s">
        <v>440</v>
      </c>
      <c r="M627" s="250" t="s">
        <v>440</v>
      </c>
      <c r="N627" s="250" t="s">
        <v>440</v>
      </c>
      <c r="O627" s="250" t="s">
        <v>440</v>
      </c>
      <c r="P627" s="250" t="s">
        <v>440</v>
      </c>
      <c r="Q627" s="250" t="s">
        <v>440</v>
      </c>
      <c r="R627" s="250" t="s">
        <v>440</v>
      </c>
      <c r="S627" s="250" t="s">
        <v>440</v>
      </c>
      <c r="T627" s="250" t="s">
        <v>440</v>
      </c>
      <c r="U627" s="250" t="s">
        <v>440</v>
      </c>
      <c r="V627" s="250" t="s">
        <v>440</v>
      </c>
      <c r="W627" s="250" t="s">
        <v>440</v>
      </c>
      <c r="X627" s="250" t="s">
        <v>440</v>
      </c>
      <c r="Y627" s="250" t="s">
        <v>440</v>
      </c>
    </row>
    <row r="628" spans="1:26" x14ac:dyDescent="0.2">
      <c r="A628" s="249" t="s">
        <v>473</v>
      </c>
      <c r="B628" s="253">
        <v>15.0220499038696</v>
      </c>
      <c r="C628" s="253">
        <v>15.811363220214799</v>
      </c>
      <c r="D628" s="253">
        <v>16.426000595092798</v>
      </c>
      <c r="E628" s="253">
        <v>16.4650573730469</v>
      </c>
      <c r="F628" s="253">
        <v>15.8399600982666</v>
      </c>
      <c r="G628" s="253">
        <v>15.268068313598601</v>
      </c>
      <c r="H628" s="253">
        <v>14.8466091156006</v>
      </c>
      <c r="I628" s="253">
        <v>14.7514638900757</v>
      </c>
      <c r="J628" s="253">
        <v>14.6550188064575</v>
      </c>
      <c r="K628" s="253">
        <v>14.6146650314331</v>
      </c>
      <c r="L628" s="253">
        <v>14.723385810852101</v>
      </c>
      <c r="M628" s="253">
        <v>14.890528678894</v>
      </c>
      <c r="N628" s="253">
        <v>15.1057291030884</v>
      </c>
      <c r="O628" s="253">
        <v>15.213768959045399</v>
      </c>
      <c r="P628" s="253">
        <v>15.3079509735107</v>
      </c>
      <c r="Q628" s="253">
        <v>15.3113193511963</v>
      </c>
      <c r="R628" s="253">
        <v>15.4291744232178</v>
      </c>
      <c r="S628" s="253">
        <v>15.6326360702515</v>
      </c>
      <c r="T628" s="253">
        <v>15.9024982452393</v>
      </c>
      <c r="U628" s="253">
        <v>16.1096382141113</v>
      </c>
      <c r="V628" s="253">
        <v>16.157627105712901</v>
      </c>
      <c r="W628" s="253">
        <v>16.2051906585693</v>
      </c>
      <c r="X628" s="253">
        <v>16.309419631958001</v>
      </c>
      <c r="Y628" s="253">
        <v>16.471462249755898</v>
      </c>
    </row>
    <row r="629" spans="1:26" x14ac:dyDescent="0.2">
      <c r="A629" s="249" t="s">
        <v>474</v>
      </c>
      <c r="B629" s="253">
        <v>8.3285751342773402</v>
      </c>
      <c r="C629" s="253">
        <v>9.67810153961182</v>
      </c>
      <c r="D629" s="253">
        <v>10.65163230896</v>
      </c>
      <c r="E629" s="253">
        <v>10.5740642547607</v>
      </c>
      <c r="F629" s="253">
        <v>9.9307842254638707</v>
      </c>
      <c r="G629" s="253">
        <v>9.5159215927124006</v>
      </c>
      <c r="H629" s="253">
        <v>9.1046285629272496</v>
      </c>
      <c r="I629" s="253">
        <v>8.8910932540893608</v>
      </c>
      <c r="J629" s="253">
        <v>8.7197055816650408</v>
      </c>
      <c r="K629" s="253">
        <v>8.6297874450683594</v>
      </c>
      <c r="L629" s="253">
        <v>8.6824674606323207</v>
      </c>
      <c r="M629" s="253">
        <v>8.7884712219238299</v>
      </c>
      <c r="N629" s="253">
        <v>8.9080095291137695</v>
      </c>
      <c r="O629" s="253">
        <v>9.0072793960571307</v>
      </c>
      <c r="P629" s="253">
        <v>9.0682640075683594</v>
      </c>
      <c r="Q629" s="253">
        <v>9.0415534973144496</v>
      </c>
      <c r="R629" s="253">
        <v>9.1060371398925799</v>
      </c>
      <c r="S629" s="253">
        <v>9.2553215026855504</v>
      </c>
      <c r="T629" s="253">
        <v>9.4607038497924805</v>
      </c>
      <c r="U629" s="253">
        <v>9.6327857971191406</v>
      </c>
      <c r="V629" s="253">
        <v>9.6968526840209996</v>
      </c>
      <c r="W629" s="253">
        <v>9.7728433609008807</v>
      </c>
      <c r="X629" s="253">
        <v>9.8535881042480504</v>
      </c>
      <c r="Y629" s="253">
        <v>9.9786624908447301</v>
      </c>
    </row>
    <row r="630" spans="1:26" x14ac:dyDescent="0.2">
      <c r="A630" s="249" t="s">
        <v>475</v>
      </c>
      <c r="B630" s="253">
        <v>10.0436496734619</v>
      </c>
      <c r="C630" s="253">
        <v>11.266843795776399</v>
      </c>
      <c r="D630" s="253">
        <v>13.0600233078003</v>
      </c>
      <c r="E630" s="253">
        <v>12.5262851715088</v>
      </c>
      <c r="F630" s="253">
        <v>12.207064628601101</v>
      </c>
      <c r="G630" s="253">
        <v>12.234001159668001</v>
      </c>
      <c r="H630" s="253">
        <v>12.201937675476101</v>
      </c>
      <c r="I630" s="253">
        <v>12.2015285491943</v>
      </c>
      <c r="J630" s="253">
        <v>12.262092590331999</v>
      </c>
      <c r="K630" s="253">
        <v>12.1512393951416</v>
      </c>
      <c r="L630" s="253">
        <v>12.1732091903687</v>
      </c>
      <c r="M630" s="253">
        <v>12.1968584060669</v>
      </c>
      <c r="N630" s="253">
        <v>12.177050590515099</v>
      </c>
      <c r="O630" s="253">
        <v>12.2115392684937</v>
      </c>
      <c r="P630" s="253">
        <v>12.3804988861084</v>
      </c>
      <c r="Q630" s="253">
        <v>12.519121170043899</v>
      </c>
      <c r="R630" s="253">
        <v>12.6585578918457</v>
      </c>
      <c r="S630" s="253">
        <v>12.798875808715801</v>
      </c>
      <c r="T630" s="253">
        <v>12.8676557540894</v>
      </c>
      <c r="U630" s="253">
        <v>13.13560962677</v>
      </c>
      <c r="V630" s="253">
        <v>13.328717231750501</v>
      </c>
      <c r="W630" s="253">
        <v>13.556846618652299</v>
      </c>
      <c r="X630" s="253">
        <v>13.722979545593301</v>
      </c>
      <c r="Y630" s="253">
        <v>13.940701484680201</v>
      </c>
    </row>
    <row r="631" spans="1:26" x14ac:dyDescent="0.2">
      <c r="A631" s="249" t="s">
        <v>476</v>
      </c>
      <c r="B631" s="253">
        <v>8.3698368072509801</v>
      </c>
      <c r="C631" s="253">
        <v>9.5702075958252006</v>
      </c>
      <c r="D631" s="253">
        <v>10.537187576293899</v>
      </c>
      <c r="E631" s="253">
        <v>10.120927810668899</v>
      </c>
      <c r="F631" s="253">
        <v>9.8627185821533203</v>
      </c>
      <c r="G631" s="253">
        <v>9.8399791717529297</v>
      </c>
      <c r="H631" s="253">
        <v>9.8302927017211896</v>
      </c>
      <c r="I631" s="253">
        <v>9.8297405242919904</v>
      </c>
      <c r="J631" s="253">
        <v>9.8252134323120099</v>
      </c>
      <c r="K631" s="253">
        <v>9.7093524932861293</v>
      </c>
      <c r="L631" s="253">
        <v>9.7021694183349592</v>
      </c>
      <c r="M631" s="253">
        <v>9.7383060455322301</v>
      </c>
      <c r="N631" s="253">
        <v>9.80072116851807</v>
      </c>
      <c r="O631" s="253">
        <v>9.7244081497192401</v>
      </c>
      <c r="P631" s="253">
        <v>9.8378829956054705</v>
      </c>
      <c r="Q631" s="253">
        <v>9.8340024948120099</v>
      </c>
      <c r="R631" s="253">
        <v>9.9226865768432599</v>
      </c>
      <c r="S631" s="253">
        <v>10.0213985443115</v>
      </c>
      <c r="T631" s="253">
        <v>10.078977584838899</v>
      </c>
      <c r="U631" s="253">
        <v>10.280327796936</v>
      </c>
      <c r="V631" s="253">
        <v>10.3802833557129</v>
      </c>
      <c r="W631" s="253">
        <v>10.4678192138672</v>
      </c>
      <c r="X631" s="253">
        <v>10.5482635498047</v>
      </c>
      <c r="Y631" s="253">
        <v>10.6469841003418</v>
      </c>
    </row>
    <row r="632" spans="1:26" x14ac:dyDescent="0.2">
      <c r="A632" s="249" t="s">
        <v>477</v>
      </c>
      <c r="B632" s="253">
        <v>12.976583480835</v>
      </c>
      <c r="C632" s="253">
        <v>14.582922935485801</v>
      </c>
      <c r="D632" s="253">
        <v>17.570188522338899</v>
      </c>
      <c r="E632" s="253">
        <v>17.073205947876001</v>
      </c>
      <c r="F632" s="253">
        <v>16.564285278320298</v>
      </c>
      <c r="G632" s="253">
        <v>16.581449508666999</v>
      </c>
      <c r="H632" s="253">
        <v>16.4250888824463</v>
      </c>
      <c r="I632" s="253">
        <v>16.346086502075199</v>
      </c>
      <c r="J632" s="253">
        <v>16.4532871246338</v>
      </c>
      <c r="K632" s="253">
        <v>16.288703918456999</v>
      </c>
      <c r="L632" s="253">
        <v>16.298521041870099</v>
      </c>
      <c r="M632" s="253">
        <v>16.236286163330099</v>
      </c>
      <c r="N632" s="253">
        <v>15.99489402771</v>
      </c>
      <c r="O632" s="253">
        <v>16.1197624206543</v>
      </c>
      <c r="P632" s="253">
        <v>16.286623001098601</v>
      </c>
      <c r="Q632" s="253">
        <v>16.56103515625</v>
      </c>
      <c r="R632" s="253">
        <v>16.690963745117202</v>
      </c>
      <c r="S632" s="253">
        <v>16.804660797119102</v>
      </c>
      <c r="T632" s="253">
        <v>16.7820129394531</v>
      </c>
      <c r="U632" s="253">
        <v>17.028240203857401</v>
      </c>
      <c r="V632" s="253">
        <v>17.2251377105713</v>
      </c>
      <c r="W632" s="253">
        <v>17.515983581543001</v>
      </c>
      <c r="X632" s="253">
        <v>17.670423507690401</v>
      </c>
      <c r="Y632" s="253">
        <v>17.9113578796387</v>
      </c>
    </row>
    <row r="633" spans="1:26" x14ac:dyDescent="0.2">
      <c r="A633" s="249" t="s">
        <v>478</v>
      </c>
      <c r="B633" s="253">
        <v>7.8179483413696298</v>
      </c>
      <c r="C633" s="253">
        <v>9.2187824249267596</v>
      </c>
      <c r="D633" s="253">
        <v>9.9373655319213903</v>
      </c>
      <c r="E633" s="253">
        <v>10.036292076110801</v>
      </c>
      <c r="F633" s="253">
        <v>9.3139858245849592</v>
      </c>
      <c r="G633" s="253">
        <v>8.7959203720092791</v>
      </c>
      <c r="H633" s="253">
        <v>8.3035001754760707</v>
      </c>
      <c r="I633" s="253">
        <v>8.0470056533813494</v>
      </c>
      <c r="J633" s="253">
        <v>7.8287873268127397</v>
      </c>
      <c r="K633" s="253">
        <v>7.7531881332397496</v>
      </c>
      <c r="L633" s="253">
        <v>7.8190288543701199</v>
      </c>
      <c r="M633" s="253">
        <v>7.9488449096679696</v>
      </c>
      <c r="N633" s="253">
        <v>8.1063919067382795</v>
      </c>
      <c r="O633" s="253">
        <v>8.2242641448974592</v>
      </c>
      <c r="P633" s="253">
        <v>8.2648267745971697</v>
      </c>
      <c r="Q633" s="253">
        <v>8.2073183059692401</v>
      </c>
      <c r="R633" s="253">
        <v>8.2647809982299805</v>
      </c>
      <c r="S633" s="253">
        <v>8.4262142181396502</v>
      </c>
      <c r="T633" s="253">
        <v>8.6721630096435494</v>
      </c>
      <c r="U633" s="253">
        <v>8.83197021484375</v>
      </c>
      <c r="V633" s="253">
        <v>8.8790025711059606</v>
      </c>
      <c r="W633" s="253">
        <v>8.93493747711182</v>
      </c>
      <c r="X633" s="253">
        <v>9.0109558105468803</v>
      </c>
      <c r="Y633" s="253">
        <v>9.1305398941040004</v>
      </c>
    </row>
    <row r="634" spans="1:26" x14ac:dyDescent="0.2">
      <c r="A634" s="249" t="s">
        <v>479</v>
      </c>
      <c r="B634" s="253">
        <v>25.222642898559599</v>
      </c>
      <c r="C634" s="253">
        <v>25.415189743041999</v>
      </c>
      <c r="D634" s="253">
        <v>25.1915378570557</v>
      </c>
      <c r="E634" s="253">
        <v>25.148117065429702</v>
      </c>
      <c r="F634" s="253">
        <v>24.4542636871338</v>
      </c>
      <c r="G634" s="253">
        <v>23.578901290893601</v>
      </c>
      <c r="H634" s="253">
        <v>23.091381072998001</v>
      </c>
      <c r="I634" s="253">
        <v>23.1348171234131</v>
      </c>
      <c r="J634" s="253">
        <v>23.120912551879901</v>
      </c>
      <c r="K634" s="253">
        <v>23.118898391723601</v>
      </c>
      <c r="L634" s="253">
        <v>23.2529602050781</v>
      </c>
      <c r="M634" s="253">
        <v>23.4250183105469</v>
      </c>
      <c r="N634" s="253">
        <v>23.684103012085</v>
      </c>
      <c r="O634" s="253">
        <v>23.7079162597656</v>
      </c>
      <c r="P634" s="253">
        <v>23.7613220214844</v>
      </c>
      <c r="Q634" s="253">
        <v>23.722099304199201</v>
      </c>
      <c r="R634" s="253">
        <v>23.8309440612793</v>
      </c>
      <c r="S634" s="253">
        <v>24.013486862182599</v>
      </c>
      <c r="T634" s="253">
        <v>24.267650604248001</v>
      </c>
      <c r="U634" s="253">
        <v>24.4126377105713</v>
      </c>
      <c r="V634" s="253">
        <v>24.3365364074707</v>
      </c>
      <c r="W634" s="253">
        <v>24.2477512359619</v>
      </c>
      <c r="X634" s="253">
        <v>24.2885627746582</v>
      </c>
      <c r="Y634" s="253">
        <v>24.396659851074201</v>
      </c>
    </row>
    <row r="635" spans="1:26" x14ac:dyDescent="0.2">
      <c r="A635" s="249" t="s">
        <v>440</v>
      </c>
      <c r="B635" s="253" t="s">
        <v>440</v>
      </c>
      <c r="C635" s="253" t="s">
        <v>440</v>
      </c>
      <c r="D635" s="253" t="s">
        <v>440</v>
      </c>
      <c r="E635" s="253" t="s">
        <v>440</v>
      </c>
      <c r="F635" s="253" t="s">
        <v>440</v>
      </c>
      <c r="G635" s="253" t="s">
        <v>440</v>
      </c>
      <c r="H635" s="253" t="s">
        <v>440</v>
      </c>
      <c r="I635" s="253" t="s">
        <v>440</v>
      </c>
      <c r="J635" s="253" t="s">
        <v>440</v>
      </c>
      <c r="K635" s="253" t="s">
        <v>440</v>
      </c>
      <c r="L635" s="253" t="s">
        <v>440</v>
      </c>
      <c r="M635" s="253" t="s">
        <v>440</v>
      </c>
      <c r="N635" s="253" t="s">
        <v>440</v>
      </c>
      <c r="O635" s="253" t="s">
        <v>440</v>
      </c>
      <c r="P635" s="253" t="s">
        <v>440</v>
      </c>
      <c r="Q635" s="253" t="s">
        <v>440</v>
      </c>
      <c r="R635" s="253" t="s">
        <v>440</v>
      </c>
      <c r="S635" s="253" t="s">
        <v>440</v>
      </c>
      <c r="T635" s="253" t="s">
        <v>440</v>
      </c>
      <c r="U635" s="253" t="s">
        <v>440</v>
      </c>
      <c r="V635" s="253" t="s">
        <v>440</v>
      </c>
      <c r="W635" s="253" t="s">
        <v>440</v>
      </c>
      <c r="X635" s="253" t="s">
        <v>440</v>
      </c>
      <c r="Y635" s="253" t="s">
        <v>440</v>
      </c>
    </row>
    <row r="636" spans="1:26" x14ac:dyDescent="0.2">
      <c r="A636" s="249" t="s">
        <v>480</v>
      </c>
      <c r="B636" s="253">
        <v>15.064169883728001</v>
      </c>
      <c r="C636" s="253">
        <v>15.629265785217299</v>
      </c>
      <c r="D636" s="253">
        <v>15.835695266723601</v>
      </c>
      <c r="E636" s="253">
        <v>15.918652534484901</v>
      </c>
      <c r="F636" s="253">
        <v>15.2065124511719</v>
      </c>
      <c r="G636" s="253">
        <v>14.526217460632299</v>
      </c>
      <c r="H636" s="253">
        <v>14.119109153747599</v>
      </c>
      <c r="I636" s="253">
        <v>14.0872592926025</v>
      </c>
      <c r="J636" s="253">
        <v>14.0534925460815</v>
      </c>
      <c r="K636" s="253">
        <v>14.108097076416</v>
      </c>
      <c r="L636" s="253">
        <v>14.338217735290501</v>
      </c>
      <c r="M636" s="253">
        <v>14.584888458251999</v>
      </c>
      <c r="N636" s="253">
        <v>14.9309749603271</v>
      </c>
      <c r="O636" s="253">
        <v>15.096228599548301</v>
      </c>
      <c r="P636" s="253">
        <v>15.2413949966431</v>
      </c>
      <c r="Q636" s="253">
        <v>15.255002975463899</v>
      </c>
      <c r="R636" s="253">
        <v>15.399823188781699</v>
      </c>
      <c r="S636" s="253">
        <v>15.6329202651978</v>
      </c>
      <c r="T636" s="253">
        <v>15.9477081298828</v>
      </c>
      <c r="U636" s="253">
        <v>16.179660797119102</v>
      </c>
      <c r="V636" s="253">
        <v>16.227045059204102</v>
      </c>
      <c r="W636" s="253">
        <v>16.249193191528299</v>
      </c>
      <c r="X636" s="253">
        <v>16.367641448974599</v>
      </c>
      <c r="Y636" s="253">
        <v>16.5326118469238</v>
      </c>
    </row>
    <row r="637" spans="1:26" x14ac:dyDescent="0.2">
      <c r="A637" s="249" t="s">
        <v>474</v>
      </c>
      <c r="B637" s="253">
        <v>6.5697088241577104</v>
      </c>
      <c r="C637" s="253">
        <v>7.9157042503356898</v>
      </c>
      <c r="D637" s="253">
        <v>8.3734045028686506</v>
      </c>
      <c r="E637" s="253">
        <v>8.3685989379882795</v>
      </c>
      <c r="F637" s="253">
        <v>7.9054894447326696</v>
      </c>
      <c r="G637" s="253">
        <v>7.6067800521850604</v>
      </c>
      <c r="H637" s="253">
        <v>7.3189792633056596</v>
      </c>
      <c r="I637" s="253">
        <v>7.2159371376037598</v>
      </c>
      <c r="J637" s="253">
        <v>7.1498117446899396</v>
      </c>
      <c r="K637" s="253">
        <v>7.1872353553771999</v>
      </c>
      <c r="L637" s="253">
        <v>7.2290387153625497</v>
      </c>
      <c r="M637" s="253">
        <v>7.30631303787231</v>
      </c>
      <c r="N637" s="253">
        <v>7.4108529090881303</v>
      </c>
      <c r="O637" s="253">
        <v>7.4683656692504901</v>
      </c>
      <c r="P637" s="253">
        <v>7.4930505752563503</v>
      </c>
      <c r="Q637" s="253">
        <v>7.43192434310913</v>
      </c>
      <c r="R637" s="253">
        <v>7.4779849052429199</v>
      </c>
      <c r="S637" s="253">
        <v>7.60019826889038</v>
      </c>
      <c r="T637" s="253">
        <v>7.7867598533630398</v>
      </c>
      <c r="U637" s="253">
        <v>7.91162109375</v>
      </c>
      <c r="V637" s="253">
        <v>7.9430484771728498</v>
      </c>
      <c r="W637" s="253">
        <v>7.9890594482421902</v>
      </c>
      <c r="X637" s="253">
        <v>8.0587644577026403</v>
      </c>
      <c r="Y637" s="253">
        <v>8.1779403686523402</v>
      </c>
    </row>
    <row r="638" spans="1:26" x14ac:dyDescent="0.2">
      <c r="A638" s="249" t="s">
        <v>475</v>
      </c>
      <c r="B638" s="253">
        <v>6.9482707977294904</v>
      </c>
      <c r="C638" s="253">
        <v>8.0266513824462908</v>
      </c>
      <c r="D638" s="253">
        <v>8.9197740554809606</v>
      </c>
      <c r="E638" s="253">
        <v>8.6532411575317401</v>
      </c>
      <c r="F638" s="253">
        <v>8.7558631896972692</v>
      </c>
      <c r="G638" s="253">
        <v>8.8328323364257795</v>
      </c>
      <c r="H638" s="253">
        <v>8.8167963027954102</v>
      </c>
      <c r="I638" s="253">
        <v>8.8182945251464808</v>
      </c>
      <c r="J638" s="253">
        <v>8.8873138427734393</v>
      </c>
      <c r="K638" s="253">
        <v>8.9125509262084996</v>
      </c>
      <c r="L638" s="253">
        <v>8.9192247390747106</v>
      </c>
      <c r="M638" s="253">
        <v>8.8803482055664098</v>
      </c>
      <c r="N638" s="253">
        <v>8.8586578369140607</v>
      </c>
      <c r="O638" s="253">
        <v>8.7692289352416992</v>
      </c>
      <c r="P638" s="253">
        <v>8.7682600021362305</v>
      </c>
      <c r="Q638" s="253">
        <v>8.7373514175415004</v>
      </c>
      <c r="R638" s="253">
        <v>8.7862501144409197</v>
      </c>
      <c r="S638" s="253">
        <v>8.8491783142089808</v>
      </c>
      <c r="T638" s="253">
        <v>8.8908815383911097</v>
      </c>
      <c r="U638" s="253">
        <v>9.0514831542968803</v>
      </c>
      <c r="V638" s="253">
        <v>9.1475715637206996</v>
      </c>
      <c r="W638" s="253">
        <v>9.2663307189941406</v>
      </c>
      <c r="X638" s="253">
        <v>9.3906812667846697</v>
      </c>
      <c r="Y638" s="253">
        <v>9.6513500213622994</v>
      </c>
    </row>
    <row r="639" spans="1:26" x14ac:dyDescent="0.2">
      <c r="A639" s="249" t="s">
        <v>476</v>
      </c>
      <c r="B639" s="253">
        <v>6.1493649482727104</v>
      </c>
      <c r="C639" s="253">
        <v>7.03082323074341</v>
      </c>
      <c r="D639" s="253">
        <v>7.7272830009460396</v>
      </c>
      <c r="E639" s="253">
        <v>7.4210705757141104</v>
      </c>
      <c r="F639" s="253">
        <v>7.6805524826049796</v>
      </c>
      <c r="G639" s="253">
        <v>7.8215904235839799</v>
      </c>
      <c r="H639" s="253">
        <v>7.8266153335571298</v>
      </c>
      <c r="I639" s="253">
        <v>7.8668313026428196</v>
      </c>
      <c r="J639" s="253">
        <v>7.9658513069152797</v>
      </c>
      <c r="K639" s="253">
        <v>8.0328092575073207</v>
      </c>
      <c r="L639" s="253">
        <v>8.0569534301757795</v>
      </c>
      <c r="M639" s="253">
        <v>8.0234899520874006</v>
      </c>
      <c r="N639" s="253">
        <v>8.0314903259277308</v>
      </c>
      <c r="O639" s="253">
        <v>7.91062688827515</v>
      </c>
      <c r="P639" s="253">
        <v>7.8695487976074201</v>
      </c>
      <c r="Q639" s="253">
        <v>7.7933855056762704</v>
      </c>
      <c r="R639" s="253">
        <v>7.8344025611877397</v>
      </c>
      <c r="S639" s="253">
        <v>7.89571285247803</v>
      </c>
      <c r="T639" s="253">
        <v>7.9562859535217303</v>
      </c>
      <c r="U639" s="253">
        <v>8.1191616058349592</v>
      </c>
      <c r="V639" s="253">
        <v>8.2043952941894496</v>
      </c>
      <c r="W639" s="253">
        <v>8.3111848831176793</v>
      </c>
      <c r="X639" s="253">
        <v>8.4434480667114293</v>
      </c>
      <c r="Y639" s="253">
        <v>8.7515277862548793</v>
      </c>
    </row>
    <row r="640" spans="1:26" x14ac:dyDescent="0.2">
      <c r="A640" s="249" t="s">
        <v>481</v>
      </c>
      <c r="B640" s="253">
        <v>4.2683343887329102</v>
      </c>
      <c r="C640" s="253">
        <v>4.9646224975585902</v>
      </c>
      <c r="D640" s="253">
        <v>5.0606441497802699</v>
      </c>
      <c r="E640" s="253">
        <v>5.3499693870544398</v>
      </c>
      <c r="F640" s="253">
        <v>5.6657009124755904</v>
      </c>
      <c r="G640" s="253">
        <v>5.6566004753112802</v>
      </c>
      <c r="H640" s="253">
        <v>5.6533966064453098</v>
      </c>
      <c r="I640" s="253">
        <v>5.65053033828735</v>
      </c>
      <c r="J640" s="253">
        <v>5.6487455368042001</v>
      </c>
      <c r="K640" s="253">
        <v>5.6555466651916504</v>
      </c>
      <c r="L640" s="253">
        <v>5.6602473258972203</v>
      </c>
      <c r="M640" s="253">
        <v>5.6679368019104004</v>
      </c>
      <c r="N640" s="253">
        <v>5.6729874610900897</v>
      </c>
      <c r="O640" s="253">
        <v>5.6782984733581499</v>
      </c>
      <c r="P640" s="253">
        <v>5.7556295394897496</v>
      </c>
      <c r="Q640" s="253">
        <v>5.8296666145324698</v>
      </c>
      <c r="R640" s="253">
        <v>5.9058866500854501</v>
      </c>
      <c r="S640" s="253">
        <v>5.9829258918762198</v>
      </c>
      <c r="T640" s="253">
        <v>6.0580596923828098</v>
      </c>
      <c r="U640" s="253">
        <v>6.1354246139526403</v>
      </c>
      <c r="V640" s="253">
        <v>6.2122497558593803</v>
      </c>
      <c r="W640" s="253">
        <v>6.2891340255737296</v>
      </c>
      <c r="X640" s="253">
        <v>6.3645572662353498</v>
      </c>
      <c r="Y640" s="253">
        <v>6.4413762092590297</v>
      </c>
    </row>
    <row r="641" spans="1:26" x14ac:dyDescent="0.2">
      <c r="A641" s="274" t="s">
        <v>478</v>
      </c>
      <c r="B641" s="253">
        <v>6.6170339584350604</v>
      </c>
      <c r="C641" s="253">
        <v>8.0769119262695295</v>
      </c>
      <c r="D641" s="253">
        <v>8.4473829269409197</v>
      </c>
      <c r="E641" s="253">
        <v>8.5046024322509801</v>
      </c>
      <c r="F641" s="253">
        <v>7.8886041641235396</v>
      </c>
      <c r="G641" s="253">
        <v>7.4893965721130398</v>
      </c>
      <c r="H641" s="253">
        <v>7.1298856735229501</v>
      </c>
      <c r="I641" s="253">
        <v>7.0003471374511701</v>
      </c>
      <c r="J641" s="253">
        <v>6.9035739898681596</v>
      </c>
      <c r="K641" s="253">
        <v>6.94567918777466</v>
      </c>
      <c r="L641" s="253">
        <v>6.9973711967468297</v>
      </c>
      <c r="M641" s="253">
        <v>7.1022868156433097</v>
      </c>
      <c r="N641" s="253">
        <v>7.2368607521057102</v>
      </c>
      <c r="O641" s="253">
        <v>7.3275256156921396</v>
      </c>
      <c r="P641" s="253">
        <v>7.3574790954589799</v>
      </c>
      <c r="Q641" s="253">
        <v>7.2871475219726598</v>
      </c>
      <c r="R641" s="253">
        <v>7.3330197334289604</v>
      </c>
      <c r="S641" s="253">
        <v>7.4703903198242196</v>
      </c>
      <c r="T641" s="253">
        <v>7.6915035247802699</v>
      </c>
      <c r="U641" s="253">
        <v>7.8109488487243697</v>
      </c>
      <c r="V641" s="253">
        <v>7.8279361724853498</v>
      </c>
      <c r="W641" s="253">
        <v>7.8590941429138201</v>
      </c>
      <c r="X641" s="253">
        <v>7.9183402061462402</v>
      </c>
      <c r="Y641" s="253">
        <v>8.0110416412353498</v>
      </c>
      <c r="Z641" s="283">
        <f>Y641+($AI$471-$Y$641)/10</f>
        <v>8.0591226890564176</v>
      </c>
    </row>
    <row r="642" spans="1:26" x14ac:dyDescent="0.2">
      <c r="A642" s="276" t="s">
        <v>479</v>
      </c>
      <c r="B642" s="253">
        <v>23.353584289550799</v>
      </c>
      <c r="C642" s="253">
        <v>23.2374382019043</v>
      </c>
      <c r="D642" s="253">
        <v>23.0424194335938</v>
      </c>
      <c r="E642" s="253">
        <v>22.939121246337901</v>
      </c>
      <c r="F642" s="253">
        <v>21.907506942748999</v>
      </c>
      <c r="G642" s="253">
        <v>20.807579040527301</v>
      </c>
      <c r="H642" s="253">
        <v>20.2319431304932</v>
      </c>
      <c r="I642" s="253">
        <v>20.2009677886963</v>
      </c>
      <c r="J642" s="253">
        <v>20.132976531982401</v>
      </c>
      <c r="K642" s="253">
        <v>20.128959655761701</v>
      </c>
      <c r="L642" s="253">
        <v>20.445728302001999</v>
      </c>
      <c r="M642" s="253">
        <v>20.757715225219702</v>
      </c>
      <c r="N642" s="253">
        <v>21.231256484985401</v>
      </c>
      <c r="O642" s="253">
        <v>21.404373168945298</v>
      </c>
      <c r="P642" s="253">
        <v>21.571121215820298</v>
      </c>
      <c r="Q642" s="253">
        <v>21.578863143920898</v>
      </c>
      <c r="R642" s="253">
        <v>21.739751815795898</v>
      </c>
      <c r="S642" s="253">
        <v>21.989313125610401</v>
      </c>
      <c r="T642" s="253">
        <v>22.322486877441399</v>
      </c>
      <c r="U642" s="253">
        <v>22.5522785186768</v>
      </c>
      <c r="V642" s="253">
        <v>22.5369548797607</v>
      </c>
      <c r="W642" s="253">
        <v>22.469936370849599</v>
      </c>
      <c r="X642" s="253">
        <v>22.555665969848601</v>
      </c>
      <c r="Y642" s="253">
        <v>22.682601928710898</v>
      </c>
      <c r="Z642" s="285">
        <f>Y642+($AI$472-$Y$642)/10</f>
        <v>22.586698480675594</v>
      </c>
    </row>
    <row r="643" spans="1:26" x14ac:dyDescent="0.2">
      <c r="A643" s="249" t="s">
        <v>440</v>
      </c>
      <c r="B643" s="253" t="s">
        <v>440</v>
      </c>
      <c r="C643" s="253" t="s">
        <v>440</v>
      </c>
      <c r="D643" s="253" t="s">
        <v>440</v>
      </c>
      <c r="E643" s="253" t="s">
        <v>440</v>
      </c>
      <c r="F643" s="253" t="s">
        <v>440</v>
      </c>
      <c r="G643" s="253" t="s">
        <v>440</v>
      </c>
      <c r="H643" s="253" t="s">
        <v>440</v>
      </c>
      <c r="I643" s="253" t="s">
        <v>440</v>
      </c>
      <c r="J643" s="253" t="s">
        <v>440</v>
      </c>
      <c r="K643" s="253" t="s">
        <v>440</v>
      </c>
      <c r="L643" s="253" t="s">
        <v>440</v>
      </c>
      <c r="M643" s="253" t="s">
        <v>440</v>
      </c>
      <c r="N643" s="253" t="s">
        <v>440</v>
      </c>
      <c r="O643" s="253" t="s">
        <v>440</v>
      </c>
      <c r="P643" s="253" t="s">
        <v>440</v>
      </c>
      <c r="Q643" s="253" t="s">
        <v>440</v>
      </c>
      <c r="R643" s="253" t="s">
        <v>440</v>
      </c>
      <c r="S643" s="253" t="s">
        <v>440</v>
      </c>
      <c r="T643" s="253" t="s">
        <v>440</v>
      </c>
      <c r="U643" s="253" t="s">
        <v>440</v>
      </c>
      <c r="V643" s="253" t="s">
        <v>440</v>
      </c>
      <c r="W643" s="253" t="s">
        <v>440</v>
      </c>
      <c r="X643" s="253" t="s">
        <v>440</v>
      </c>
      <c r="Y643" s="253" t="s">
        <v>440</v>
      </c>
    </row>
    <row r="644" spans="1:26" x14ac:dyDescent="0.2">
      <c r="A644" s="249" t="s">
        <v>482</v>
      </c>
      <c r="B644" s="253">
        <v>6.3922061920165998</v>
      </c>
      <c r="C644" s="253">
        <v>7.7839651107788104</v>
      </c>
      <c r="D644" s="253">
        <v>8.7313165664672905</v>
      </c>
      <c r="E644" s="253">
        <v>8.5384979248046893</v>
      </c>
      <c r="F644" s="253">
        <v>8.1135501861572301</v>
      </c>
      <c r="G644" s="253">
        <v>7.8849329948425302</v>
      </c>
      <c r="H644" s="253">
        <v>7.7104330062866202</v>
      </c>
      <c r="I644" s="253">
        <v>7.6478543281555202</v>
      </c>
      <c r="J644" s="253">
        <v>7.5814275741577104</v>
      </c>
      <c r="K644" s="253">
        <v>7.5381202697753897</v>
      </c>
      <c r="L644" s="253">
        <v>7.5780467987060502</v>
      </c>
      <c r="M644" s="253">
        <v>7.6416735649108896</v>
      </c>
      <c r="N644" s="253">
        <v>7.7132387161254901</v>
      </c>
      <c r="O644" s="253">
        <v>7.8013410568237296</v>
      </c>
      <c r="P644" s="253">
        <v>7.8755207061767596</v>
      </c>
      <c r="Q644" s="253">
        <v>7.9062352180481001</v>
      </c>
      <c r="R644" s="253">
        <v>7.9948873519897496</v>
      </c>
      <c r="S644" s="253">
        <v>8.1163215637206996</v>
      </c>
      <c r="T644" s="253">
        <v>8.2487821578979492</v>
      </c>
      <c r="U644" s="253">
        <v>8.4059162139892596</v>
      </c>
      <c r="V644" s="253">
        <v>8.4608268737793004</v>
      </c>
      <c r="W644" s="253">
        <v>8.5343141555786097</v>
      </c>
      <c r="X644" s="253">
        <v>8.6114902496337908</v>
      </c>
      <c r="Y644" s="253">
        <v>8.7719221115112305</v>
      </c>
    </row>
    <row r="645" spans="1:26" x14ac:dyDescent="0.2">
      <c r="A645" s="249" t="s">
        <v>483</v>
      </c>
      <c r="B645" s="253">
        <v>4.9298634529113796</v>
      </c>
      <c r="C645" s="253">
        <v>6.4939708709716797</v>
      </c>
      <c r="D645" s="253">
        <v>7.4592781066894496</v>
      </c>
      <c r="E645" s="253">
        <v>7.2447438240051296</v>
      </c>
      <c r="F645" s="253">
        <v>6.84521436691284</v>
      </c>
      <c r="G645" s="253">
        <v>6.6732459068298304</v>
      </c>
      <c r="H645" s="253">
        <v>6.51676225662231</v>
      </c>
      <c r="I645" s="253">
        <v>6.4484291076660201</v>
      </c>
      <c r="J645" s="253">
        <v>6.3966798782348597</v>
      </c>
      <c r="K645" s="253">
        <v>6.3644347190856898</v>
      </c>
      <c r="L645" s="253">
        <v>6.3782010078430202</v>
      </c>
      <c r="M645" s="253">
        <v>6.3993859291076696</v>
      </c>
      <c r="N645" s="253">
        <v>6.4120607376098597</v>
      </c>
      <c r="O645" s="253">
        <v>6.4825568199157697</v>
      </c>
      <c r="P645" s="253">
        <v>6.5450062751770002</v>
      </c>
      <c r="Q645" s="253">
        <v>6.5706739425659197</v>
      </c>
      <c r="R645" s="253">
        <v>6.6389350891113299</v>
      </c>
      <c r="S645" s="253">
        <v>6.7355680465698198</v>
      </c>
      <c r="T645" s="253">
        <v>6.8303794860839799</v>
      </c>
      <c r="U645" s="253">
        <v>6.9826822280883798</v>
      </c>
      <c r="V645" s="253">
        <v>7.0502834320068404</v>
      </c>
      <c r="W645" s="253">
        <v>7.1402068138122603</v>
      </c>
      <c r="X645" s="253">
        <v>7.2155933380126998</v>
      </c>
      <c r="Y645" s="253">
        <v>7.3827753067016602</v>
      </c>
    </row>
    <row r="646" spans="1:26" x14ac:dyDescent="0.2">
      <c r="A646" s="249" t="s">
        <v>475</v>
      </c>
      <c r="B646" s="253">
        <v>6.5291514396667498</v>
      </c>
      <c r="C646" s="253">
        <v>8.2850980758666992</v>
      </c>
      <c r="D646" s="253">
        <v>9.8001213073730504</v>
      </c>
      <c r="E646" s="253">
        <v>9.3321943283081108</v>
      </c>
      <c r="F646" s="253">
        <v>9.0226831436157209</v>
      </c>
      <c r="G646" s="253">
        <v>9.0089912414550799</v>
      </c>
      <c r="H646" s="253">
        <v>8.9738616943359393</v>
      </c>
      <c r="I646" s="253">
        <v>8.8902368545532209</v>
      </c>
      <c r="J646" s="253">
        <v>8.9552536010742205</v>
      </c>
      <c r="K646" s="253">
        <v>8.9079008102416992</v>
      </c>
      <c r="L646" s="253">
        <v>8.89520359039307</v>
      </c>
      <c r="M646" s="253">
        <v>8.8468990325927699</v>
      </c>
      <c r="N646" s="253">
        <v>8.7482786178588903</v>
      </c>
      <c r="O646" s="253">
        <v>8.7885036468505895</v>
      </c>
      <c r="P646" s="253">
        <v>8.8624305725097692</v>
      </c>
      <c r="Q646" s="253">
        <v>8.9473028182983398</v>
      </c>
      <c r="R646" s="253">
        <v>9.0262336730956996</v>
      </c>
      <c r="S646" s="253">
        <v>9.1055555343627894</v>
      </c>
      <c r="T646" s="253">
        <v>9.0882310867309606</v>
      </c>
      <c r="U646" s="253">
        <v>9.3312444686889595</v>
      </c>
      <c r="V646" s="253">
        <v>9.4788913726806605</v>
      </c>
      <c r="W646" s="253">
        <v>9.6528720855712908</v>
      </c>
      <c r="X646" s="253">
        <v>9.7811794281005895</v>
      </c>
      <c r="Y646" s="253">
        <v>10.0579071044922</v>
      </c>
    </row>
    <row r="647" spans="1:26" x14ac:dyDescent="0.2">
      <c r="A647" s="249" t="s">
        <v>476</v>
      </c>
      <c r="B647" s="253">
        <v>6.3323707580566397</v>
      </c>
      <c r="C647" s="253">
        <v>7.2384452819824201</v>
      </c>
      <c r="D647" s="253">
        <v>7.96527099609375</v>
      </c>
      <c r="E647" s="253">
        <v>7.6527161598205602</v>
      </c>
      <c r="F647" s="253">
        <v>7.9603652954101598</v>
      </c>
      <c r="G647" s="253">
        <v>8.0741472244262695</v>
      </c>
      <c r="H647" s="253">
        <v>8.2605934143066406</v>
      </c>
      <c r="I647" s="253">
        <v>8.3100318908691406</v>
      </c>
      <c r="J647" s="253">
        <v>8.4493141174316406</v>
      </c>
      <c r="K647" s="253">
        <v>8.8189620971679705</v>
      </c>
      <c r="L647" s="253">
        <v>8.8862495422363299</v>
      </c>
      <c r="M647" s="253">
        <v>8.8418188095092791</v>
      </c>
      <c r="N647" s="253">
        <v>8.8337812423706108</v>
      </c>
      <c r="O647" s="253">
        <v>8.6748180389404297</v>
      </c>
      <c r="P647" s="253">
        <v>8.5509977340698207</v>
      </c>
      <c r="Q647" s="253">
        <v>8.4207677841186506</v>
      </c>
      <c r="R647" s="253">
        <v>8.4376201629638707</v>
      </c>
      <c r="S647" s="253">
        <v>8.4841489791870099</v>
      </c>
      <c r="T647" s="253">
        <v>8.5509052276611293</v>
      </c>
      <c r="U647" s="253">
        <v>8.6700105667114293</v>
      </c>
      <c r="V647" s="253">
        <v>8.74859523773193</v>
      </c>
      <c r="W647" s="253">
        <v>8.8432664871215803</v>
      </c>
      <c r="X647" s="253">
        <v>9.0058250427246094</v>
      </c>
      <c r="Y647" s="253">
        <v>9.3929624557495099</v>
      </c>
    </row>
    <row r="648" spans="1:26" x14ac:dyDescent="0.2">
      <c r="A648" s="249" t="s">
        <v>477</v>
      </c>
      <c r="B648" s="253">
        <v>8.4833917617797905</v>
      </c>
      <c r="C648" s="253">
        <v>12.566796302795399</v>
      </c>
      <c r="D648" s="253">
        <v>15.1471004486084</v>
      </c>
      <c r="E648" s="253">
        <v>13.237501144409199</v>
      </c>
      <c r="F648" s="253">
        <v>12.375891685485801</v>
      </c>
      <c r="G648" s="253">
        <v>12.379506111145</v>
      </c>
      <c r="H648" s="253">
        <v>12.2225999832153</v>
      </c>
      <c r="I648" s="253">
        <v>12.080751419067401</v>
      </c>
      <c r="J648" s="253">
        <v>12.212836265564</v>
      </c>
      <c r="K648" s="253">
        <v>12.0270395278931</v>
      </c>
      <c r="L648" s="253">
        <v>11.9549217224121</v>
      </c>
      <c r="M648" s="253">
        <v>11.879666328430201</v>
      </c>
      <c r="N648" s="253">
        <v>11.6303720474243</v>
      </c>
      <c r="O648" s="253">
        <v>11.7905416488647</v>
      </c>
      <c r="P648" s="253">
        <v>11.941043853759799</v>
      </c>
      <c r="Q648" s="253">
        <v>12.1426992416382</v>
      </c>
      <c r="R648" s="253">
        <v>12.289721488952599</v>
      </c>
      <c r="S648" s="253">
        <v>12.378883361816399</v>
      </c>
      <c r="T648" s="253">
        <v>12.2595558166504</v>
      </c>
      <c r="U648" s="253">
        <v>12.590350151061999</v>
      </c>
      <c r="V648" s="253">
        <v>12.7815389633179</v>
      </c>
      <c r="W648" s="253">
        <v>12.973883628845201</v>
      </c>
      <c r="X648" s="253">
        <v>13.0949363708496</v>
      </c>
      <c r="Y648" s="253">
        <v>13.367587089538601</v>
      </c>
    </row>
    <row r="649" spans="1:26" x14ac:dyDescent="0.2">
      <c r="A649" s="249" t="s">
        <v>481</v>
      </c>
      <c r="B649" s="253">
        <v>3.9384419918060298</v>
      </c>
      <c r="C649" s="253">
        <v>4.5867881774902299</v>
      </c>
      <c r="D649" s="253">
        <v>4.6800308227539098</v>
      </c>
      <c r="E649" s="253">
        <v>4.9388952255248997</v>
      </c>
      <c r="F649" s="253">
        <v>5.2859730720520002</v>
      </c>
      <c r="G649" s="253">
        <v>5.2723593711853001</v>
      </c>
      <c r="H649" s="253">
        <v>5.2104086875915501</v>
      </c>
      <c r="I649" s="253">
        <v>5.1732821464538601</v>
      </c>
      <c r="J649" s="253">
        <v>5.1717634201049796</v>
      </c>
      <c r="K649" s="253">
        <v>5.17871141433716</v>
      </c>
      <c r="L649" s="253">
        <v>5.1878075599670401</v>
      </c>
      <c r="M649" s="253">
        <v>5.1966009140014604</v>
      </c>
      <c r="N649" s="253">
        <v>5.2060360908508301</v>
      </c>
      <c r="O649" s="253">
        <v>5.2088470458984402</v>
      </c>
      <c r="P649" s="253">
        <v>5.2896075248718297</v>
      </c>
      <c r="Q649" s="253">
        <v>5.3583388328552202</v>
      </c>
      <c r="R649" s="253">
        <v>5.44156694412231</v>
      </c>
      <c r="S649" s="253">
        <v>5.5192761421203604</v>
      </c>
      <c r="T649" s="253">
        <v>5.5953726768493697</v>
      </c>
      <c r="U649" s="253">
        <v>5.6724872589111301</v>
      </c>
      <c r="V649" s="253">
        <v>5.7441039085388201</v>
      </c>
      <c r="W649" s="253">
        <v>5.8200716972351101</v>
      </c>
      <c r="X649" s="253">
        <v>5.9009070396423304</v>
      </c>
      <c r="Y649" s="253">
        <v>5.9898118972778303</v>
      </c>
    </row>
    <row r="650" spans="1:26" x14ac:dyDescent="0.2">
      <c r="A650" s="274" t="s">
        <v>484</v>
      </c>
      <c r="B650" s="253">
        <v>3.88655662536621</v>
      </c>
      <c r="C650" s="253">
        <v>5.55936574935913</v>
      </c>
      <c r="D650" s="253">
        <v>6.0491261482238796</v>
      </c>
      <c r="E650" s="253">
        <v>6.0771641731262198</v>
      </c>
      <c r="F650" s="253">
        <v>5.4298515319824201</v>
      </c>
      <c r="G650" s="253">
        <v>5.0030980110168501</v>
      </c>
      <c r="H650" s="253">
        <v>4.6280007362365696</v>
      </c>
      <c r="I650" s="253">
        <v>4.5291852951049796</v>
      </c>
      <c r="J650" s="253">
        <v>4.41147708892822</v>
      </c>
      <c r="K650" s="253">
        <v>4.4342226982116699</v>
      </c>
      <c r="L650" s="253">
        <v>4.4864263534545898</v>
      </c>
      <c r="M650" s="253">
        <v>4.5912823677062997</v>
      </c>
      <c r="N650" s="253">
        <v>4.7218933105468803</v>
      </c>
      <c r="O650" s="253">
        <v>4.8130536079406703</v>
      </c>
      <c r="P650" s="253">
        <v>4.8621869087219203</v>
      </c>
      <c r="Q650" s="253">
        <v>4.81842041015625</v>
      </c>
      <c r="R650" s="253">
        <v>4.8841061592102104</v>
      </c>
      <c r="S650" s="253">
        <v>5.0232949256896999</v>
      </c>
      <c r="T650" s="253">
        <v>5.2583932876586896</v>
      </c>
      <c r="U650" s="253">
        <v>5.3567323684692401</v>
      </c>
      <c r="V650" s="253">
        <v>5.3575921058654803</v>
      </c>
      <c r="W650" s="253">
        <v>5.37701320648193</v>
      </c>
      <c r="X650" s="253">
        <v>5.4306664466857901</v>
      </c>
      <c r="Y650" s="253">
        <v>5.5327925682067898</v>
      </c>
      <c r="Z650" s="283">
        <f>Y650+($AI$480-$Y$650)/10</f>
        <v>5.5600694801614594</v>
      </c>
    </row>
    <row r="651" spans="1:26" x14ac:dyDescent="0.2">
      <c r="A651" s="249" t="s">
        <v>485</v>
      </c>
      <c r="B651" s="253">
        <v>1.88388228416443</v>
      </c>
      <c r="C651" s="253">
        <v>1.8499996662139899</v>
      </c>
      <c r="D651" s="253">
        <v>1.9633457660675</v>
      </c>
      <c r="E651" s="253">
        <v>1.8999761343002299</v>
      </c>
      <c r="F651" s="253">
        <v>1.88347840309143</v>
      </c>
      <c r="G651" s="253">
        <v>1.8588999509811399</v>
      </c>
      <c r="H651" s="253">
        <v>1.8578026294708301</v>
      </c>
      <c r="I651" s="253">
        <v>1.85227739810944</v>
      </c>
      <c r="J651" s="253">
        <v>1.8239538669586199</v>
      </c>
      <c r="K651" s="253">
        <v>1.79700314998627</v>
      </c>
      <c r="L651" s="253">
        <v>1.78184306621552</v>
      </c>
      <c r="M651" s="253">
        <v>1.7756989002227801</v>
      </c>
      <c r="N651" s="253">
        <v>1.77074086666107</v>
      </c>
      <c r="O651" s="253">
        <v>1.7668309211730999</v>
      </c>
      <c r="P651" s="253">
        <v>1.7627635002136199</v>
      </c>
      <c r="Q651" s="253">
        <v>1.7565006017684901</v>
      </c>
      <c r="R651" s="253">
        <v>1.75614774227142</v>
      </c>
      <c r="S651" s="253">
        <v>1.7571268081664999</v>
      </c>
      <c r="T651" s="253">
        <v>1.75483202934265</v>
      </c>
      <c r="U651" s="253">
        <v>1.7449706792831401</v>
      </c>
      <c r="V651" s="253">
        <v>1.72660219669342</v>
      </c>
      <c r="W651" s="253">
        <v>1.70969367027283</v>
      </c>
      <c r="X651" s="253">
        <v>1.70006084442139</v>
      </c>
      <c r="Y651" s="253">
        <v>1.6866580247878999</v>
      </c>
    </row>
    <row r="652" spans="1:26" x14ac:dyDescent="0.2">
      <c r="A652" s="249" t="s">
        <v>486</v>
      </c>
      <c r="B652" s="253">
        <v>1.5976041555404701</v>
      </c>
      <c r="C652" s="253">
        <v>1.5543407201767001</v>
      </c>
      <c r="D652" s="253">
        <v>1.5670678615570099</v>
      </c>
      <c r="E652" s="253">
        <v>1.6038056612014799</v>
      </c>
      <c r="F652" s="253">
        <v>1.6009258031845099</v>
      </c>
      <c r="G652" s="253">
        <v>1.58739173412323</v>
      </c>
      <c r="H652" s="253">
        <v>1.58863317966461</v>
      </c>
      <c r="I652" s="253">
        <v>1.5846539735794101</v>
      </c>
      <c r="J652" s="253">
        <v>1.5799860954284699</v>
      </c>
      <c r="K652" s="253">
        <v>1.5764416456222501</v>
      </c>
      <c r="L652" s="253">
        <v>1.5679914951324501</v>
      </c>
      <c r="M652" s="253">
        <v>1.5610833168029801</v>
      </c>
      <c r="N652" s="253">
        <v>1.5600349903106701</v>
      </c>
      <c r="O652" s="253">
        <v>1.56054711341858</v>
      </c>
      <c r="P652" s="253">
        <v>1.56748187541962</v>
      </c>
      <c r="Q652" s="253">
        <v>1.5675091743469201</v>
      </c>
      <c r="R652" s="253">
        <v>1.5641727447509799</v>
      </c>
      <c r="S652" s="253">
        <v>1.5615659952163701</v>
      </c>
      <c r="T652" s="253">
        <v>1.58828938007355</v>
      </c>
      <c r="U652" s="253">
        <v>1.58737933635712</v>
      </c>
      <c r="V652" s="253">
        <v>1.59387278556824</v>
      </c>
      <c r="W652" s="253">
        <v>1.5848928689956701</v>
      </c>
      <c r="X652" s="253">
        <v>1.5860744714736901</v>
      </c>
      <c r="Y652" s="253">
        <v>1.5880702733993499</v>
      </c>
    </row>
    <row r="653" spans="1:26" x14ac:dyDescent="0.2">
      <c r="A653" s="276" t="s">
        <v>479</v>
      </c>
      <c r="B653" s="253">
        <v>14.734835624694799</v>
      </c>
      <c r="C653" s="253">
        <v>15.0261535644531</v>
      </c>
      <c r="D653" s="253">
        <v>15.722662925720201</v>
      </c>
      <c r="E653" s="253">
        <v>15.5983018875122</v>
      </c>
      <c r="F653" s="253">
        <v>15.078427314758301</v>
      </c>
      <c r="G653" s="253">
        <v>14.4692840576172</v>
      </c>
      <c r="H653" s="253">
        <v>14.1632738113403</v>
      </c>
      <c r="I653" s="253">
        <v>14.081834793090801</v>
      </c>
      <c r="J653" s="253">
        <v>13.919806480407701</v>
      </c>
      <c r="K653" s="253">
        <v>13.785112380981399</v>
      </c>
      <c r="L653" s="253">
        <v>13.931169509887701</v>
      </c>
      <c r="M653" s="253">
        <v>14.1889085769653</v>
      </c>
      <c r="N653" s="253">
        <v>14.5255270004272</v>
      </c>
      <c r="O653" s="253">
        <v>14.681715965271</v>
      </c>
      <c r="P653" s="253">
        <v>14.814373970031699</v>
      </c>
      <c r="Q653" s="253">
        <v>14.8553409576416</v>
      </c>
      <c r="R653" s="253">
        <v>15.0255784988403</v>
      </c>
      <c r="S653" s="253">
        <v>15.2628774642944</v>
      </c>
      <c r="T653" s="253">
        <v>15.5799751281738</v>
      </c>
      <c r="U653" s="253">
        <v>15.7510900497437</v>
      </c>
      <c r="V653" s="253">
        <v>15.7371273040771</v>
      </c>
      <c r="W653" s="253">
        <v>15.705772399902299</v>
      </c>
      <c r="X653" s="253">
        <v>15.779216766357401</v>
      </c>
      <c r="Y653" s="253">
        <v>15.8933115005493</v>
      </c>
      <c r="Z653" s="285">
        <f>Y653+($AI$483-$Y$653)/10</f>
        <v>15.820176294068443</v>
      </c>
    </row>
    <row r="654" spans="1:26" x14ac:dyDescent="0.2">
      <c r="A654" s="249" t="s">
        <v>440</v>
      </c>
      <c r="B654" s="253" t="s">
        <v>440</v>
      </c>
      <c r="C654" s="253" t="s">
        <v>440</v>
      </c>
      <c r="D654" s="253" t="s">
        <v>440</v>
      </c>
      <c r="E654" s="253" t="s">
        <v>440</v>
      </c>
      <c r="F654" s="253" t="s">
        <v>440</v>
      </c>
      <c r="G654" s="253" t="s">
        <v>440</v>
      </c>
      <c r="H654" s="253" t="s">
        <v>440</v>
      </c>
      <c r="I654" s="253" t="s">
        <v>440</v>
      </c>
      <c r="J654" s="253" t="s">
        <v>440</v>
      </c>
      <c r="K654" s="253" t="s">
        <v>440</v>
      </c>
      <c r="L654" s="253" t="s">
        <v>440</v>
      </c>
      <c r="M654" s="253" t="s">
        <v>440</v>
      </c>
      <c r="N654" s="253" t="s">
        <v>440</v>
      </c>
      <c r="O654" s="253" t="s">
        <v>440</v>
      </c>
      <c r="P654" s="253" t="s">
        <v>440</v>
      </c>
      <c r="Q654" s="253" t="s">
        <v>440</v>
      </c>
      <c r="R654" s="253" t="s">
        <v>440</v>
      </c>
      <c r="S654" s="253" t="s">
        <v>440</v>
      </c>
      <c r="T654" s="253" t="s">
        <v>440</v>
      </c>
      <c r="U654" s="253" t="s">
        <v>440</v>
      </c>
      <c r="V654" s="253" t="s">
        <v>440</v>
      </c>
      <c r="W654" s="253" t="s">
        <v>440</v>
      </c>
      <c r="X654" s="253" t="s">
        <v>440</v>
      </c>
      <c r="Y654" s="253" t="s">
        <v>440</v>
      </c>
    </row>
    <row r="655" spans="1:26" x14ac:dyDescent="0.2">
      <c r="A655" s="249" t="s">
        <v>487</v>
      </c>
      <c r="B655" s="253">
        <v>10.068477630615201</v>
      </c>
      <c r="C655" s="253">
        <v>11.4567165374756</v>
      </c>
      <c r="D655" s="253">
        <v>12.984992980956999</v>
      </c>
      <c r="E655" s="253">
        <v>12.648449897766101</v>
      </c>
      <c r="F655" s="253">
        <v>12.9899549484253</v>
      </c>
      <c r="G655" s="253">
        <v>12.831539154052701</v>
      </c>
      <c r="H655" s="253">
        <v>12.772025108337401</v>
      </c>
      <c r="I655" s="253">
        <v>12.778377532959</v>
      </c>
      <c r="J655" s="253">
        <v>12.6527404785156</v>
      </c>
      <c r="K655" s="253">
        <v>12.633409500122101</v>
      </c>
      <c r="L655" s="253">
        <v>12.627567291259799</v>
      </c>
      <c r="M655" s="253">
        <v>12.5634212493896</v>
      </c>
      <c r="N655" s="253">
        <v>12.5677394866943</v>
      </c>
      <c r="O655" s="253">
        <v>12.4416351318359</v>
      </c>
      <c r="P655" s="253">
        <v>12.463407516479499</v>
      </c>
      <c r="Q655" s="253">
        <v>12.3592376708984</v>
      </c>
      <c r="R655" s="253">
        <v>12.3700494766235</v>
      </c>
      <c r="S655" s="253">
        <v>12.4214639663696</v>
      </c>
      <c r="T655" s="253">
        <v>12.406385421752899</v>
      </c>
      <c r="U655" s="253">
        <v>12.599157333374</v>
      </c>
      <c r="V655" s="253">
        <v>12.7199811935425</v>
      </c>
      <c r="W655" s="253">
        <v>12.8404388427734</v>
      </c>
      <c r="X655" s="253">
        <v>12.9761352539063</v>
      </c>
      <c r="Y655" s="253">
        <v>13.180356025695801</v>
      </c>
    </row>
    <row r="656" spans="1:26" x14ac:dyDescent="0.2">
      <c r="A656" s="249" t="s">
        <v>483</v>
      </c>
      <c r="B656" s="253">
        <v>10.0396184921265</v>
      </c>
      <c r="C656" s="253">
        <v>11.4297380447388</v>
      </c>
      <c r="D656" s="253">
        <v>12.961000442504901</v>
      </c>
      <c r="E656" s="253">
        <v>12.6243276596069</v>
      </c>
      <c r="F656" s="253">
        <v>12.9694175720215</v>
      </c>
      <c r="G656" s="253">
        <v>12.812975883483899</v>
      </c>
      <c r="H656" s="253">
        <v>12.7542219161987</v>
      </c>
      <c r="I656" s="253">
        <v>12.7604532241821</v>
      </c>
      <c r="J656" s="253">
        <v>12.634376525878899</v>
      </c>
      <c r="K656" s="253">
        <v>12.614933013916</v>
      </c>
      <c r="L656" s="253">
        <v>12.6084880828857</v>
      </c>
      <c r="M656" s="253">
        <v>12.543541908264199</v>
      </c>
      <c r="N656" s="253">
        <v>12.546923637390099</v>
      </c>
      <c r="O656" s="253">
        <v>12.4202537536621</v>
      </c>
      <c r="P656" s="253">
        <v>12.441800117492701</v>
      </c>
      <c r="Q656" s="253">
        <v>12.3374538421631</v>
      </c>
      <c r="R656" s="253">
        <v>12.3479681015015</v>
      </c>
      <c r="S656" s="253">
        <v>12.3989114761353</v>
      </c>
      <c r="T656" s="253">
        <v>12.3829250335693</v>
      </c>
      <c r="U656" s="253">
        <v>12.575768470764199</v>
      </c>
      <c r="V656" s="253">
        <v>12.6970834732056</v>
      </c>
      <c r="W656" s="253">
        <v>12.8181715011597</v>
      </c>
      <c r="X656" s="253">
        <v>12.9540061950684</v>
      </c>
      <c r="Y656" s="253">
        <v>13.1585645675659</v>
      </c>
    </row>
    <row r="657" spans="1:26" x14ac:dyDescent="0.2">
      <c r="A657" s="249" t="s">
        <v>475</v>
      </c>
      <c r="B657" s="253">
        <v>10.0409812927246</v>
      </c>
      <c r="C657" s="253">
        <v>11.431476593017599</v>
      </c>
      <c r="D657" s="253">
        <v>12.9638833999634</v>
      </c>
      <c r="E657" s="253">
        <v>12.6272735595703</v>
      </c>
      <c r="F657" s="253">
        <v>12.9738121032715</v>
      </c>
      <c r="G657" s="253">
        <v>12.8180704116821</v>
      </c>
      <c r="H657" s="253">
        <v>12.7602338790894</v>
      </c>
      <c r="I657" s="253">
        <v>12.7672443389893</v>
      </c>
      <c r="J657" s="253">
        <v>12.6416578292847</v>
      </c>
      <c r="K657" s="253">
        <v>12.622591972351101</v>
      </c>
      <c r="L657" s="253">
        <v>12.616462707519499</v>
      </c>
      <c r="M657" s="253">
        <v>12.551496505737299</v>
      </c>
      <c r="N657" s="253">
        <v>12.554883956909199</v>
      </c>
      <c r="O657" s="253">
        <v>12.4279336929321</v>
      </c>
      <c r="P657" s="253">
        <v>12.4496717453003</v>
      </c>
      <c r="Q657" s="253">
        <v>12.3454332351685</v>
      </c>
      <c r="R657" s="253">
        <v>12.356036186218301</v>
      </c>
      <c r="S657" s="253">
        <v>12.4068956375122</v>
      </c>
      <c r="T657" s="253">
        <v>12.3903903961182</v>
      </c>
      <c r="U657" s="253">
        <v>12.5835561752319</v>
      </c>
      <c r="V657" s="253">
        <v>12.7052898406982</v>
      </c>
      <c r="W657" s="253">
        <v>12.826750755310099</v>
      </c>
      <c r="X657" s="253">
        <v>12.9629173278809</v>
      </c>
      <c r="Y657" s="253">
        <v>13.167941093444799</v>
      </c>
    </row>
    <row r="658" spans="1:26" x14ac:dyDescent="0.2">
      <c r="A658" s="280" t="s">
        <v>488</v>
      </c>
      <c r="B658" s="253">
        <v>9.5535230636596697</v>
      </c>
      <c r="C658" s="253">
        <v>10.9202365875244</v>
      </c>
      <c r="D658" s="253">
        <v>12.0208587646484</v>
      </c>
      <c r="E658" s="253">
        <v>11.5461339950562</v>
      </c>
      <c r="F658" s="253">
        <v>12.0997161865234</v>
      </c>
      <c r="G658" s="253">
        <v>12.488727569580099</v>
      </c>
      <c r="H658" s="253">
        <v>12.3829002380371</v>
      </c>
      <c r="I658" s="253">
        <v>12.4196271896362</v>
      </c>
      <c r="J658" s="253">
        <v>12.508094787597701</v>
      </c>
      <c r="K658" s="253">
        <v>12.555921554565399</v>
      </c>
      <c r="L658" s="253">
        <v>12.5986595153809</v>
      </c>
      <c r="M658" s="253">
        <v>12.507498741149901</v>
      </c>
      <c r="N658" s="253">
        <v>12.460197448730501</v>
      </c>
      <c r="O658" s="253">
        <v>12.2335548400879</v>
      </c>
      <c r="P658" s="253">
        <v>12.028847694396999</v>
      </c>
      <c r="Q658" s="253">
        <v>11.832740783691399</v>
      </c>
      <c r="R658" s="253">
        <v>11.7916069030762</v>
      </c>
      <c r="S658" s="253">
        <v>11.803469657897899</v>
      </c>
      <c r="T658" s="253">
        <v>11.8377895355225</v>
      </c>
      <c r="U658" s="253">
        <v>11.9129686355591</v>
      </c>
      <c r="V658" s="253">
        <v>11.9319505691528</v>
      </c>
      <c r="W658" s="253">
        <v>11.983411788940399</v>
      </c>
      <c r="X658" s="253">
        <v>12.11021900177</v>
      </c>
      <c r="Y658" s="253">
        <v>12.4955101013184</v>
      </c>
      <c r="Z658" s="287">
        <f>Y658+($AI$488-$Y$658)/10</f>
        <v>12.860153747735882</v>
      </c>
    </row>
    <row r="659" spans="1:26" x14ac:dyDescent="0.2">
      <c r="A659" s="249" t="s">
        <v>489</v>
      </c>
      <c r="B659" s="253">
        <v>6.0538434982299796</v>
      </c>
      <c r="C659" s="253">
        <v>6.4578518867492702</v>
      </c>
      <c r="D659" s="253">
        <v>8.1168746948242205</v>
      </c>
      <c r="E659" s="253">
        <v>7.6875567436218297</v>
      </c>
      <c r="F659" s="253">
        <v>7.8739576339721697</v>
      </c>
      <c r="G659" s="253">
        <v>7.8265089988708496</v>
      </c>
      <c r="H659" s="253">
        <v>7.9840884208679199</v>
      </c>
      <c r="I659" s="253">
        <v>8.0166091918945295</v>
      </c>
      <c r="J659" s="253">
        <v>7.8608303070068404</v>
      </c>
      <c r="K659" s="253">
        <v>7.81276655197144</v>
      </c>
      <c r="L659" s="253">
        <v>7.8045797348022496</v>
      </c>
      <c r="M659" s="253">
        <v>7.7928524017334002</v>
      </c>
      <c r="N659" s="253">
        <v>7.7725591659545898</v>
      </c>
      <c r="O659" s="253">
        <v>7.7157216072082502</v>
      </c>
      <c r="P659" s="253">
        <v>7.7164225578308097</v>
      </c>
      <c r="Q659" s="253">
        <v>7.6991229057312003</v>
      </c>
      <c r="R659" s="253">
        <v>7.7546834945678702</v>
      </c>
      <c r="S659" s="253">
        <v>7.8412432670593297</v>
      </c>
      <c r="T659" s="253">
        <v>7.8916783332824698</v>
      </c>
      <c r="U659" s="253">
        <v>8.0530261993408203</v>
      </c>
      <c r="V659" s="253">
        <v>8.1459932327270508</v>
      </c>
      <c r="W659" s="253">
        <v>8.2922735214233398</v>
      </c>
      <c r="X659" s="253">
        <v>8.4199304580688494</v>
      </c>
      <c r="Y659" s="253">
        <v>8.7479171752929705</v>
      </c>
    </row>
    <row r="660" spans="1:26" x14ac:dyDescent="0.2">
      <c r="A660" s="280" t="s">
        <v>490</v>
      </c>
      <c r="B660" s="253">
        <v>11.3207235336304</v>
      </c>
      <c r="C660" s="253">
        <v>12.9284992218018</v>
      </c>
      <c r="D660" s="253">
        <v>14.6530704498291</v>
      </c>
      <c r="E660" s="253">
        <v>14.346966743469199</v>
      </c>
      <c r="F660" s="253">
        <v>14.7094535827637</v>
      </c>
      <c r="G660" s="253">
        <v>14.3600215911865</v>
      </c>
      <c r="H660" s="253">
        <v>14.2510118484497</v>
      </c>
      <c r="I660" s="253">
        <v>14.250683784484901</v>
      </c>
      <c r="J660" s="253">
        <v>14.0786781311035</v>
      </c>
      <c r="K660" s="253">
        <v>14.0637760162354</v>
      </c>
      <c r="L660" s="253">
        <v>14.0259552001953</v>
      </c>
      <c r="M660" s="253">
        <v>13.906542778015099</v>
      </c>
      <c r="N660" s="253">
        <v>13.9343166351318</v>
      </c>
      <c r="O660" s="253">
        <v>13.819755554199199</v>
      </c>
      <c r="P660" s="253">
        <v>13.920813560485801</v>
      </c>
      <c r="Q660" s="253">
        <v>13.821713447570801</v>
      </c>
      <c r="R660" s="253">
        <v>13.8340721130371</v>
      </c>
      <c r="S660" s="253">
        <v>13.8936500549316</v>
      </c>
      <c r="T660" s="253">
        <v>13.8356838226318</v>
      </c>
      <c r="U660" s="253">
        <v>14.0806474685669</v>
      </c>
      <c r="V660" s="253">
        <v>14.2383365631104</v>
      </c>
      <c r="W660" s="253">
        <v>14.3749399185181</v>
      </c>
      <c r="X660" s="253">
        <v>14.5092010498047</v>
      </c>
      <c r="Y660" s="253">
        <v>14.605681419372599</v>
      </c>
      <c r="Z660" s="287">
        <f>Y660+($AI$490-$Y$660)/10</f>
        <v>15.03173973157025</v>
      </c>
    </row>
    <row r="661" spans="1:26" x14ac:dyDescent="0.2">
      <c r="A661" s="249" t="s">
        <v>481</v>
      </c>
      <c r="B661" s="253">
        <v>3.83150410652161</v>
      </c>
      <c r="C661" s="253">
        <v>4.4939312934875497</v>
      </c>
      <c r="D661" s="253">
        <v>4.5839381217956499</v>
      </c>
      <c r="E661" s="253">
        <v>4.8374896049499503</v>
      </c>
      <c r="F661" s="253">
        <v>5.1729192733764604</v>
      </c>
      <c r="G661" s="253">
        <v>5.1682701110839799</v>
      </c>
      <c r="H661" s="253">
        <v>5.1688323020935103</v>
      </c>
      <c r="I661" s="253">
        <v>5.1695828437805202</v>
      </c>
      <c r="J661" s="253">
        <v>5.16760349273682</v>
      </c>
      <c r="K661" s="253">
        <v>5.1733479499816903</v>
      </c>
      <c r="L661" s="253">
        <v>5.1798586845397896</v>
      </c>
      <c r="M661" s="253">
        <v>5.1877336502075204</v>
      </c>
      <c r="N661" s="253">
        <v>5.1953010559081996</v>
      </c>
      <c r="O661" s="253">
        <v>5.2001247406005904</v>
      </c>
      <c r="P661" s="253">
        <v>5.2810626029968297</v>
      </c>
      <c r="Q661" s="253">
        <v>5.3552770614623997</v>
      </c>
      <c r="R661" s="253">
        <v>5.4362750053405797</v>
      </c>
      <c r="S661" s="253">
        <v>5.5152239799499503</v>
      </c>
      <c r="T661" s="253">
        <v>5.5921721458435103</v>
      </c>
      <c r="U661" s="253">
        <v>5.6705627441406303</v>
      </c>
      <c r="V661" s="253">
        <v>5.7475032806396502</v>
      </c>
      <c r="W661" s="253">
        <v>5.8269476890564</v>
      </c>
      <c r="X661" s="253">
        <v>5.9046044349670401</v>
      </c>
      <c r="Y661" s="253">
        <v>5.9824995994567898</v>
      </c>
    </row>
    <row r="662" spans="1:26" x14ac:dyDescent="0.2">
      <c r="A662" s="249" t="s">
        <v>491</v>
      </c>
      <c r="B662" s="253">
        <v>15.146578788757299</v>
      </c>
      <c r="C662" s="253">
        <v>16.654964447021499</v>
      </c>
      <c r="D662" s="253">
        <v>20.603065490722699</v>
      </c>
      <c r="E662" s="253">
        <v>20.419296264648398</v>
      </c>
      <c r="F662" s="253">
        <v>17.4092102050781</v>
      </c>
      <c r="G662" s="253">
        <v>17.409763336181602</v>
      </c>
      <c r="H662" s="253">
        <v>17.1964435577393</v>
      </c>
      <c r="I662" s="253">
        <v>17.156021118164102</v>
      </c>
      <c r="J662" s="253">
        <v>17.248268127441399</v>
      </c>
      <c r="K662" s="253">
        <v>17.105394363403299</v>
      </c>
      <c r="L662" s="253">
        <v>17.085474014282202</v>
      </c>
      <c r="M662" s="253">
        <v>16.997465133666999</v>
      </c>
      <c r="N662" s="253">
        <v>16.7497043609619</v>
      </c>
      <c r="O662" s="253">
        <v>16.830522537231399</v>
      </c>
      <c r="P662" s="253">
        <v>16.954969406127901</v>
      </c>
      <c r="Q662" s="253">
        <v>17.1650085449219</v>
      </c>
      <c r="R662" s="253">
        <v>17.2562961578369</v>
      </c>
      <c r="S662" s="253">
        <v>17.321376800537099</v>
      </c>
      <c r="T662" s="253">
        <v>17.262313842773398</v>
      </c>
      <c r="U662" s="253">
        <v>17.454835891723601</v>
      </c>
      <c r="V662" s="253">
        <v>17.584600448608398</v>
      </c>
      <c r="W662" s="253">
        <v>17.847267150878899</v>
      </c>
      <c r="X662" s="253">
        <v>17.9585571289063</v>
      </c>
      <c r="Y662" s="253">
        <v>18.1527404785156</v>
      </c>
    </row>
    <row r="663" spans="1:26" x14ac:dyDescent="0.2">
      <c r="A663" s="249" t="s">
        <v>492</v>
      </c>
      <c r="B663" s="253">
        <v>7.2317700386047399</v>
      </c>
      <c r="C663" s="253">
        <v>9.0444478988647496</v>
      </c>
      <c r="D663" s="253">
        <v>9.7142210006713903</v>
      </c>
      <c r="E663" s="253">
        <v>9.7955017089843803</v>
      </c>
      <c r="F663" s="253">
        <v>9.2987012863159197</v>
      </c>
      <c r="G663" s="253">
        <v>9.0087041854858398</v>
      </c>
      <c r="H663" s="253">
        <v>8.73461818695068</v>
      </c>
      <c r="I663" s="253">
        <v>8.6602125167846697</v>
      </c>
      <c r="J663" s="253">
        <v>8.6087532043456996</v>
      </c>
      <c r="K663" s="253">
        <v>8.6854057312011701</v>
      </c>
      <c r="L663" s="253">
        <v>8.7734069824218803</v>
      </c>
      <c r="M663" s="253">
        <v>8.9131555557250994</v>
      </c>
      <c r="N663" s="253">
        <v>9.0697097778320295</v>
      </c>
      <c r="O663" s="253">
        <v>9.1761322021484393</v>
      </c>
      <c r="P663" s="253">
        <v>9.2086582183837908</v>
      </c>
      <c r="Q663" s="253">
        <v>9.1414461135864293</v>
      </c>
      <c r="R663" s="253">
        <v>9.1881532669067401</v>
      </c>
      <c r="S663" s="253">
        <v>9.3183298110961896</v>
      </c>
      <c r="T663" s="253">
        <v>9.5262966156005895</v>
      </c>
      <c r="U663" s="253">
        <v>9.6340904235839808</v>
      </c>
      <c r="V663" s="253">
        <v>9.6386470794677699</v>
      </c>
      <c r="W663" s="253">
        <v>9.6553201675415004</v>
      </c>
      <c r="X663" s="253">
        <v>9.7052288055419904</v>
      </c>
      <c r="Y663" s="253">
        <v>9.7829256057739293</v>
      </c>
    </row>
    <row r="664" spans="1:26" x14ac:dyDescent="0.2">
      <c r="A664" s="282" t="s">
        <v>497</v>
      </c>
      <c r="B664" s="253">
        <v>14.6543264389038</v>
      </c>
      <c r="C664" s="253">
        <v>16.232709884643601</v>
      </c>
      <c r="D664" s="253">
        <v>19.6646022796631</v>
      </c>
      <c r="E664" s="253">
        <v>19.716905593872099</v>
      </c>
      <c r="F664" s="253">
        <v>20.910398483276399</v>
      </c>
      <c r="G664" s="253">
        <v>20.088336944580099</v>
      </c>
      <c r="H664" s="253">
        <v>20.034643173217798</v>
      </c>
      <c r="I664" s="253">
        <v>19.876234054565401</v>
      </c>
      <c r="J664" s="253">
        <v>19.0899848937988</v>
      </c>
      <c r="K664" s="253">
        <v>19.0770473480225</v>
      </c>
      <c r="L664" s="253">
        <v>18.9334907531738</v>
      </c>
      <c r="M664" s="253">
        <v>18.8203315734863</v>
      </c>
      <c r="N664" s="253">
        <v>18.8769016265869</v>
      </c>
      <c r="O664" s="253">
        <v>18.733657836914102</v>
      </c>
      <c r="P664" s="253">
        <v>18.836368560791001</v>
      </c>
      <c r="Q664" s="253">
        <v>18.717578887939499</v>
      </c>
      <c r="R664" s="253">
        <v>18.677961349487301</v>
      </c>
      <c r="S664" s="253">
        <v>18.768825531005898</v>
      </c>
      <c r="T664" s="253">
        <v>18.702945709228501</v>
      </c>
      <c r="U664" s="253">
        <v>19.039726257324201</v>
      </c>
      <c r="V664" s="253">
        <v>19.213029861450199</v>
      </c>
      <c r="W664" s="253">
        <v>19.429216384887699</v>
      </c>
      <c r="X664" s="253">
        <v>19.537574768066399</v>
      </c>
      <c r="Y664" s="253">
        <v>19.6945476531982</v>
      </c>
      <c r="Z664" s="289">
        <f>Y664+($AI$494-$Y$664)/10</f>
        <v>19.593947309306923</v>
      </c>
    </row>
    <row r="665" spans="1:26" x14ac:dyDescent="0.2">
      <c r="A665" s="249" t="s">
        <v>479</v>
      </c>
      <c r="B665" s="253">
        <v>20.034517288208001</v>
      </c>
      <c r="C665" s="253">
        <v>20.636144638061499</v>
      </c>
      <c r="D665" s="253">
        <v>21.2071418762207</v>
      </c>
      <c r="E665" s="253">
        <v>20.9249382019043</v>
      </c>
      <c r="F665" s="253">
        <v>20.016746520996101</v>
      </c>
      <c r="G665" s="253">
        <v>19.1842136383057</v>
      </c>
      <c r="H665" s="253">
        <v>18.876358032226602</v>
      </c>
      <c r="I665" s="253">
        <v>18.930015563964801</v>
      </c>
      <c r="J665" s="253">
        <v>18.9569396972656</v>
      </c>
      <c r="K665" s="253">
        <v>18.971715927123999</v>
      </c>
      <c r="L665" s="253">
        <v>19.161241531372099</v>
      </c>
      <c r="M665" s="253">
        <v>19.352525711059599</v>
      </c>
      <c r="N665" s="253">
        <v>19.6624240875244</v>
      </c>
      <c r="O665" s="253">
        <v>19.699916839599599</v>
      </c>
      <c r="P665" s="253">
        <v>19.754545211791999</v>
      </c>
      <c r="Q665" s="253">
        <v>19.6803493499756</v>
      </c>
      <c r="R665" s="253">
        <v>19.749149322509801</v>
      </c>
      <c r="S665" s="253">
        <v>19.913064956665</v>
      </c>
      <c r="T665" s="253">
        <v>20.148523330688501</v>
      </c>
      <c r="U665" s="253">
        <v>20.261070251464801</v>
      </c>
      <c r="V665" s="253">
        <v>20.168498992919901</v>
      </c>
      <c r="W665" s="253">
        <v>20.043989181518601</v>
      </c>
      <c r="X665" s="253">
        <v>20.096965789794901</v>
      </c>
      <c r="Y665" s="253">
        <v>20.154518127441399</v>
      </c>
    </row>
    <row r="666" spans="1:26" x14ac:dyDescent="0.2">
      <c r="A666" s="249" t="s">
        <v>440</v>
      </c>
      <c r="B666" s="253" t="s">
        <v>440</v>
      </c>
      <c r="C666" s="253" t="s">
        <v>440</v>
      </c>
      <c r="D666" s="253" t="s">
        <v>440</v>
      </c>
      <c r="E666" s="253" t="s">
        <v>440</v>
      </c>
      <c r="F666" s="253" t="s">
        <v>440</v>
      </c>
      <c r="G666" s="253" t="s">
        <v>440</v>
      </c>
      <c r="H666" s="253" t="s">
        <v>440</v>
      </c>
      <c r="I666" s="253" t="s">
        <v>440</v>
      </c>
      <c r="J666" s="253" t="s">
        <v>440</v>
      </c>
      <c r="K666" s="253" t="s">
        <v>440</v>
      </c>
      <c r="L666" s="253" t="s">
        <v>440</v>
      </c>
      <c r="M666" s="253" t="s">
        <v>440</v>
      </c>
      <c r="N666" s="253" t="s">
        <v>440</v>
      </c>
      <c r="O666" s="253" t="s">
        <v>440</v>
      </c>
      <c r="P666" s="253" t="s">
        <v>440</v>
      </c>
      <c r="Q666" s="253" t="s">
        <v>440</v>
      </c>
      <c r="R666" s="253" t="s">
        <v>440</v>
      </c>
      <c r="S666" s="253" t="s">
        <v>440</v>
      </c>
      <c r="T666" s="253" t="s">
        <v>440</v>
      </c>
      <c r="U666" s="253" t="s">
        <v>440</v>
      </c>
      <c r="V666" s="253" t="s">
        <v>440</v>
      </c>
      <c r="W666" s="253" t="s">
        <v>440</v>
      </c>
      <c r="X666" s="253" t="s">
        <v>440</v>
      </c>
      <c r="Y666" s="253" t="s">
        <v>440</v>
      </c>
    </row>
    <row r="667" spans="1:26" x14ac:dyDescent="0.2">
      <c r="A667" s="249" t="s">
        <v>498</v>
      </c>
      <c r="B667" s="253">
        <v>10.2607097625732</v>
      </c>
      <c r="C667" s="253">
        <v>11.4965677261353</v>
      </c>
      <c r="D667" s="253">
        <v>12.4990587234497</v>
      </c>
      <c r="E667" s="253">
        <v>12.3170623779297</v>
      </c>
      <c r="F667" s="253">
        <v>12.135007858276399</v>
      </c>
      <c r="G667" s="253">
        <v>11.845267295837401</v>
      </c>
      <c r="H667" s="253">
        <v>11.6573295593262</v>
      </c>
      <c r="I667" s="253">
        <v>11.6295518875122</v>
      </c>
      <c r="J667" s="253">
        <v>11.5503234863281</v>
      </c>
      <c r="K667" s="253">
        <v>11.540096282959</v>
      </c>
      <c r="L667" s="253">
        <v>11.6076335906982</v>
      </c>
      <c r="M667" s="253">
        <v>11.667243003845201</v>
      </c>
      <c r="N667" s="253">
        <v>11.774538040161101</v>
      </c>
      <c r="O667" s="253">
        <v>11.796236991882299</v>
      </c>
      <c r="P667" s="253">
        <v>11.871965408325201</v>
      </c>
      <c r="Q667" s="253">
        <v>11.843188285827599</v>
      </c>
      <c r="R667" s="253">
        <v>11.9137773513794</v>
      </c>
      <c r="S667" s="253">
        <v>12.034348487854</v>
      </c>
      <c r="T667" s="253">
        <v>12.153738975524901</v>
      </c>
      <c r="U667" s="253">
        <v>12.3460960388184</v>
      </c>
      <c r="V667" s="253">
        <v>12.4321403503418</v>
      </c>
      <c r="W667" s="253">
        <v>12.5191946029663</v>
      </c>
      <c r="X667" s="253">
        <v>12.636996269226101</v>
      </c>
      <c r="Y667" s="253">
        <v>12.8200740814209</v>
      </c>
    </row>
    <row r="668" spans="1:26" x14ac:dyDescent="0.2">
      <c r="A668" s="249" t="s">
        <v>483</v>
      </c>
      <c r="B668" s="253">
        <v>7.8488264083862296</v>
      </c>
      <c r="C668" s="253">
        <v>9.3171482086181605</v>
      </c>
      <c r="D668" s="253">
        <v>10.527009010314901</v>
      </c>
      <c r="E668" s="253">
        <v>10.2968044281006</v>
      </c>
      <c r="F668" s="253">
        <v>10.2268390655518</v>
      </c>
      <c r="G668" s="253">
        <v>10.0435380935669</v>
      </c>
      <c r="H668" s="253">
        <v>9.9028997421264595</v>
      </c>
      <c r="I668" s="253">
        <v>9.8629217147827095</v>
      </c>
      <c r="J668" s="253">
        <v>9.7728738784790004</v>
      </c>
      <c r="K668" s="253">
        <v>9.75823974609375</v>
      </c>
      <c r="L668" s="253">
        <v>9.7822933197021502</v>
      </c>
      <c r="M668" s="253">
        <v>9.7888011932372994</v>
      </c>
      <c r="N668" s="253">
        <v>9.8279809951782209</v>
      </c>
      <c r="O668" s="253">
        <v>9.8149814605712908</v>
      </c>
      <c r="P668" s="253">
        <v>9.8643417358398402</v>
      </c>
      <c r="Q668" s="253">
        <v>9.8190460205078107</v>
      </c>
      <c r="R668" s="253">
        <v>9.8615427017211896</v>
      </c>
      <c r="S668" s="253">
        <v>9.9469861984252894</v>
      </c>
      <c r="T668" s="253">
        <v>10.0096731185913</v>
      </c>
      <c r="U668" s="253">
        <v>10.190193176269499</v>
      </c>
      <c r="V668" s="253">
        <v>10.288735389709499</v>
      </c>
      <c r="W668" s="253">
        <v>10.396104812622101</v>
      </c>
      <c r="X668" s="253">
        <v>10.5091648101807</v>
      </c>
      <c r="Y668" s="253">
        <v>10.694952964782701</v>
      </c>
    </row>
    <row r="669" spans="1:26" x14ac:dyDescent="0.2">
      <c r="A669" s="249" t="s">
        <v>479</v>
      </c>
      <c r="B669" s="253">
        <v>21.599882125854499</v>
      </c>
      <c r="C669" s="253">
        <v>21.735733032226602</v>
      </c>
      <c r="D669" s="253">
        <v>21.731866836547901</v>
      </c>
      <c r="E669" s="253">
        <v>21.659553527831999</v>
      </c>
      <c r="F669" s="253">
        <v>20.918876647949201</v>
      </c>
      <c r="G669" s="253">
        <v>20.055833816528299</v>
      </c>
      <c r="H669" s="253">
        <v>19.596654891967798</v>
      </c>
      <c r="I669" s="253">
        <v>19.579929351806602</v>
      </c>
      <c r="J669" s="253">
        <v>19.517631530761701</v>
      </c>
      <c r="K669" s="253">
        <v>19.486770629882798</v>
      </c>
      <c r="L669" s="253">
        <v>19.702039718627901</v>
      </c>
      <c r="M669" s="253">
        <v>19.955158233642599</v>
      </c>
      <c r="N669" s="253">
        <v>20.317079544067401</v>
      </c>
      <c r="O669" s="253">
        <v>20.442613601684599</v>
      </c>
      <c r="P669" s="253">
        <v>20.578334808349599</v>
      </c>
      <c r="Q669" s="253">
        <v>20.580734252929702</v>
      </c>
      <c r="R669" s="253">
        <v>20.7274265289307</v>
      </c>
      <c r="S669" s="253">
        <v>20.953577041626001</v>
      </c>
      <c r="T669" s="253">
        <v>21.262916564941399</v>
      </c>
      <c r="U669" s="253">
        <v>21.454774856567401</v>
      </c>
      <c r="V669" s="253">
        <v>21.4308891296387</v>
      </c>
      <c r="W669" s="253">
        <v>21.3733520507813</v>
      </c>
      <c r="X669" s="253">
        <v>21.452013015747099</v>
      </c>
      <c r="Y669" s="253">
        <v>21.5757865905762</v>
      </c>
    </row>
    <row r="670" spans="1:26" x14ac:dyDescent="0.2">
      <c r="A670" s="249" t="s">
        <v>440</v>
      </c>
      <c r="B670" s="253" t="s">
        <v>440</v>
      </c>
      <c r="C670" s="253" t="s">
        <v>440</v>
      </c>
      <c r="D670" s="253" t="s">
        <v>440</v>
      </c>
      <c r="E670" s="253" t="s">
        <v>440</v>
      </c>
      <c r="F670" s="253" t="s">
        <v>440</v>
      </c>
      <c r="G670" s="253" t="s">
        <v>440</v>
      </c>
      <c r="H670" s="253" t="s">
        <v>440</v>
      </c>
      <c r="I670" s="253" t="s">
        <v>440</v>
      </c>
      <c r="J670" s="253" t="s">
        <v>440</v>
      </c>
      <c r="K670" s="253" t="s">
        <v>440</v>
      </c>
      <c r="L670" s="253" t="s">
        <v>440</v>
      </c>
      <c r="M670" s="253" t="s">
        <v>440</v>
      </c>
      <c r="N670" s="253" t="s">
        <v>440</v>
      </c>
      <c r="O670" s="253" t="s">
        <v>440</v>
      </c>
      <c r="P670" s="253" t="s">
        <v>440</v>
      </c>
      <c r="Q670" s="253" t="s">
        <v>440</v>
      </c>
      <c r="R670" s="253" t="s">
        <v>440</v>
      </c>
      <c r="S670" s="253" t="s">
        <v>440</v>
      </c>
      <c r="T670" s="253" t="s">
        <v>440</v>
      </c>
      <c r="U670" s="253" t="s">
        <v>440</v>
      </c>
      <c r="V670" s="253" t="s">
        <v>440</v>
      </c>
      <c r="W670" s="253" t="s">
        <v>440</v>
      </c>
      <c r="X670" s="253" t="s">
        <v>440</v>
      </c>
      <c r="Y670" s="253" t="s">
        <v>440</v>
      </c>
    </row>
    <row r="671" spans="1:26" x14ac:dyDescent="0.2">
      <c r="A671" s="249" t="s">
        <v>499</v>
      </c>
      <c r="B671" s="253" t="s">
        <v>440</v>
      </c>
      <c r="C671" s="253" t="s">
        <v>440</v>
      </c>
      <c r="D671" s="253" t="s">
        <v>440</v>
      </c>
      <c r="E671" s="253" t="s">
        <v>440</v>
      </c>
      <c r="F671" s="253" t="s">
        <v>440</v>
      </c>
      <c r="G671" s="253" t="s">
        <v>440</v>
      </c>
      <c r="H671" s="253" t="s">
        <v>440</v>
      </c>
      <c r="I671" s="253" t="s">
        <v>440</v>
      </c>
      <c r="J671" s="253" t="s">
        <v>440</v>
      </c>
      <c r="K671" s="253" t="s">
        <v>440</v>
      </c>
      <c r="L671" s="253" t="s">
        <v>440</v>
      </c>
      <c r="M671" s="253" t="s">
        <v>440</v>
      </c>
      <c r="N671" s="253" t="s">
        <v>440</v>
      </c>
      <c r="O671" s="253" t="s">
        <v>440</v>
      </c>
      <c r="P671" s="253" t="s">
        <v>440</v>
      </c>
      <c r="Q671" s="253" t="s">
        <v>440</v>
      </c>
      <c r="R671" s="253" t="s">
        <v>440</v>
      </c>
      <c r="S671" s="253" t="s">
        <v>440</v>
      </c>
      <c r="T671" s="253" t="s">
        <v>440</v>
      </c>
      <c r="U671" s="253" t="s">
        <v>440</v>
      </c>
      <c r="V671" s="253" t="s">
        <v>440</v>
      </c>
      <c r="W671" s="253" t="s">
        <v>440</v>
      </c>
      <c r="X671" s="253" t="s">
        <v>440</v>
      </c>
      <c r="Y671" s="253" t="s">
        <v>440</v>
      </c>
    </row>
    <row r="672" spans="1:26" x14ac:dyDescent="0.2">
      <c r="A672" s="249" t="s">
        <v>500</v>
      </c>
      <c r="B672" s="253">
        <v>1.8996955156326301</v>
      </c>
      <c r="C672" s="253">
        <v>2.2409727573394802</v>
      </c>
      <c r="D672" s="253">
        <v>2.4239859580993701</v>
      </c>
      <c r="E672" s="253">
        <v>2.3793189525604199</v>
      </c>
      <c r="F672" s="253">
        <v>2.2557969093322798</v>
      </c>
      <c r="G672" s="253">
        <v>2.16659760475159</v>
      </c>
      <c r="H672" s="253">
        <v>2.1260316371917698</v>
      </c>
      <c r="I672" s="253">
        <v>2.1242508888244598</v>
      </c>
      <c r="J672" s="253">
        <v>2.1216156482696502</v>
      </c>
      <c r="K672" s="253">
        <v>2.1531240940093999</v>
      </c>
      <c r="L672" s="253">
        <v>2.1922359466552699</v>
      </c>
      <c r="M672" s="253">
        <v>2.2451419830322301</v>
      </c>
      <c r="N672" s="253">
        <v>2.2968165874481201</v>
      </c>
      <c r="O672" s="253">
        <v>2.3293662071228001</v>
      </c>
      <c r="P672" s="253">
        <v>2.3501963615417498</v>
      </c>
      <c r="Q672" s="253">
        <v>2.3520054817199698</v>
      </c>
      <c r="R672" s="253">
        <v>2.3871843814849898</v>
      </c>
      <c r="S672" s="253">
        <v>2.4302341938018799</v>
      </c>
      <c r="T672" s="253">
        <v>2.5017471313476598</v>
      </c>
      <c r="U672" s="253">
        <v>2.5190291404724099</v>
      </c>
      <c r="V672" s="253">
        <v>2.50686860084534</v>
      </c>
      <c r="W672" s="253">
        <v>2.48747658729553</v>
      </c>
      <c r="X672" s="253">
        <v>2.5030989646911599</v>
      </c>
      <c r="Y672" s="253">
        <v>2.5170097351074201</v>
      </c>
    </row>
    <row r="673" spans="1:26" x14ac:dyDescent="0.2">
      <c r="A673" s="249" t="s">
        <v>502</v>
      </c>
      <c r="B673" s="253">
        <v>4.3748912811279297</v>
      </c>
      <c r="C673" s="253">
        <v>5.2786889076232901</v>
      </c>
      <c r="D673" s="253">
        <v>5.9517350196838397</v>
      </c>
      <c r="E673" s="253">
        <v>5.8146204948425302</v>
      </c>
      <c r="F673" s="253">
        <v>6.06520652770996</v>
      </c>
      <c r="G673" s="253">
        <v>6.0658583641052202</v>
      </c>
      <c r="H673" s="253">
        <v>6.0610094070434597</v>
      </c>
      <c r="I673" s="253">
        <v>6.0499844551086399</v>
      </c>
      <c r="J673" s="253">
        <v>6.0430412292480504</v>
      </c>
      <c r="K673" s="253">
        <v>6.00789546966553</v>
      </c>
      <c r="L673" s="253">
        <v>5.9784431457519496</v>
      </c>
      <c r="M673" s="253">
        <v>5.9840416908264196</v>
      </c>
      <c r="N673" s="253">
        <v>6.0042037963867196</v>
      </c>
      <c r="O673" s="253">
        <v>6.0128812789917001</v>
      </c>
      <c r="P673" s="253">
        <v>6.0971722602844203</v>
      </c>
      <c r="Q673" s="253">
        <v>6.1627969741821298</v>
      </c>
      <c r="R673" s="253">
        <v>6.2556800842285201</v>
      </c>
      <c r="S673" s="253">
        <v>6.3419466018676802</v>
      </c>
      <c r="T673" s="253">
        <v>6.4189195632934597</v>
      </c>
      <c r="U673" s="253">
        <v>6.5561437606811497</v>
      </c>
      <c r="V673" s="253">
        <v>6.6497230529785201</v>
      </c>
      <c r="W673" s="253">
        <v>6.7551417350768999</v>
      </c>
      <c r="X673" s="253">
        <v>6.8526744842529297</v>
      </c>
      <c r="Y673" s="253">
        <v>6.9808459281921396</v>
      </c>
    </row>
    <row r="674" spans="1:26" x14ac:dyDescent="0.2">
      <c r="A674" s="249" t="s">
        <v>476</v>
      </c>
      <c r="B674" s="253">
        <v>5.6938004493713397</v>
      </c>
      <c r="C674" s="253">
        <v>6.4773354530334499</v>
      </c>
      <c r="D674" s="253">
        <v>7.1750593185424796</v>
      </c>
      <c r="E674" s="253">
        <v>6.8899416923522896</v>
      </c>
      <c r="F674" s="253">
        <v>7.0708780288696298</v>
      </c>
      <c r="G674" s="253">
        <v>7.0249619483947798</v>
      </c>
      <c r="H674" s="253">
        <v>6.9838500022888201</v>
      </c>
      <c r="I674" s="253">
        <v>6.9665460586547896</v>
      </c>
      <c r="J674" s="253">
        <v>6.9450497627258301</v>
      </c>
      <c r="K674" s="253">
        <v>6.8211231231689498</v>
      </c>
      <c r="L674" s="253">
        <v>6.8083920478820801</v>
      </c>
      <c r="M674" s="253">
        <v>6.7952175140380904</v>
      </c>
      <c r="N674" s="253">
        <v>6.8354115486145002</v>
      </c>
      <c r="O674" s="253">
        <v>6.8402228355407697</v>
      </c>
      <c r="P674" s="253">
        <v>6.9283905029296902</v>
      </c>
      <c r="Q674" s="253">
        <v>6.9566001892089799</v>
      </c>
      <c r="R674" s="253">
        <v>7.0452814102172896</v>
      </c>
      <c r="S674" s="253">
        <v>7.1418867111206099</v>
      </c>
      <c r="T674" s="253">
        <v>7.2127375602722203</v>
      </c>
      <c r="U674" s="253">
        <v>7.4472899436950701</v>
      </c>
      <c r="V674" s="253">
        <v>7.5714774131774902</v>
      </c>
      <c r="W674" s="253">
        <v>7.7267389297485396</v>
      </c>
      <c r="X674" s="253">
        <v>7.8528199195861799</v>
      </c>
      <c r="Y674" s="253">
        <v>8.0614786148071307</v>
      </c>
    </row>
    <row r="675" spans="1:26" x14ac:dyDescent="0.2">
      <c r="A675" s="249" t="s">
        <v>481</v>
      </c>
      <c r="B675" s="253">
        <v>3.9850425720214799</v>
      </c>
      <c r="C675" s="253">
        <v>4.7911210060119602</v>
      </c>
      <c r="D675" s="253">
        <v>5.5054440498352104</v>
      </c>
      <c r="E675" s="253">
        <v>5.3836627006530797</v>
      </c>
      <c r="F675" s="253">
        <v>5.6116971969604501</v>
      </c>
      <c r="G675" s="253">
        <v>5.6101722717285201</v>
      </c>
      <c r="H675" s="253">
        <v>5.61515140533447</v>
      </c>
      <c r="I675" s="253">
        <v>5.6134881973266602</v>
      </c>
      <c r="J675" s="253">
        <v>5.6123900413513201</v>
      </c>
      <c r="K675" s="253">
        <v>5.6186213493347203</v>
      </c>
      <c r="L675" s="253">
        <v>5.6204733848571804</v>
      </c>
      <c r="M675" s="253">
        <v>5.6265015602111799</v>
      </c>
      <c r="N675" s="253">
        <v>5.6295571327209499</v>
      </c>
      <c r="O675" s="253">
        <v>5.6379580497741699</v>
      </c>
      <c r="P675" s="253">
        <v>5.71999168395996</v>
      </c>
      <c r="Q675" s="253">
        <v>5.7965455055236799</v>
      </c>
      <c r="R675" s="253">
        <v>5.8776378631591797</v>
      </c>
      <c r="S675" s="253">
        <v>5.9570369720459002</v>
      </c>
      <c r="T675" s="253">
        <v>6.0351238250732404</v>
      </c>
      <c r="U675" s="253">
        <v>6.1149992942810103</v>
      </c>
      <c r="V675" s="253">
        <v>6.1950988769531303</v>
      </c>
      <c r="W675" s="253">
        <v>6.27585792541504</v>
      </c>
      <c r="X675" s="253">
        <v>6.3545475006103498</v>
      </c>
      <c r="Y675" s="253">
        <v>6.4353322982788104</v>
      </c>
    </row>
    <row r="676" spans="1:26" x14ac:dyDescent="0.2">
      <c r="A676" s="274" t="s">
        <v>478</v>
      </c>
      <c r="B676" s="253">
        <v>3.6857740879058798</v>
      </c>
      <c r="C676" s="253">
        <v>5.4593739509582502</v>
      </c>
      <c r="D676" s="253">
        <v>5.9836130142211896</v>
      </c>
      <c r="E676" s="253">
        <v>5.9218006134033203</v>
      </c>
      <c r="F676" s="253">
        <v>5.2758417129516602</v>
      </c>
      <c r="G676" s="253">
        <v>4.86041164398193</v>
      </c>
      <c r="H676" s="253">
        <v>4.5085921287536603</v>
      </c>
      <c r="I676" s="253">
        <v>4.4009499549865696</v>
      </c>
      <c r="J676" s="253">
        <v>4.3143215179443404</v>
      </c>
      <c r="K676" s="253">
        <v>4.3619651794433603</v>
      </c>
      <c r="L676" s="253">
        <v>4.4577717781066903</v>
      </c>
      <c r="M676" s="253">
        <v>4.5935211181640598</v>
      </c>
      <c r="N676" s="253">
        <v>4.72908592224121</v>
      </c>
      <c r="O676" s="253">
        <v>4.8101162910461399</v>
      </c>
      <c r="P676" s="253">
        <v>4.8377823829650897</v>
      </c>
      <c r="Q676" s="253">
        <v>4.7923994064331099</v>
      </c>
      <c r="R676" s="253">
        <v>4.8652648925781303</v>
      </c>
      <c r="S676" s="253">
        <v>5.0083761215209996</v>
      </c>
      <c r="T676" s="253">
        <v>5.2321648597717303</v>
      </c>
      <c r="U676" s="253">
        <v>5.32541704177856</v>
      </c>
      <c r="V676" s="253">
        <v>5.3230118751525897</v>
      </c>
      <c r="W676" s="253">
        <v>5.3357062339782697</v>
      </c>
      <c r="X676" s="253">
        <v>5.3972234725952104</v>
      </c>
      <c r="Y676" s="253">
        <v>5.4970946311950701</v>
      </c>
      <c r="Z676" s="283">
        <f>Y676+($AI$506-$Y$676)/10</f>
        <v>5.5250455710201605</v>
      </c>
    </row>
    <row r="677" spans="1:26" x14ac:dyDescent="0.2">
      <c r="A677" s="278" t="s">
        <v>486</v>
      </c>
      <c r="B677" s="253">
        <v>1.2699717283248899</v>
      </c>
      <c r="C677" s="253">
        <v>1.27919089794159</v>
      </c>
      <c r="D677" s="253">
        <v>1.2835900783538801</v>
      </c>
      <c r="E677" s="253">
        <v>1.28959560394287</v>
      </c>
      <c r="F677" s="253">
        <v>1.29778397083282</v>
      </c>
      <c r="G677" s="253">
        <v>1.28695380687714</v>
      </c>
      <c r="H677" s="253">
        <v>1.28577756881714</v>
      </c>
      <c r="I677" s="253">
        <v>1.27679371833801</v>
      </c>
      <c r="J677" s="253">
        <v>1.26281106472015</v>
      </c>
      <c r="K677" s="253">
        <v>1.25397908687592</v>
      </c>
      <c r="L677" s="253">
        <v>1.2489364147186299</v>
      </c>
      <c r="M677" s="253">
        <v>1.2449804544448899</v>
      </c>
      <c r="N677" s="253">
        <v>1.2430621385574301</v>
      </c>
      <c r="O677" s="253">
        <v>1.24259686470032</v>
      </c>
      <c r="P677" s="253">
        <v>1.24424111843109</v>
      </c>
      <c r="Q677" s="253">
        <v>1.2428184747695901</v>
      </c>
      <c r="R677" s="253">
        <v>1.24728739261627</v>
      </c>
      <c r="S677" s="253">
        <v>1.2513284683227499</v>
      </c>
      <c r="T677" s="253">
        <v>1.2762980461120601</v>
      </c>
      <c r="U677" s="253">
        <v>1.2851967811584499</v>
      </c>
      <c r="V677" s="253">
        <v>1.2969329357147199</v>
      </c>
      <c r="W677" s="253">
        <v>1.3016670942306501</v>
      </c>
      <c r="X677" s="253">
        <v>1.31676089763641</v>
      </c>
      <c r="Y677" s="253">
        <v>1.3290703296661399</v>
      </c>
      <c r="Z677" s="291">
        <f>Y677+($AI$507-$Y$677)/10</f>
        <v>1.3327822261431892</v>
      </c>
    </row>
    <row r="678" spans="1:26" x14ac:dyDescent="0.2">
      <c r="A678" s="249" t="s">
        <v>440</v>
      </c>
      <c r="B678" s="253" t="s">
        <v>440</v>
      </c>
      <c r="C678" s="253" t="s">
        <v>440</v>
      </c>
      <c r="D678" s="253" t="s">
        <v>440</v>
      </c>
      <c r="E678" s="253" t="s">
        <v>440</v>
      </c>
      <c r="F678" s="253" t="s">
        <v>440</v>
      </c>
      <c r="G678" s="253" t="s">
        <v>440</v>
      </c>
      <c r="H678" s="253" t="s">
        <v>440</v>
      </c>
      <c r="I678" s="253" t="s">
        <v>440</v>
      </c>
      <c r="J678" s="253" t="s">
        <v>440</v>
      </c>
      <c r="K678" s="253" t="s">
        <v>440</v>
      </c>
      <c r="L678" s="253" t="s">
        <v>440</v>
      </c>
      <c r="M678" s="253" t="s">
        <v>440</v>
      </c>
      <c r="N678" s="253" t="s">
        <v>440</v>
      </c>
      <c r="O678" s="253" t="s">
        <v>440</v>
      </c>
      <c r="P678" s="253" t="s">
        <v>440</v>
      </c>
      <c r="Q678" s="253" t="s">
        <v>440</v>
      </c>
      <c r="R678" s="253" t="s">
        <v>440</v>
      </c>
      <c r="S678" s="253" t="s">
        <v>440</v>
      </c>
      <c r="T678" s="253" t="s">
        <v>440</v>
      </c>
      <c r="U678" s="253" t="s">
        <v>440</v>
      </c>
      <c r="V678" s="253" t="s">
        <v>440</v>
      </c>
      <c r="W678" s="253" t="s">
        <v>440</v>
      </c>
      <c r="X678" s="253" t="s">
        <v>440</v>
      </c>
      <c r="Y678" s="253" t="s">
        <v>440</v>
      </c>
    </row>
    <row r="679" spans="1:26" x14ac:dyDescent="0.2">
      <c r="A679" s="249" t="s">
        <v>503</v>
      </c>
      <c r="B679" s="253" t="s">
        <v>440</v>
      </c>
      <c r="C679" s="253" t="s">
        <v>440</v>
      </c>
      <c r="D679" s="253" t="s">
        <v>440</v>
      </c>
      <c r="E679" s="253" t="s">
        <v>440</v>
      </c>
      <c r="F679" s="253" t="s">
        <v>440</v>
      </c>
      <c r="G679" s="253" t="s">
        <v>440</v>
      </c>
      <c r="H679" s="253" t="s">
        <v>440</v>
      </c>
      <c r="I679" s="253" t="s">
        <v>440</v>
      </c>
      <c r="J679" s="253" t="s">
        <v>440</v>
      </c>
      <c r="K679" s="253" t="s">
        <v>440</v>
      </c>
      <c r="L679" s="253" t="s">
        <v>440</v>
      </c>
      <c r="M679" s="253" t="s">
        <v>440</v>
      </c>
      <c r="N679" s="253" t="s">
        <v>440</v>
      </c>
      <c r="O679" s="253" t="s">
        <v>440</v>
      </c>
      <c r="P679" s="253" t="s">
        <v>440</v>
      </c>
      <c r="Q679" s="253" t="s">
        <v>440</v>
      </c>
      <c r="R679" s="253" t="s">
        <v>440</v>
      </c>
      <c r="S679" s="253" t="s">
        <v>440</v>
      </c>
      <c r="T679" s="253" t="s">
        <v>440</v>
      </c>
      <c r="U679" s="253" t="s">
        <v>440</v>
      </c>
      <c r="V679" s="253" t="s">
        <v>440</v>
      </c>
      <c r="W679" s="253" t="s">
        <v>440</v>
      </c>
      <c r="X679" s="253" t="s">
        <v>440</v>
      </c>
      <c r="Y679" s="253" t="s">
        <v>440</v>
      </c>
    </row>
    <row r="680" spans="1:26" x14ac:dyDescent="0.2">
      <c r="A680" s="249" t="s">
        <v>504</v>
      </c>
      <c r="B680" s="253">
        <v>9.0916013717651403</v>
      </c>
      <c r="C680" s="253">
        <v>10.5092258453369</v>
      </c>
      <c r="D680" s="253">
        <v>12.005053520202599</v>
      </c>
      <c r="E680" s="253">
        <v>11.6376342773438</v>
      </c>
      <c r="F680" s="253">
        <v>11.8251142501831</v>
      </c>
      <c r="G680" s="253">
        <v>11.7351989746094</v>
      </c>
      <c r="H680" s="253">
        <v>11.6926622390747</v>
      </c>
      <c r="I680" s="253">
        <v>11.6848964691162</v>
      </c>
      <c r="J680" s="253">
        <v>11.6311902999878</v>
      </c>
      <c r="K680" s="253">
        <v>11.6124935150146</v>
      </c>
      <c r="L680" s="253">
        <v>11.616386413574199</v>
      </c>
      <c r="M680" s="253">
        <v>11.566198348999</v>
      </c>
      <c r="N680" s="253">
        <v>11.5507049560547</v>
      </c>
      <c r="O680" s="253">
        <v>11.475526809692401</v>
      </c>
      <c r="P680" s="253">
        <v>11.520403861999499</v>
      </c>
      <c r="Q680" s="253">
        <v>11.477831840515099</v>
      </c>
      <c r="R680" s="253">
        <v>11.5152139663696</v>
      </c>
      <c r="S680" s="253">
        <v>11.577165603637701</v>
      </c>
      <c r="T680" s="253">
        <v>11.5678558349609</v>
      </c>
      <c r="U680" s="253">
        <v>11.7752237319946</v>
      </c>
      <c r="V680" s="253">
        <v>11.90793800354</v>
      </c>
      <c r="W680" s="253">
        <v>12.0465354919434</v>
      </c>
      <c r="X680" s="253">
        <v>12.1843271255493</v>
      </c>
      <c r="Y680" s="253">
        <v>12.407506942749</v>
      </c>
    </row>
    <row r="681" spans="1:26" x14ac:dyDescent="0.2">
      <c r="A681" s="249" t="s">
        <v>505</v>
      </c>
      <c r="B681" s="253">
        <v>8.7129955291747994</v>
      </c>
      <c r="C681" s="253">
        <v>9.89868068695068</v>
      </c>
      <c r="D681" s="253">
        <v>10.9323635101318</v>
      </c>
      <c r="E681" s="253">
        <v>10.516573905944799</v>
      </c>
      <c r="F681" s="253">
        <v>10.8896884918213</v>
      </c>
      <c r="G681" s="253">
        <v>11.1545400619507</v>
      </c>
      <c r="H681" s="253">
        <v>11.1602163314819</v>
      </c>
      <c r="I681" s="253">
        <v>11.210696220397899</v>
      </c>
      <c r="J681" s="253">
        <v>11.2655477523804</v>
      </c>
      <c r="K681" s="253">
        <v>11.312797546386699</v>
      </c>
      <c r="L681" s="253">
        <v>11.4240579605103</v>
      </c>
      <c r="M681" s="253">
        <v>11.453408241271999</v>
      </c>
      <c r="N681" s="253">
        <v>11.43030834198</v>
      </c>
      <c r="O681" s="253">
        <v>11.241268157959</v>
      </c>
      <c r="P681" s="253">
        <v>11.0996809005737</v>
      </c>
      <c r="Q681" s="253">
        <v>10.9476537704468</v>
      </c>
      <c r="R681" s="253">
        <v>10.947796821594199</v>
      </c>
      <c r="S681" s="253">
        <v>10.974308013916</v>
      </c>
      <c r="T681" s="253">
        <v>11.019621849060099</v>
      </c>
      <c r="U681" s="253">
        <v>11.1190385818481</v>
      </c>
      <c r="V681" s="253">
        <v>11.172901153564499</v>
      </c>
      <c r="W681" s="253">
        <v>11.2430562973022</v>
      </c>
      <c r="X681" s="253">
        <v>11.376879692077599</v>
      </c>
      <c r="Y681" s="253">
        <v>11.7449541091919</v>
      </c>
    </row>
    <row r="682" spans="1:26" x14ac:dyDescent="0.2">
      <c r="A682" s="249" t="s">
        <v>506</v>
      </c>
      <c r="B682" s="253">
        <v>6.0538434982299796</v>
      </c>
      <c r="C682" s="253">
        <v>6.4578518867492702</v>
      </c>
      <c r="D682" s="253">
        <v>8.1168746948242205</v>
      </c>
      <c r="E682" s="253">
        <v>7.6875567436218297</v>
      </c>
      <c r="F682" s="253">
        <v>7.8739576339721697</v>
      </c>
      <c r="G682" s="253">
        <v>7.8265089988708496</v>
      </c>
      <c r="H682" s="253">
        <v>7.9840884208679199</v>
      </c>
      <c r="I682" s="253">
        <v>8.0166091918945295</v>
      </c>
      <c r="J682" s="253">
        <v>7.8608303070068404</v>
      </c>
      <c r="K682" s="253">
        <v>7.81276655197144</v>
      </c>
      <c r="L682" s="253">
        <v>7.8045797348022496</v>
      </c>
      <c r="M682" s="253">
        <v>7.7928524017334002</v>
      </c>
      <c r="N682" s="253">
        <v>7.7725591659545898</v>
      </c>
      <c r="O682" s="253">
        <v>7.7157216072082502</v>
      </c>
      <c r="P682" s="253">
        <v>7.7164225578308097</v>
      </c>
      <c r="Q682" s="253">
        <v>7.6991229057312003</v>
      </c>
      <c r="R682" s="253">
        <v>7.7546834945678702</v>
      </c>
      <c r="S682" s="253">
        <v>7.8412432670593297</v>
      </c>
      <c r="T682" s="253">
        <v>7.8916783332824698</v>
      </c>
      <c r="U682" s="253">
        <v>8.0530261993408203</v>
      </c>
      <c r="V682" s="253">
        <v>8.1459932327270508</v>
      </c>
      <c r="W682" s="253">
        <v>8.2922735214233398</v>
      </c>
      <c r="X682" s="253">
        <v>8.4199304580688494</v>
      </c>
      <c r="Y682" s="253">
        <v>8.7479171752929705</v>
      </c>
    </row>
    <row r="683" spans="1:26" x14ac:dyDescent="0.2">
      <c r="A683" s="249" t="s">
        <v>507</v>
      </c>
      <c r="B683" s="253">
        <v>9.5166797637939506</v>
      </c>
      <c r="C683" s="253">
        <v>13.0396432876587</v>
      </c>
      <c r="D683" s="253">
        <v>15.6858806610107</v>
      </c>
      <c r="E683" s="253">
        <v>14.0740518569946</v>
      </c>
      <c r="F683" s="253">
        <v>13.2904262542725</v>
      </c>
      <c r="G683" s="253">
        <v>13.309534072876</v>
      </c>
      <c r="H683" s="253">
        <v>13.149743080139199</v>
      </c>
      <c r="I683" s="253">
        <v>13.0244760513306</v>
      </c>
      <c r="J683" s="253">
        <v>13.1580867767334</v>
      </c>
      <c r="K683" s="253">
        <v>12.982262611389199</v>
      </c>
      <c r="L683" s="253">
        <v>12.9337568283081</v>
      </c>
      <c r="M683" s="253">
        <v>12.8646802902222</v>
      </c>
      <c r="N683" s="253">
        <v>12.621651649475099</v>
      </c>
      <c r="O683" s="253">
        <v>12.775475502014199</v>
      </c>
      <c r="P683" s="253">
        <v>12.937217712402299</v>
      </c>
      <c r="Q683" s="253">
        <v>13.1492967605591</v>
      </c>
      <c r="R683" s="253">
        <v>13.286898612976101</v>
      </c>
      <c r="S683" s="253">
        <v>13.3753395080566</v>
      </c>
      <c r="T683" s="253">
        <v>13.277045249939</v>
      </c>
      <c r="U683" s="253">
        <v>13.584378242492701</v>
      </c>
      <c r="V683" s="253">
        <v>13.775920867919901</v>
      </c>
      <c r="W683" s="253">
        <v>13.987989425659199</v>
      </c>
      <c r="X683" s="253">
        <v>14.116153717041</v>
      </c>
      <c r="Y683" s="253">
        <v>14.3756980895996</v>
      </c>
    </row>
    <row r="684" spans="1:26" x14ac:dyDescent="0.2">
      <c r="A684" s="249" t="s">
        <v>508</v>
      </c>
      <c r="B684" s="253">
        <v>11.3185987472534</v>
      </c>
      <c r="C684" s="253">
        <v>12.9258327484131</v>
      </c>
      <c r="D684" s="253">
        <v>14.650143623352101</v>
      </c>
      <c r="E684" s="253">
        <v>14.344244956970201</v>
      </c>
      <c r="F684" s="253">
        <v>14.6975507736206</v>
      </c>
      <c r="G684" s="253">
        <v>14.347893714904799</v>
      </c>
      <c r="H684" s="253">
        <v>14.238919258117701</v>
      </c>
      <c r="I684" s="253">
        <v>14.238542556762701</v>
      </c>
      <c r="J684" s="253">
        <v>14.0666351318359</v>
      </c>
      <c r="K684" s="253">
        <v>14.0516872406006</v>
      </c>
      <c r="L684" s="253">
        <v>14.0139780044556</v>
      </c>
      <c r="M684" s="253">
        <v>13.894681930541999</v>
      </c>
      <c r="N684" s="253">
        <v>13.9225015640259</v>
      </c>
      <c r="O684" s="253">
        <v>13.8080444335938</v>
      </c>
      <c r="P684" s="253">
        <v>13.9091501235962</v>
      </c>
      <c r="Q684" s="253">
        <v>13.810170173645</v>
      </c>
      <c r="R684" s="253">
        <v>13.822598457336399</v>
      </c>
      <c r="S684" s="253">
        <v>13.882239341735801</v>
      </c>
      <c r="T684" s="253">
        <v>13.824323654174799</v>
      </c>
      <c r="U684" s="253">
        <v>14.0693578720093</v>
      </c>
      <c r="V684" s="253">
        <v>14.2271223068237</v>
      </c>
      <c r="W684" s="253">
        <v>14.3637847900391</v>
      </c>
      <c r="X684" s="253">
        <v>14.4981489181519</v>
      </c>
      <c r="Y684" s="253">
        <v>14.5947113037109</v>
      </c>
    </row>
    <row r="685" spans="1:26" x14ac:dyDescent="0.2">
      <c r="A685" s="249" t="s">
        <v>509</v>
      </c>
      <c r="B685" s="253">
        <v>3.9308724403381299</v>
      </c>
      <c r="C685" s="253">
        <v>4.6628575325012198</v>
      </c>
      <c r="D685" s="253">
        <v>5.07232666015625</v>
      </c>
      <c r="E685" s="253">
        <v>5.1433587074279803</v>
      </c>
      <c r="F685" s="253">
        <v>5.4173622131347701</v>
      </c>
      <c r="G685" s="253">
        <v>5.4097323417663601</v>
      </c>
      <c r="H685" s="253">
        <v>5.3977632522582999</v>
      </c>
      <c r="I685" s="253">
        <v>5.3867764472961399</v>
      </c>
      <c r="J685" s="253">
        <v>5.3854241371154803</v>
      </c>
      <c r="K685" s="253">
        <v>5.3919448852539098</v>
      </c>
      <c r="L685" s="253">
        <v>5.3981180191040004</v>
      </c>
      <c r="M685" s="253">
        <v>5.4056487083435103</v>
      </c>
      <c r="N685" s="253">
        <v>5.4104261398315403</v>
      </c>
      <c r="O685" s="253">
        <v>5.4168543815612802</v>
      </c>
      <c r="P685" s="253">
        <v>5.4972262382507298</v>
      </c>
      <c r="Q685" s="253">
        <v>5.5698432922363299</v>
      </c>
      <c r="R685" s="253">
        <v>5.6456804275512704</v>
      </c>
      <c r="S685" s="253">
        <v>5.7250947952270499</v>
      </c>
      <c r="T685" s="253">
        <v>5.8020553588867196</v>
      </c>
      <c r="U685" s="253">
        <v>5.88106393814087</v>
      </c>
      <c r="V685" s="253">
        <v>5.9598326683044398</v>
      </c>
      <c r="W685" s="253">
        <v>6.0394186973571804</v>
      </c>
      <c r="X685" s="253">
        <v>6.11779880523682</v>
      </c>
      <c r="Y685" s="253">
        <v>6.2010583877563503</v>
      </c>
    </row>
    <row r="686" spans="1:26" x14ac:dyDescent="0.2">
      <c r="A686" s="249" t="s">
        <v>510</v>
      </c>
      <c r="B686" s="253">
        <v>5.1461992263793901</v>
      </c>
      <c r="C686" s="253">
        <v>6.8558807373046902</v>
      </c>
      <c r="D686" s="253">
        <v>7.3508062362670898</v>
      </c>
      <c r="E686" s="253">
        <v>7.3840570449829102</v>
      </c>
      <c r="F686" s="253">
        <v>6.7167382240295401</v>
      </c>
      <c r="G686" s="253">
        <v>6.27575588226318</v>
      </c>
      <c r="H686" s="253">
        <v>5.86295366287231</v>
      </c>
      <c r="I686" s="253">
        <v>5.7038016319274902</v>
      </c>
      <c r="J686" s="253">
        <v>5.5520119667053196</v>
      </c>
      <c r="K686" s="253">
        <v>5.5432248115539604</v>
      </c>
      <c r="L686" s="253">
        <v>5.5985813140869096</v>
      </c>
      <c r="M686" s="253">
        <v>5.70459079742432</v>
      </c>
      <c r="N686" s="253">
        <v>5.8318381309509304</v>
      </c>
      <c r="O686" s="253">
        <v>5.9191007614135698</v>
      </c>
      <c r="P686" s="253">
        <v>5.9519534111022896</v>
      </c>
      <c r="Q686" s="253">
        <v>5.8878293037414604</v>
      </c>
      <c r="R686" s="253">
        <v>5.94315385818481</v>
      </c>
      <c r="S686" s="253">
        <v>6.08443307876587</v>
      </c>
      <c r="T686" s="253">
        <v>6.3156557083129901</v>
      </c>
      <c r="U686" s="253">
        <v>6.4281539916992196</v>
      </c>
      <c r="V686" s="253">
        <v>6.4433326721191397</v>
      </c>
      <c r="W686" s="253">
        <v>6.4763746261596697</v>
      </c>
      <c r="X686" s="253">
        <v>6.5396862030029297</v>
      </c>
      <c r="Y686" s="253">
        <v>6.6462817192077601</v>
      </c>
    </row>
    <row r="687" spans="1:26" x14ac:dyDescent="0.2">
      <c r="A687" s="249" t="s">
        <v>511</v>
      </c>
      <c r="B687" s="253">
        <v>1.2938040494918801</v>
      </c>
      <c r="C687" s="253">
        <v>1.29924309253693</v>
      </c>
      <c r="D687" s="253">
        <v>1.3041912317276001</v>
      </c>
      <c r="E687" s="253">
        <v>1.3119194507598899</v>
      </c>
      <c r="F687" s="253">
        <v>1.3187216520309399</v>
      </c>
      <c r="G687" s="253">
        <v>1.3072546720504801</v>
      </c>
      <c r="H687" s="253">
        <v>1.3059933185577399</v>
      </c>
      <c r="I687" s="253">
        <v>1.2971544265747099</v>
      </c>
      <c r="J687" s="253">
        <v>1.2836289405822801</v>
      </c>
      <c r="K687" s="253">
        <v>1.2749706506729099</v>
      </c>
      <c r="L687" s="253">
        <v>1.26953566074371</v>
      </c>
      <c r="M687" s="253">
        <v>1.2652333974838299</v>
      </c>
      <c r="N687" s="253">
        <v>1.2631930112838701</v>
      </c>
      <c r="O687" s="253">
        <v>1.2626041173934901</v>
      </c>
      <c r="P687" s="253">
        <v>1.26433837413788</v>
      </c>
      <c r="Q687" s="253">
        <v>1.26277422904968</v>
      </c>
      <c r="R687" s="253">
        <v>1.2691743373870801</v>
      </c>
      <c r="S687" s="253">
        <v>1.27585673332214</v>
      </c>
      <c r="T687" s="253">
        <v>1.3034254312515301</v>
      </c>
      <c r="U687" s="253">
        <v>1.3139834403991699</v>
      </c>
      <c r="V687" s="253">
        <v>1.32844221591949</v>
      </c>
      <c r="W687" s="253">
        <v>1.3343856334686299</v>
      </c>
      <c r="X687" s="253">
        <v>1.3519768714904801</v>
      </c>
      <c r="Y687" s="253">
        <v>1.3668735027313199</v>
      </c>
    </row>
    <row r="688" spans="1:26" x14ac:dyDescent="0.2">
      <c r="A688" s="249" t="s">
        <v>512</v>
      </c>
      <c r="B688" s="253">
        <v>14.6543264389038</v>
      </c>
      <c r="C688" s="253">
        <v>16.232709884643601</v>
      </c>
      <c r="D688" s="253">
        <v>19.6646022796631</v>
      </c>
      <c r="E688" s="253">
        <v>19.716905593872099</v>
      </c>
      <c r="F688" s="253">
        <v>20.910398483276399</v>
      </c>
      <c r="G688" s="253">
        <v>20.088336944580099</v>
      </c>
      <c r="H688" s="253">
        <v>20.034643173217798</v>
      </c>
      <c r="I688" s="253">
        <v>19.876234054565401</v>
      </c>
      <c r="J688" s="253">
        <v>19.0899848937988</v>
      </c>
      <c r="K688" s="253">
        <v>19.0770473480225</v>
      </c>
      <c r="L688" s="253">
        <v>18.9334907531738</v>
      </c>
      <c r="M688" s="253">
        <v>18.8203315734863</v>
      </c>
      <c r="N688" s="253">
        <v>18.8769016265869</v>
      </c>
      <c r="O688" s="253">
        <v>18.733657836914102</v>
      </c>
      <c r="P688" s="253">
        <v>18.836368560791001</v>
      </c>
      <c r="Q688" s="253">
        <v>18.717578887939499</v>
      </c>
      <c r="R688" s="253">
        <v>18.677961349487301</v>
      </c>
      <c r="S688" s="253">
        <v>18.768825531005898</v>
      </c>
      <c r="T688" s="253">
        <v>18.702945709228501</v>
      </c>
      <c r="U688" s="253">
        <v>19.039726257324201</v>
      </c>
      <c r="V688" s="253">
        <v>19.213029861450199</v>
      </c>
      <c r="W688" s="253">
        <v>19.429216384887699</v>
      </c>
      <c r="X688" s="253">
        <v>19.537574768066399</v>
      </c>
      <c r="Y688" s="253">
        <v>19.6945476531982</v>
      </c>
    </row>
    <row r="689" spans="1:28" x14ac:dyDescent="0.2">
      <c r="A689" s="249" t="s">
        <v>479</v>
      </c>
      <c r="B689" s="253">
        <v>21.599882125854499</v>
      </c>
      <c r="C689" s="253">
        <v>21.735733032226602</v>
      </c>
      <c r="D689" s="253">
        <v>21.731866836547901</v>
      </c>
      <c r="E689" s="253">
        <v>21.659553527831999</v>
      </c>
      <c r="F689" s="253">
        <v>20.918876647949201</v>
      </c>
      <c r="G689" s="253">
        <v>20.055833816528299</v>
      </c>
      <c r="H689" s="253">
        <v>19.596654891967798</v>
      </c>
      <c r="I689" s="253">
        <v>19.579929351806602</v>
      </c>
      <c r="J689" s="253">
        <v>19.517631530761701</v>
      </c>
      <c r="K689" s="253">
        <v>19.486770629882798</v>
      </c>
      <c r="L689" s="253">
        <v>19.702039718627901</v>
      </c>
      <c r="M689" s="253">
        <v>19.955158233642599</v>
      </c>
      <c r="N689" s="253">
        <v>20.317079544067401</v>
      </c>
      <c r="O689" s="253">
        <v>20.442613601684599</v>
      </c>
      <c r="P689" s="253">
        <v>20.578334808349599</v>
      </c>
      <c r="Q689" s="253">
        <v>20.580734252929702</v>
      </c>
      <c r="R689" s="253">
        <v>20.7274265289307</v>
      </c>
      <c r="S689" s="253">
        <v>20.953577041626001</v>
      </c>
      <c r="T689" s="253">
        <v>21.262916564941399</v>
      </c>
      <c r="U689" s="253">
        <v>21.454774856567401</v>
      </c>
      <c r="V689" s="253">
        <v>21.4308891296387</v>
      </c>
      <c r="W689" s="253">
        <v>21.3733520507813</v>
      </c>
      <c r="X689" s="253">
        <v>21.452013015747099</v>
      </c>
      <c r="Y689" s="253">
        <v>21.5757865905762</v>
      </c>
    </row>
    <row r="690" spans="1:28" x14ac:dyDescent="0.2">
      <c r="A690" s="249" t="s">
        <v>440</v>
      </c>
      <c r="B690" s="253" t="s">
        <v>440</v>
      </c>
      <c r="C690" s="253" t="s">
        <v>440</v>
      </c>
      <c r="D690" s="253" t="s">
        <v>440</v>
      </c>
      <c r="E690" s="253" t="s">
        <v>440</v>
      </c>
      <c r="F690" s="253" t="s">
        <v>440</v>
      </c>
      <c r="G690" s="253" t="s">
        <v>440</v>
      </c>
      <c r="H690" s="253" t="s">
        <v>440</v>
      </c>
      <c r="I690" s="253" t="s">
        <v>440</v>
      </c>
      <c r="J690" s="253" t="s">
        <v>440</v>
      </c>
      <c r="K690" s="253" t="s">
        <v>440</v>
      </c>
      <c r="L690" s="253" t="s">
        <v>440</v>
      </c>
      <c r="M690" s="253" t="s">
        <v>440</v>
      </c>
      <c r="N690" s="253" t="s">
        <v>440</v>
      </c>
      <c r="O690" s="253" t="s">
        <v>440</v>
      </c>
      <c r="P690" s="253" t="s">
        <v>440</v>
      </c>
      <c r="Q690" s="253" t="s">
        <v>440</v>
      </c>
      <c r="R690" s="253" t="s">
        <v>440</v>
      </c>
      <c r="S690" s="253" t="s">
        <v>440</v>
      </c>
      <c r="T690" s="253" t="s">
        <v>440</v>
      </c>
      <c r="U690" s="253" t="s">
        <v>440</v>
      </c>
      <c r="V690" s="253" t="s">
        <v>440</v>
      </c>
      <c r="W690" s="253" t="s">
        <v>440</v>
      </c>
      <c r="X690" s="253" t="s">
        <v>440</v>
      </c>
      <c r="Y690" s="253" t="s">
        <v>440</v>
      </c>
    </row>
    <row r="691" spans="1:28" x14ac:dyDescent="0.2">
      <c r="A691" s="249" t="s">
        <v>513</v>
      </c>
      <c r="B691" s="253" t="s">
        <v>440</v>
      </c>
      <c r="C691" s="253" t="s">
        <v>440</v>
      </c>
      <c r="D691" s="253" t="s">
        <v>440</v>
      </c>
      <c r="E691" s="253" t="s">
        <v>440</v>
      </c>
      <c r="F691" s="253" t="s">
        <v>440</v>
      </c>
      <c r="G691" s="253" t="s">
        <v>440</v>
      </c>
      <c r="H691" s="253" t="s">
        <v>440</v>
      </c>
      <c r="I691" s="253" t="s">
        <v>440</v>
      </c>
      <c r="J691" s="253" t="s">
        <v>440</v>
      </c>
      <c r="K691" s="253" t="s">
        <v>440</v>
      </c>
      <c r="L691" s="253" t="s">
        <v>440</v>
      </c>
      <c r="M691" s="253" t="s">
        <v>440</v>
      </c>
      <c r="N691" s="253" t="s">
        <v>440</v>
      </c>
      <c r="O691" s="253" t="s">
        <v>440</v>
      </c>
      <c r="P691" s="253" t="s">
        <v>440</v>
      </c>
      <c r="Q691" s="253" t="s">
        <v>440</v>
      </c>
      <c r="R691" s="253" t="s">
        <v>440</v>
      </c>
      <c r="S691" s="253" t="s">
        <v>440</v>
      </c>
      <c r="T691" s="253" t="s">
        <v>440</v>
      </c>
      <c r="U691" s="253" t="s">
        <v>440</v>
      </c>
      <c r="V691" s="253" t="s">
        <v>440</v>
      </c>
      <c r="W691" s="253" t="s">
        <v>440</v>
      </c>
      <c r="X691" s="253" t="s">
        <v>440</v>
      </c>
      <c r="Y691" s="253" t="s">
        <v>440</v>
      </c>
    </row>
    <row r="692" spans="1:28" x14ac:dyDescent="0.2">
      <c r="A692" s="249" t="s">
        <v>514</v>
      </c>
      <c r="B692" s="253" t="s">
        <v>440</v>
      </c>
      <c r="C692" s="253" t="s">
        <v>440</v>
      </c>
      <c r="D692" s="253" t="s">
        <v>440</v>
      </c>
      <c r="E692" s="253" t="s">
        <v>440</v>
      </c>
      <c r="F692" s="253" t="s">
        <v>440</v>
      </c>
      <c r="G692" s="253" t="s">
        <v>440</v>
      </c>
      <c r="H692" s="253" t="s">
        <v>440</v>
      </c>
      <c r="I692" s="253" t="s">
        <v>440</v>
      </c>
      <c r="J692" s="253" t="s">
        <v>440</v>
      </c>
      <c r="K692" s="253" t="s">
        <v>440</v>
      </c>
      <c r="L692" s="253" t="s">
        <v>440</v>
      </c>
      <c r="M692" s="253" t="s">
        <v>440</v>
      </c>
      <c r="N692" s="253" t="s">
        <v>440</v>
      </c>
      <c r="O692" s="253" t="s">
        <v>440</v>
      </c>
      <c r="P692" s="253" t="s">
        <v>440</v>
      </c>
      <c r="Q692" s="253" t="s">
        <v>440</v>
      </c>
      <c r="R692" s="253" t="s">
        <v>440</v>
      </c>
      <c r="S692" s="253" t="s">
        <v>440</v>
      </c>
      <c r="T692" s="253" t="s">
        <v>440</v>
      </c>
      <c r="U692" s="253" t="s">
        <v>440</v>
      </c>
      <c r="V692" s="253" t="s">
        <v>440</v>
      </c>
      <c r="W692" s="253" t="s">
        <v>440</v>
      </c>
      <c r="X692" s="253" t="s">
        <v>440</v>
      </c>
      <c r="Y692" s="253" t="s">
        <v>440</v>
      </c>
    </row>
    <row r="693" spans="1:28" x14ac:dyDescent="0.2">
      <c r="A693" s="249" t="s">
        <v>473</v>
      </c>
      <c r="B693" s="253">
        <v>163.90481567382801</v>
      </c>
      <c r="C693" s="253">
        <v>177.16523742675801</v>
      </c>
      <c r="D693" s="253">
        <v>181.73590087890599</v>
      </c>
      <c r="E693" s="253">
        <v>185.241622924805</v>
      </c>
      <c r="F693" s="253">
        <v>180.05682373046901</v>
      </c>
      <c r="G693" s="253">
        <v>176.427001953125</v>
      </c>
      <c r="H693" s="253">
        <v>175.07618713378901</v>
      </c>
      <c r="I693" s="253">
        <v>176.51165771484401</v>
      </c>
      <c r="J693" s="253">
        <v>178.08059692382801</v>
      </c>
      <c r="K693" s="253">
        <v>180.014236450195</v>
      </c>
      <c r="L693" s="253">
        <v>183.85498046875</v>
      </c>
      <c r="M693" s="253">
        <v>187.18310546875</v>
      </c>
      <c r="N693" s="253">
        <v>191.43936157226599</v>
      </c>
      <c r="O693" s="253">
        <v>194.37899780273401</v>
      </c>
      <c r="P693" s="253">
        <v>197.52023315429699</v>
      </c>
      <c r="Q693" s="253">
        <v>198.76248168945301</v>
      </c>
      <c r="R693" s="253">
        <v>201.94073486328099</v>
      </c>
      <c r="S693" s="253">
        <v>206.017013549805</v>
      </c>
      <c r="T693" s="253">
        <v>211.20541381835901</v>
      </c>
      <c r="U693" s="253">
        <v>214.41099548339801</v>
      </c>
      <c r="V693" s="253">
        <v>216.40347290039099</v>
      </c>
      <c r="W693" s="253">
        <v>218.64796447753901</v>
      </c>
      <c r="X693" s="253">
        <v>222.25126647949199</v>
      </c>
      <c r="Y693" s="253">
        <v>225.36584472656301</v>
      </c>
      <c r="AA693" s="305"/>
      <c r="AB693" s="305"/>
    </row>
    <row r="694" spans="1:28" x14ac:dyDescent="0.2">
      <c r="A694" s="249" t="s">
        <v>480</v>
      </c>
      <c r="B694" s="253">
        <v>122.690147399902</v>
      </c>
      <c r="C694" s="253">
        <v>128.153732299805</v>
      </c>
      <c r="D694" s="253">
        <v>130.48612976074199</v>
      </c>
      <c r="E694" s="253">
        <v>132.29133605957</v>
      </c>
      <c r="F694" s="253">
        <v>129.27566528320301</v>
      </c>
      <c r="G694" s="253">
        <v>126.887260437012</v>
      </c>
      <c r="H694" s="253">
        <v>126.692184448242</v>
      </c>
      <c r="I694" s="253">
        <v>129.41491699218801</v>
      </c>
      <c r="J694" s="253">
        <v>131.90731811523401</v>
      </c>
      <c r="K694" s="253">
        <v>135.04089355468801</v>
      </c>
      <c r="L694" s="253">
        <v>139.741943359375</v>
      </c>
      <c r="M694" s="253">
        <v>144.63902282714801</v>
      </c>
      <c r="N694" s="253">
        <v>150.53921508789099</v>
      </c>
      <c r="O694" s="253">
        <v>154.864669799805</v>
      </c>
      <c r="P694" s="253">
        <v>159.25378417968801</v>
      </c>
      <c r="Q694" s="253">
        <v>162.59527587890599</v>
      </c>
      <c r="R694" s="253">
        <v>167.29981994628901</v>
      </c>
      <c r="S694" s="253">
        <v>172.854415893555</v>
      </c>
      <c r="T694" s="253">
        <v>179.18412780761699</v>
      </c>
      <c r="U694" s="253">
        <v>184.76553344726599</v>
      </c>
      <c r="V694" s="253">
        <v>188.65592956543</v>
      </c>
      <c r="W694" s="253">
        <v>192.56275939941401</v>
      </c>
      <c r="X694" s="253">
        <v>197.80290222168</v>
      </c>
      <c r="Y694" s="253">
        <v>203.64804077148401</v>
      </c>
    </row>
    <row r="695" spans="1:28" x14ac:dyDescent="0.2">
      <c r="A695" s="249" t="s">
        <v>515</v>
      </c>
      <c r="B695" s="253">
        <v>124.39901733398401</v>
      </c>
      <c r="C695" s="253">
        <v>147.11244201660199</v>
      </c>
      <c r="D695" s="253">
        <v>168.13270568847699</v>
      </c>
      <c r="E695" s="253">
        <v>167.53501892089801</v>
      </c>
      <c r="F695" s="253">
        <v>157.82022094726599</v>
      </c>
      <c r="G695" s="253">
        <v>152.842697143555</v>
      </c>
      <c r="H695" s="253">
        <v>151.28466796875</v>
      </c>
      <c r="I695" s="253">
        <v>151.59564208984401</v>
      </c>
      <c r="J695" s="253">
        <v>151.94683837890599</v>
      </c>
      <c r="K695" s="253">
        <v>152.62234497070301</v>
      </c>
      <c r="L695" s="253">
        <v>154.60144042968801</v>
      </c>
      <c r="M695" s="253">
        <v>156.88139343261699</v>
      </c>
      <c r="N695" s="253">
        <v>159.98997497558599</v>
      </c>
      <c r="O695" s="253">
        <v>162.62356567382801</v>
      </c>
      <c r="P695" s="253">
        <v>164.507247924805</v>
      </c>
      <c r="Q695" s="253">
        <v>166.59835815429699</v>
      </c>
      <c r="R695" s="253">
        <v>170.382568359375</v>
      </c>
      <c r="S695" s="253">
        <v>174.95167541503901</v>
      </c>
      <c r="T695" s="253">
        <v>179.57080078125</v>
      </c>
      <c r="U695" s="253">
        <v>184.12712097168</v>
      </c>
      <c r="V695" s="253">
        <v>186.42012023925801</v>
      </c>
      <c r="W695" s="253">
        <v>189.56260681152301</v>
      </c>
      <c r="X695" s="253">
        <v>192.98284912109401</v>
      </c>
      <c r="Y695" s="253">
        <v>198.25885009765599</v>
      </c>
    </row>
    <row r="696" spans="1:28" x14ac:dyDescent="0.2">
      <c r="A696" s="249" t="s">
        <v>487</v>
      </c>
      <c r="B696" s="253">
        <v>263.72879028320301</v>
      </c>
      <c r="C696" s="253">
        <v>302.59255981445301</v>
      </c>
      <c r="D696" s="253">
        <v>352.23825073242199</v>
      </c>
      <c r="E696" s="253">
        <v>351.13717651367199</v>
      </c>
      <c r="F696" s="253">
        <v>366.34793090820301</v>
      </c>
      <c r="G696" s="253">
        <v>368.76159667968801</v>
      </c>
      <c r="H696" s="253">
        <v>374.76626586914102</v>
      </c>
      <c r="I696" s="253">
        <v>382.39471435546898</v>
      </c>
      <c r="J696" s="253">
        <v>385.90115356445301</v>
      </c>
      <c r="K696" s="253">
        <v>392.12625122070301</v>
      </c>
      <c r="L696" s="253">
        <v>398.68222045898398</v>
      </c>
      <c r="M696" s="253">
        <v>403.06192016601602</v>
      </c>
      <c r="N696" s="253">
        <v>409.94515991210898</v>
      </c>
      <c r="O696" s="253">
        <v>412.30630493164102</v>
      </c>
      <c r="P696" s="253">
        <v>418.64147949218801</v>
      </c>
      <c r="Q696" s="253">
        <v>421.60382080078102</v>
      </c>
      <c r="R696" s="253">
        <v>428.44393920898398</v>
      </c>
      <c r="S696" s="253">
        <v>436.35858154296898</v>
      </c>
      <c r="T696" s="253">
        <v>441.71078491210898</v>
      </c>
      <c r="U696" s="253">
        <v>454.05059814453102</v>
      </c>
      <c r="V696" s="253">
        <v>464.07431030273398</v>
      </c>
      <c r="W696" s="253">
        <v>474.87463378906301</v>
      </c>
      <c r="X696" s="253">
        <v>486.72909545898398</v>
      </c>
      <c r="Y696" s="253">
        <v>501.322265625</v>
      </c>
    </row>
    <row r="697" spans="1:28" x14ac:dyDescent="0.2">
      <c r="A697" s="249" t="s">
        <v>516</v>
      </c>
      <c r="B697" s="253">
        <v>674.72277832031295</v>
      </c>
      <c r="C697" s="253">
        <v>755.02398681640602</v>
      </c>
      <c r="D697" s="253">
        <v>832.593017578125</v>
      </c>
      <c r="E697" s="253">
        <v>836.20513916015602</v>
      </c>
      <c r="F697" s="253">
        <v>833.50061035156295</v>
      </c>
      <c r="G697" s="253">
        <v>824.91857910156295</v>
      </c>
      <c r="H697" s="253">
        <v>827.8193359375</v>
      </c>
      <c r="I697" s="253">
        <v>839.91693115234398</v>
      </c>
      <c r="J697" s="253">
        <v>847.8359375</v>
      </c>
      <c r="K697" s="253">
        <v>859.8037109375</v>
      </c>
      <c r="L697" s="253">
        <v>876.880615234375</v>
      </c>
      <c r="M697" s="253">
        <v>891.76544189453102</v>
      </c>
      <c r="N697" s="253">
        <v>911.91369628906295</v>
      </c>
      <c r="O697" s="253">
        <v>924.17352294921898</v>
      </c>
      <c r="P697" s="253">
        <v>939.92272949218795</v>
      </c>
      <c r="Q697" s="253">
        <v>949.55993652343795</v>
      </c>
      <c r="R697" s="253">
        <v>968.06707763671898</v>
      </c>
      <c r="S697" s="253">
        <v>990.18170166015602</v>
      </c>
      <c r="T697" s="253">
        <v>1011.67114257813</v>
      </c>
      <c r="U697" s="253">
        <v>1037.35424804688</v>
      </c>
      <c r="V697" s="253">
        <v>1055.55383300781</v>
      </c>
      <c r="W697" s="253">
        <v>1075.64794921875</v>
      </c>
      <c r="X697" s="253">
        <v>1099.76611328125</v>
      </c>
      <c r="Y697" s="253">
        <v>1128.59497070313</v>
      </c>
    </row>
    <row r="698" spans="1:28" x14ac:dyDescent="0.2">
      <c r="A698" s="249" t="s">
        <v>517</v>
      </c>
      <c r="B698" s="253">
        <v>1.1704622767865699E-2</v>
      </c>
      <c r="C698" s="253">
        <v>1.72001253813505E-2</v>
      </c>
      <c r="D698" s="253">
        <v>2.0739471539855E-2</v>
      </c>
      <c r="E698" s="253">
        <v>2.2715086117386801E-2</v>
      </c>
      <c r="F698" s="253">
        <v>2.5078095495700801E-2</v>
      </c>
      <c r="G698" s="253">
        <v>2.8324941173195801E-2</v>
      </c>
      <c r="H698" s="253">
        <v>3.1410280615091303E-2</v>
      </c>
      <c r="I698" s="253">
        <v>3.5102743655443198E-2</v>
      </c>
      <c r="J698" s="253">
        <v>3.9645586162805599E-2</v>
      </c>
      <c r="K698" s="253">
        <v>4.3348435312509502E-2</v>
      </c>
      <c r="L698" s="253">
        <v>4.6531450003385502E-2</v>
      </c>
      <c r="M698" s="253">
        <v>4.9735426902771003E-2</v>
      </c>
      <c r="N698" s="253">
        <v>5.3442426025867497E-2</v>
      </c>
      <c r="O698" s="253">
        <v>5.6060969829559298E-2</v>
      </c>
      <c r="P698" s="253">
        <v>6.0336232185363797E-2</v>
      </c>
      <c r="Q698" s="253">
        <v>6.3296250998973805E-2</v>
      </c>
      <c r="R698" s="253">
        <v>6.6096656024455996E-2</v>
      </c>
      <c r="S698" s="253">
        <v>6.9950148463249207E-2</v>
      </c>
      <c r="T698" s="253">
        <v>7.2811737656593295E-2</v>
      </c>
      <c r="U698" s="253">
        <v>7.6670221984386402E-2</v>
      </c>
      <c r="V698" s="253">
        <v>8.0276548862457303E-2</v>
      </c>
      <c r="W698" s="253">
        <v>8.4626309573650402E-2</v>
      </c>
      <c r="X698" s="253">
        <v>8.8446177542209597E-2</v>
      </c>
      <c r="Y698" s="253">
        <v>9.2330038547515897E-2</v>
      </c>
    </row>
    <row r="699" spans="1:28" x14ac:dyDescent="0.2">
      <c r="A699" s="249" t="s">
        <v>518</v>
      </c>
      <c r="B699" s="253">
        <v>674.73449707031295</v>
      </c>
      <c r="C699" s="253">
        <v>755.04119873046898</v>
      </c>
      <c r="D699" s="253">
        <v>832.61376953125</v>
      </c>
      <c r="E699" s="253">
        <v>836.22784423828102</v>
      </c>
      <c r="F699" s="253">
        <v>833.52569580078102</v>
      </c>
      <c r="G699" s="253">
        <v>824.94689941406295</v>
      </c>
      <c r="H699" s="253">
        <v>827.85076904296898</v>
      </c>
      <c r="I699" s="253">
        <v>839.95202636718795</v>
      </c>
      <c r="J699" s="253">
        <v>847.87561035156295</v>
      </c>
      <c r="K699" s="253">
        <v>859.84704589843795</v>
      </c>
      <c r="L699" s="253">
        <v>876.92712402343795</v>
      </c>
      <c r="M699" s="253">
        <v>891.815185546875</v>
      </c>
      <c r="N699" s="253">
        <v>911.96716308593795</v>
      </c>
      <c r="O699" s="253">
        <v>924.22961425781295</v>
      </c>
      <c r="P699" s="253">
        <v>939.98309326171898</v>
      </c>
      <c r="Q699" s="253">
        <v>949.62322998046898</v>
      </c>
      <c r="R699" s="253">
        <v>968.13317871093795</v>
      </c>
      <c r="S699" s="253">
        <v>990.25164794921898</v>
      </c>
      <c r="T699" s="253">
        <v>1011.74395751953</v>
      </c>
      <c r="U699" s="253">
        <v>1037.43090820313</v>
      </c>
      <c r="V699" s="253">
        <v>1055.63415527344</v>
      </c>
      <c r="W699" s="253">
        <v>1075.73254394531</v>
      </c>
      <c r="X699" s="253">
        <v>1099.85461425781</v>
      </c>
      <c r="Y699" s="253">
        <v>1128.68725585938</v>
      </c>
    </row>
    <row r="700" spans="1:28" x14ac:dyDescent="0.2">
      <c r="A700" s="249" t="s">
        <v>592</v>
      </c>
      <c r="B700" s="253"/>
      <c r="C700" s="253"/>
      <c r="D700" s="253"/>
      <c r="E700" s="253"/>
      <c r="F700" s="253"/>
      <c r="G700" s="253"/>
      <c r="H700" s="253"/>
      <c r="I700" s="253"/>
      <c r="J700" s="253"/>
      <c r="K700" s="253"/>
      <c r="L700" s="253"/>
      <c r="M700" s="253"/>
      <c r="N700" s="253"/>
      <c r="O700" s="253"/>
      <c r="P700" s="253"/>
      <c r="Q700" s="253"/>
      <c r="R700" s="253"/>
      <c r="S700" s="253"/>
      <c r="T700" s="253"/>
      <c r="U700" s="253"/>
      <c r="V700" s="253"/>
      <c r="W700" s="253"/>
      <c r="X700" s="253"/>
      <c r="Y700" s="253"/>
    </row>
    <row r="701" spans="1:28" x14ac:dyDescent="0.2">
      <c r="A701" s="302" t="s">
        <v>1082</v>
      </c>
      <c r="B701" s="298">
        <v>1.1960935989170374</v>
      </c>
      <c r="C701" s="298">
        <v>1.1960935989170374</v>
      </c>
      <c r="D701" s="298">
        <v>1.1960935989170374</v>
      </c>
      <c r="E701" s="298">
        <v>1.1960935989170374</v>
      </c>
      <c r="F701" s="298">
        <v>1.1960935989170374</v>
      </c>
      <c r="G701" s="298">
        <v>1.1960935989170374</v>
      </c>
      <c r="H701" s="298">
        <v>1.1960935989170374</v>
      </c>
      <c r="I701" s="298">
        <v>1.1960935989170374</v>
      </c>
      <c r="J701" s="298">
        <v>1.1960935989170374</v>
      </c>
      <c r="K701" s="298">
        <v>1.198027460839296</v>
      </c>
      <c r="L701" s="298">
        <v>1.2067298394894606</v>
      </c>
      <c r="M701" s="298">
        <v>1.2415393540901181</v>
      </c>
      <c r="N701" s="298">
        <v>1.244440146973506</v>
      </c>
      <c r="O701" s="298">
        <v>1.2657126281183524</v>
      </c>
      <c r="P701" s="298">
        <v>1.2686134210017406</v>
      </c>
      <c r="Q701" s="298">
        <v>1.2840843163798106</v>
      </c>
      <c r="R701" s="298">
        <v>1.2792496615741635</v>
      </c>
      <c r="S701" s="298">
        <v>1.3034229356023981</v>
      </c>
      <c r="T701" s="298">
        <v>1.3217946238638563</v>
      </c>
      <c r="U701" s="298">
        <v>1.3759427576871011</v>
      </c>
      <c r="V701" s="298">
        <v>1.3943144459485595</v>
      </c>
      <c r="W701" s="299">
        <v>1.4001160317153356</v>
      </c>
      <c r="X701" s="299">
        <v>1.4242893057435699</v>
      </c>
      <c r="Y701" s="299">
        <v>1.4378263391993813</v>
      </c>
      <c r="Z701" s="296">
        <f>Y701+($AI$531-$Y$701)/10</f>
        <v>1.5542937052794432</v>
      </c>
    </row>
    <row r="702" spans="1:28" x14ac:dyDescent="0.2">
      <c r="A702" s="282" t="s">
        <v>311</v>
      </c>
      <c r="B702" s="298">
        <v>8.7353999999999985</v>
      </c>
      <c r="C702" s="298">
        <v>8.7353999999999985</v>
      </c>
      <c r="D702" s="298">
        <v>8.7353999999999985</v>
      </c>
      <c r="E702" s="298">
        <v>8.7353999999999985</v>
      </c>
      <c r="F702" s="298">
        <v>8.7353999999999985</v>
      </c>
      <c r="G702" s="298">
        <v>8.7353999999999985</v>
      </c>
      <c r="H702" s="298">
        <v>8.7353999999999985</v>
      </c>
      <c r="I702" s="298">
        <v>8.7353999999999985</v>
      </c>
      <c r="J702" s="298">
        <v>8.7353999999999985</v>
      </c>
      <c r="K702" s="298">
        <v>8.7353999999999985</v>
      </c>
      <c r="L702" s="298">
        <v>8.7353999999999985</v>
      </c>
      <c r="M702" s="298">
        <v>8.7353999999999985</v>
      </c>
      <c r="N702" s="298">
        <v>8.7353999999999985</v>
      </c>
      <c r="O702" s="298">
        <v>8.7353999999999985</v>
      </c>
      <c r="P702" s="298">
        <v>8.7353999999999985</v>
      </c>
      <c r="Q702" s="298">
        <v>8.7353999999999985</v>
      </c>
      <c r="R702" s="298">
        <v>8.7353999999999985</v>
      </c>
      <c r="S702" s="298">
        <v>8.7353999999999985</v>
      </c>
      <c r="T702" s="298">
        <v>8.7353999999999985</v>
      </c>
      <c r="U702" s="298">
        <v>8.7353999999999985</v>
      </c>
      <c r="V702" s="298">
        <v>8.7353999999999985</v>
      </c>
      <c r="W702" s="299">
        <v>8.7353999999999985</v>
      </c>
      <c r="X702" s="299">
        <v>8.7353999999999985</v>
      </c>
      <c r="Y702" s="299">
        <v>8.7353999999999985</v>
      </c>
      <c r="Z702" s="299">
        <v>8.7353999999999985</v>
      </c>
    </row>
    <row r="703" spans="1:28" x14ac:dyDescent="0.2">
      <c r="A703" s="303" t="s">
        <v>594</v>
      </c>
      <c r="B703" s="300">
        <v>4.78</v>
      </c>
      <c r="C703" s="300">
        <v>4.78</v>
      </c>
      <c r="D703" s="300">
        <v>4.78</v>
      </c>
      <c r="E703" s="300">
        <v>4.78</v>
      </c>
      <c r="F703" s="300">
        <v>4.78</v>
      </c>
      <c r="G703" s="300">
        <v>4.78</v>
      </c>
      <c r="H703" s="300">
        <v>4.78</v>
      </c>
      <c r="I703" s="300">
        <v>4.78</v>
      </c>
      <c r="J703" s="300">
        <v>4.78</v>
      </c>
      <c r="K703" s="300">
        <v>4.78</v>
      </c>
      <c r="L703" s="300">
        <v>4.78</v>
      </c>
      <c r="M703" s="300">
        <v>4.78</v>
      </c>
      <c r="N703" s="300">
        <v>4.78</v>
      </c>
      <c r="O703" s="300">
        <v>4.78</v>
      </c>
      <c r="P703" s="300">
        <v>4.78</v>
      </c>
      <c r="Q703" s="300">
        <v>4.78</v>
      </c>
      <c r="R703" s="300">
        <v>4.78</v>
      </c>
      <c r="S703" s="300">
        <v>4.78</v>
      </c>
      <c r="T703" s="300">
        <v>4.78</v>
      </c>
      <c r="U703" s="300">
        <v>4.78</v>
      </c>
      <c r="V703" s="300">
        <v>4.78</v>
      </c>
      <c r="W703" s="300">
        <v>4.78</v>
      </c>
      <c r="X703" s="300">
        <v>4.78</v>
      </c>
      <c r="Y703" s="300">
        <v>4.78</v>
      </c>
      <c r="Z703" s="300">
        <v>4.78</v>
      </c>
    </row>
    <row r="704" spans="1:28" x14ac:dyDescent="0.2">
      <c r="A704" s="304" t="s">
        <v>595</v>
      </c>
      <c r="B704" s="299" t="e">
        <f t="shared" ref="B704:Z704" si="81">B703*GJ_p_MMBtu</f>
        <v>#NAME?</v>
      </c>
      <c r="C704" s="299" t="e">
        <f t="shared" si="81"/>
        <v>#NAME?</v>
      </c>
      <c r="D704" s="299" t="e">
        <f t="shared" si="81"/>
        <v>#NAME?</v>
      </c>
      <c r="E704" s="299" t="e">
        <f t="shared" si="81"/>
        <v>#NAME?</v>
      </c>
      <c r="F704" s="299" t="e">
        <f t="shared" si="81"/>
        <v>#NAME?</v>
      </c>
      <c r="G704" s="299" t="e">
        <f t="shared" si="81"/>
        <v>#NAME?</v>
      </c>
      <c r="H704" s="299" t="e">
        <f t="shared" si="81"/>
        <v>#NAME?</v>
      </c>
      <c r="I704" s="299" t="e">
        <f t="shared" si="81"/>
        <v>#NAME?</v>
      </c>
      <c r="J704" s="299" t="e">
        <f t="shared" si="81"/>
        <v>#NAME?</v>
      </c>
      <c r="K704" s="299" t="e">
        <f t="shared" si="81"/>
        <v>#NAME?</v>
      </c>
      <c r="L704" s="299" t="e">
        <f t="shared" si="81"/>
        <v>#NAME?</v>
      </c>
      <c r="M704" s="299" t="e">
        <f t="shared" si="81"/>
        <v>#NAME?</v>
      </c>
      <c r="N704" s="299" t="e">
        <f t="shared" si="81"/>
        <v>#NAME?</v>
      </c>
      <c r="O704" s="299" t="e">
        <f t="shared" si="81"/>
        <v>#NAME?</v>
      </c>
      <c r="P704" s="299" t="e">
        <f t="shared" si="81"/>
        <v>#NAME?</v>
      </c>
      <c r="Q704" s="299" t="e">
        <f t="shared" si="81"/>
        <v>#NAME?</v>
      </c>
      <c r="R704" s="299" t="e">
        <f t="shared" si="81"/>
        <v>#NAME?</v>
      </c>
      <c r="S704" s="299" t="e">
        <f t="shared" si="81"/>
        <v>#NAME?</v>
      </c>
      <c r="T704" s="299" t="e">
        <f t="shared" si="81"/>
        <v>#NAME?</v>
      </c>
      <c r="U704" s="299" t="e">
        <f t="shared" si="81"/>
        <v>#NAME?</v>
      </c>
      <c r="V704" s="299" t="e">
        <f t="shared" si="81"/>
        <v>#NAME?</v>
      </c>
      <c r="W704" s="299" t="e">
        <f t="shared" si="81"/>
        <v>#NAME?</v>
      </c>
      <c r="X704" s="299" t="e">
        <f t="shared" si="81"/>
        <v>#NAME?</v>
      </c>
      <c r="Y704" s="299" t="e">
        <f t="shared" si="81"/>
        <v>#NAME?</v>
      </c>
      <c r="Z704" s="299" t="e">
        <f t="shared" si="81"/>
        <v>#NAME?</v>
      </c>
    </row>
    <row r="705" spans="1:26" x14ac:dyDescent="0.2">
      <c r="A705" s="302" t="s">
        <v>596</v>
      </c>
      <c r="B705" s="253"/>
      <c r="C705" s="253"/>
      <c r="D705" s="253"/>
      <c r="E705" s="253"/>
      <c r="F705" s="253"/>
      <c r="G705" s="253"/>
      <c r="H705" s="253"/>
      <c r="I705" s="253"/>
      <c r="J705" s="253"/>
      <c r="K705" s="253"/>
      <c r="L705" s="253"/>
      <c r="M705" s="253"/>
      <c r="N705" s="253"/>
      <c r="O705" s="253"/>
      <c r="P705" s="253"/>
      <c r="Q705" s="253"/>
      <c r="R705" s="253"/>
      <c r="S705" s="253"/>
      <c r="T705" s="253"/>
      <c r="U705" s="253"/>
      <c r="V705" s="253"/>
      <c r="W705" s="253"/>
      <c r="X705" s="253"/>
      <c r="Y705" s="253"/>
      <c r="Z705" s="253"/>
    </row>
    <row r="706" spans="1:26" x14ac:dyDescent="0.2">
      <c r="A706" s="249" t="s">
        <v>519</v>
      </c>
      <c r="B706" s="253"/>
      <c r="C706" s="253"/>
      <c r="D706" s="253"/>
      <c r="E706" s="253" t="s">
        <v>440</v>
      </c>
      <c r="F706" s="253" t="s">
        <v>440</v>
      </c>
      <c r="G706" s="253" t="s">
        <v>440</v>
      </c>
      <c r="H706" s="253" t="s">
        <v>440</v>
      </c>
      <c r="I706" s="253" t="s">
        <v>440</v>
      </c>
      <c r="J706" s="253" t="s">
        <v>440</v>
      </c>
      <c r="K706" s="253" t="s">
        <v>440</v>
      </c>
      <c r="L706" s="253" t="s">
        <v>440</v>
      </c>
      <c r="M706" s="253" t="s">
        <v>440</v>
      </c>
      <c r="N706" s="253" t="s">
        <v>440</v>
      </c>
      <c r="O706" s="253" t="s">
        <v>440</v>
      </c>
      <c r="P706" s="253" t="s">
        <v>440</v>
      </c>
      <c r="Q706" s="253" t="s">
        <v>440</v>
      </c>
      <c r="R706" s="253" t="s">
        <v>440</v>
      </c>
      <c r="S706" s="253" t="s">
        <v>440</v>
      </c>
      <c r="T706" s="253" t="s">
        <v>440</v>
      </c>
      <c r="U706" s="253" t="s">
        <v>440</v>
      </c>
      <c r="V706" s="253" t="s">
        <v>440</v>
      </c>
      <c r="W706" s="253" t="s">
        <v>440</v>
      </c>
      <c r="X706" s="253" t="s">
        <v>440</v>
      </c>
      <c r="Y706" s="253" t="s">
        <v>440</v>
      </c>
    </row>
    <row r="707" spans="1:26" x14ac:dyDescent="0.2">
      <c r="A707" s="249" t="s">
        <v>520</v>
      </c>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row>
    <row r="708" spans="1:26" x14ac:dyDescent="0.2">
      <c r="A708" s="249" t="s">
        <v>521</v>
      </c>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row>
    <row r="709" spans="1:26" x14ac:dyDescent="0.2">
      <c r="A709" s="249" t="s">
        <v>522</v>
      </c>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row>
    <row r="710" spans="1:26" x14ac:dyDescent="0.2">
      <c r="A710" s="249" t="s">
        <v>523</v>
      </c>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row>
    <row r="711" spans="1:26" x14ac:dyDescent="0.2">
      <c r="A711" s="249" t="s">
        <v>524</v>
      </c>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row>
    <row r="712" spans="1:26" x14ac:dyDescent="0.2">
      <c r="A712" s="249" t="s">
        <v>525</v>
      </c>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row>
    <row r="713" spans="1:26" x14ac:dyDescent="0.2">
      <c r="A713" s="249" t="s">
        <v>526</v>
      </c>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row>
    <row r="714" spans="1:26" x14ac:dyDescent="0.2">
      <c r="A714" s="249" t="s">
        <v>527</v>
      </c>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row>
    <row r="715" spans="1:26" x14ac:dyDescent="0.2">
      <c r="A715" s="249" t="s">
        <v>532</v>
      </c>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row>
    <row r="716" spans="1:26" x14ac:dyDescent="0.2">
      <c r="A716" s="249" t="s">
        <v>542</v>
      </c>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row>
    <row r="717" spans="1:26" x14ac:dyDescent="0.2">
      <c r="A717" s="249" t="s">
        <v>543</v>
      </c>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row>
    <row r="718" spans="1:26" x14ac:dyDescent="0.2">
      <c r="A718" s="249" t="s">
        <v>544</v>
      </c>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row>
    <row r="719" spans="1:26" x14ac:dyDescent="0.2">
      <c r="A719" s="249" t="s">
        <v>545</v>
      </c>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row>
    <row r="720" spans="1:26" x14ac:dyDescent="0.2">
      <c r="A720" s="249" t="s">
        <v>546</v>
      </c>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row>
    <row r="721" spans="1:25" x14ac:dyDescent="0.2">
      <c r="A721" s="249" t="s">
        <v>547</v>
      </c>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row>
    <row r="722" spans="1:25" x14ac:dyDescent="0.2">
      <c r="A722" s="249" t="s">
        <v>548</v>
      </c>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row>
    <row r="723" spans="1:25" x14ac:dyDescent="0.2">
      <c r="A723" s="249" t="s">
        <v>552</v>
      </c>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row>
    <row r="724" spans="1:25" x14ac:dyDescent="0.2">
      <c r="A724" s="249" t="s">
        <v>553</v>
      </c>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row>
    <row r="725" spans="1:25" x14ac:dyDescent="0.2">
      <c r="A725" s="249" t="s">
        <v>554</v>
      </c>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row>
    <row r="726" spans="1:25" x14ac:dyDescent="0.2">
      <c r="A726" s="249" t="s">
        <v>555</v>
      </c>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row>
    <row r="727" spans="1:25" x14ac:dyDescent="0.2">
      <c r="A727" s="249" t="s">
        <v>556</v>
      </c>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row>
    <row r="728" spans="1:25" x14ac:dyDescent="0.2">
      <c r="A728" s="249" t="s">
        <v>557</v>
      </c>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row>
    <row r="729" spans="1:25" x14ac:dyDescent="0.2">
      <c r="A729" s="249" t="s">
        <v>558</v>
      </c>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row>
    <row r="730" spans="1:25" x14ac:dyDescent="0.2">
      <c r="A730" s="249" t="s">
        <v>559</v>
      </c>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row>
    <row r="731" spans="1:25" ht="13.5" thickBot="1" x14ac:dyDescent="0.25">
      <c r="A731" s="254" t="s">
        <v>564</v>
      </c>
      <c r="B731" s="259"/>
      <c r="C731" s="259"/>
      <c r="D731" s="259"/>
      <c r="E731" s="259"/>
      <c r="F731" s="259"/>
      <c r="G731" s="259"/>
      <c r="H731" s="259"/>
      <c r="I731" s="259"/>
      <c r="J731" s="259"/>
      <c r="K731" s="259"/>
      <c r="L731" s="259"/>
      <c r="M731" s="259"/>
      <c r="N731" s="259"/>
      <c r="O731" s="259"/>
      <c r="P731" s="259"/>
      <c r="Q731" s="259"/>
      <c r="R731" s="259"/>
      <c r="S731" s="259"/>
      <c r="T731" s="259"/>
      <c r="U731" s="259"/>
      <c r="V731" s="259"/>
      <c r="W731" s="259"/>
      <c r="X731" s="259"/>
      <c r="Y731" s="259"/>
    </row>
    <row r="732" spans="1:25" x14ac:dyDescent="0.2">
      <c r="A732" s="1639" t="s">
        <v>437</v>
      </c>
      <c r="B732" s="1639"/>
      <c r="C732" s="1639"/>
      <c r="D732" s="1639"/>
      <c r="E732" s="1639"/>
      <c r="F732" s="1639"/>
      <c r="G732" s="1639"/>
      <c r="H732" s="1639"/>
      <c r="I732" s="1639"/>
      <c r="J732" s="1639"/>
      <c r="K732" s="1639"/>
      <c r="L732" s="1639"/>
      <c r="M732" s="1639"/>
      <c r="N732" s="295"/>
      <c r="O732" s="295"/>
      <c r="P732" s="295"/>
      <c r="Q732" s="295"/>
      <c r="R732" s="295"/>
      <c r="S732" s="295"/>
      <c r="T732" s="295"/>
      <c r="U732" s="295"/>
      <c r="V732" s="295"/>
      <c r="W732" s="295"/>
      <c r="X732" s="295"/>
      <c r="Y732" s="295"/>
    </row>
    <row r="733" spans="1:25" x14ac:dyDescent="0.2">
      <c r="A733" s="295" t="s">
        <v>1090</v>
      </c>
      <c r="B733" s="295"/>
      <c r="C733" s="295"/>
      <c r="D733" s="295"/>
      <c r="E733" s="295"/>
      <c r="F733" s="295"/>
      <c r="G733" s="295"/>
      <c r="H733" s="295"/>
      <c r="I733" s="295"/>
      <c r="J733" s="295"/>
      <c r="K733" s="295"/>
      <c r="L733" s="295"/>
      <c r="M733" s="295"/>
      <c r="N733" s="295"/>
      <c r="O733" s="295"/>
      <c r="P733" s="295"/>
      <c r="Q733" s="295"/>
      <c r="R733" s="295"/>
      <c r="S733" s="295"/>
      <c r="T733" s="295"/>
      <c r="U733" s="295"/>
      <c r="V733" s="295"/>
      <c r="W733" s="295"/>
      <c r="X733" s="295"/>
      <c r="Y733" s="295"/>
    </row>
    <row r="736" spans="1:25" ht="14.25" thickBot="1" x14ac:dyDescent="0.3">
      <c r="A736" s="1637" t="s">
        <v>565</v>
      </c>
      <c r="B736" s="1638"/>
      <c r="C736" s="1638"/>
      <c r="D736" s="260"/>
      <c r="E736" s="260"/>
      <c r="F736" s="260"/>
      <c r="G736" s="260"/>
      <c r="H736" s="260"/>
      <c r="I736" s="260"/>
      <c r="J736" s="260"/>
    </row>
    <row r="737" spans="1:10" ht="51.75" thickTop="1" x14ac:dyDescent="0.2">
      <c r="A737" s="261"/>
      <c r="B737" s="262" t="s">
        <v>566</v>
      </c>
      <c r="C737" s="262" t="s">
        <v>567</v>
      </c>
      <c r="D737" s="262" t="s">
        <v>568</v>
      </c>
      <c r="E737" s="262" t="s">
        <v>590</v>
      </c>
      <c r="F737" s="263"/>
      <c r="G737" s="263"/>
      <c r="H737" s="263"/>
      <c r="I737" s="263"/>
      <c r="J737" s="264"/>
    </row>
    <row r="738" spans="1:10" x14ac:dyDescent="0.2">
      <c r="A738" s="265"/>
      <c r="B738" s="266"/>
      <c r="C738" s="266"/>
      <c r="D738" s="266"/>
      <c r="E738" s="266"/>
      <c r="F738" s="266"/>
      <c r="G738" s="266"/>
      <c r="H738" s="266"/>
      <c r="I738" s="266"/>
      <c r="J738" s="267"/>
    </row>
    <row r="739" spans="1:10" x14ac:dyDescent="0.2">
      <c r="A739" s="265"/>
      <c r="B739" s="266"/>
      <c r="C739" s="266"/>
      <c r="D739" s="266"/>
      <c r="E739" s="266"/>
      <c r="F739" s="266"/>
      <c r="G739" s="266"/>
      <c r="H739" s="266"/>
      <c r="I739" s="266"/>
      <c r="J739" s="267"/>
    </row>
    <row r="740" spans="1:10" x14ac:dyDescent="0.2">
      <c r="A740" s="265" t="s">
        <v>569</v>
      </c>
      <c r="B740" s="277">
        <v>1.0439774739816527</v>
      </c>
      <c r="C740" s="277">
        <v>1.0284486209328481</v>
      </c>
      <c r="D740" s="277">
        <v>1.0094828736442827</v>
      </c>
      <c r="E740" s="277">
        <f t="shared" ref="E740:E747" si="82">F752/E752</f>
        <v>1.0704312355553662</v>
      </c>
      <c r="F740" s="266"/>
      <c r="G740" s="266"/>
      <c r="H740" s="266"/>
      <c r="I740" s="266"/>
      <c r="J740" s="267"/>
    </row>
    <row r="741" spans="1:10" x14ac:dyDescent="0.2">
      <c r="A741" s="265" t="s">
        <v>570</v>
      </c>
      <c r="B741" s="266">
        <v>1.2097805877102306</v>
      </c>
      <c r="C741" s="266">
        <v>1.1729343042703535</v>
      </c>
      <c r="D741" s="266">
        <v>1.0576447680901178</v>
      </c>
      <c r="E741" s="266">
        <f t="shared" si="82"/>
        <v>1.1340871534488071</v>
      </c>
      <c r="F741" s="266"/>
      <c r="G741" s="266"/>
      <c r="H741" s="266"/>
      <c r="I741" s="266"/>
      <c r="J741" s="267"/>
    </row>
    <row r="742" spans="1:10" x14ac:dyDescent="0.2">
      <c r="A742" s="265" t="s">
        <v>571</v>
      </c>
      <c r="B742" s="273">
        <v>1.1697889782905726</v>
      </c>
      <c r="C742" s="273">
        <v>1.1485262991479412</v>
      </c>
      <c r="D742" s="273">
        <v>1.049508766382647</v>
      </c>
      <c r="E742" s="273">
        <f t="shared" si="82"/>
        <v>1.1040561955262993</v>
      </c>
      <c r="F742" s="266"/>
      <c r="G742" s="266"/>
      <c r="H742" s="266"/>
      <c r="I742" s="266"/>
      <c r="J742" s="267"/>
    </row>
    <row r="743" spans="1:10" x14ac:dyDescent="0.2">
      <c r="A743" s="265" t="s">
        <v>572</v>
      </c>
      <c r="B743" s="266">
        <v>1.1587647303602575</v>
      </c>
      <c r="C743" s="266">
        <v>1.0854096786599328</v>
      </c>
      <c r="D743" s="266">
        <v>1.0284698928866443</v>
      </c>
      <c r="E743" s="266">
        <f t="shared" si="82"/>
        <v>1.363594657351775</v>
      </c>
      <c r="F743" s="266"/>
      <c r="G743" s="266"/>
      <c r="H743" s="266"/>
      <c r="I743" s="266"/>
      <c r="J743" s="267"/>
    </row>
    <row r="744" spans="1:10" x14ac:dyDescent="0.2">
      <c r="A744" s="265" t="s">
        <v>573</v>
      </c>
      <c r="B744" s="279">
        <v>1.1587647303602575</v>
      </c>
      <c r="C744" s="279">
        <v>1.0854096786599328</v>
      </c>
      <c r="D744" s="279">
        <v>1.0284698928866443</v>
      </c>
      <c r="E744" s="279">
        <f t="shared" si="82"/>
        <v>1.3635946573517748</v>
      </c>
      <c r="F744" s="266"/>
      <c r="G744" s="266"/>
      <c r="H744" s="266"/>
      <c r="I744" s="266"/>
      <c r="J744" s="267"/>
    </row>
    <row r="745" spans="1:10" x14ac:dyDescent="0.2">
      <c r="A745" s="265" t="s">
        <v>574</v>
      </c>
      <c r="B745" s="275">
        <v>0.99410318905494366</v>
      </c>
      <c r="C745" s="275">
        <v>1.0095287120834378</v>
      </c>
      <c r="D745" s="275">
        <v>1.0031762373611459</v>
      </c>
      <c r="E745" s="275">
        <f t="shared" si="82"/>
        <v>0.97316968165904427</v>
      </c>
      <c r="F745" s="266"/>
      <c r="G745" s="266"/>
      <c r="H745" s="266"/>
      <c r="I745" s="266"/>
      <c r="J745" s="267"/>
    </row>
    <row r="746" spans="1:10" x14ac:dyDescent="0.2">
      <c r="A746" s="265" t="s">
        <v>575</v>
      </c>
      <c r="B746" s="297">
        <v>1.0099752422488564</v>
      </c>
      <c r="C746" s="297">
        <v>1.0050974522479115</v>
      </c>
      <c r="D746" s="297">
        <v>1.0016991507493038</v>
      </c>
      <c r="E746" s="297">
        <f t="shared" si="82"/>
        <v>0.99922998787640482</v>
      </c>
      <c r="F746" s="266"/>
      <c r="G746" s="266"/>
      <c r="H746" s="266"/>
      <c r="I746" s="266"/>
      <c r="J746" s="267"/>
    </row>
    <row r="747" spans="1:10" x14ac:dyDescent="0.2">
      <c r="A747" s="265" t="s">
        <v>312</v>
      </c>
      <c r="B747" s="281">
        <v>1.0099752422488564</v>
      </c>
      <c r="C747" s="281">
        <v>1.0050974522479115</v>
      </c>
      <c r="D747" s="281">
        <v>1.0016991507493038</v>
      </c>
      <c r="E747" s="281">
        <f t="shared" si="82"/>
        <v>0.99922998787640471</v>
      </c>
      <c r="F747" s="266"/>
      <c r="G747" s="266"/>
      <c r="H747" s="266"/>
      <c r="I747" s="266"/>
      <c r="J747" s="267"/>
    </row>
    <row r="748" spans="1:10" x14ac:dyDescent="0.2">
      <c r="A748" s="265"/>
      <c r="B748" s="266"/>
      <c r="C748" s="266"/>
      <c r="D748" s="266"/>
      <c r="E748" s="266"/>
      <c r="F748" s="266"/>
      <c r="G748" s="266"/>
      <c r="H748" s="266"/>
      <c r="I748" s="266"/>
      <c r="J748" s="267"/>
    </row>
    <row r="749" spans="1:10" x14ac:dyDescent="0.2">
      <c r="A749" s="265"/>
      <c r="B749" s="266"/>
      <c r="C749" s="266"/>
      <c r="D749" s="266"/>
      <c r="E749" s="1636" t="s">
        <v>576</v>
      </c>
      <c r="F749" s="1636"/>
      <c r="G749" s="1636"/>
      <c r="H749" s="1636"/>
      <c r="I749" s="1636"/>
      <c r="J749" s="268"/>
    </row>
    <row r="750" spans="1:10" x14ac:dyDescent="0.2">
      <c r="A750" s="265" t="s">
        <v>577</v>
      </c>
      <c r="B750" s="266"/>
      <c r="C750" s="266" t="s">
        <v>578</v>
      </c>
      <c r="D750" s="266" t="s">
        <v>578</v>
      </c>
      <c r="E750" s="266"/>
      <c r="F750" s="266"/>
      <c r="G750" s="266"/>
      <c r="H750" s="266"/>
      <c r="I750" s="266"/>
      <c r="J750" s="267"/>
    </row>
    <row r="751" spans="1:10" x14ac:dyDescent="0.2">
      <c r="A751" s="265"/>
      <c r="B751" s="266" t="s">
        <v>1050</v>
      </c>
      <c r="C751" s="266">
        <v>2000</v>
      </c>
      <c r="D751" s="266">
        <v>2005</v>
      </c>
      <c r="E751" s="266">
        <v>2020</v>
      </c>
      <c r="F751" s="266">
        <v>2035</v>
      </c>
      <c r="G751" s="266">
        <v>2050</v>
      </c>
      <c r="H751" s="266">
        <v>2065</v>
      </c>
      <c r="I751" s="266">
        <v>2080</v>
      </c>
      <c r="J751" s="267"/>
    </row>
    <row r="752" spans="1:10" x14ac:dyDescent="0.2">
      <c r="A752" s="265" t="s">
        <v>569</v>
      </c>
      <c r="B752" s="266" t="s">
        <v>579</v>
      </c>
      <c r="C752" s="266">
        <v>25.276500000000002</v>
      </c>
      <c r="D752" s="266">
        <v>25.071000000000002</v>
      </c>
      <c r="E752" s="266">
        <v>24.427484559</v>
      </c>
      <c r="F752" s="266">
        <v>26.147942478000001</v>
      </c>
      <c r="G752" s="266">
        <v>27.297862937999998</v>
      </c>
      <c r="H752" s="266">
        <v>28.074449492999999</v>
      </c>
      <c r="I752" s="266">
        <v>29.9967939</v>
      </c>
      <c r="J752" s="267"/>
    </row>
    <row r="753" spans="1:10" x14ac:dyDescent="0.2">
      <c r="A753" s="265" t="s">
        <v>570</v>
      </c>
      <c r="B753" s="266" t="s">
        <v>580</v>
      </c>
      <c r="C753" s="266">
        <v>3.83</v>
      </c>
      <c r="D753" s="266">
        <v>2.88</v>
      </c>
      <c r="E753" s="266">
        <v>3.1020351176470586</v>
      </c>
      <c r="F753" s="266">
        <v>3.5179781764705877</v>
      </c>
      <c r="G753" s="266">
        <v>4.2559817058823528</v>
      </c>
      <c r="H753" s="266">
        <v>4.9919869411764699</v>
      </c>
      <c r="I753" s="266">
        <v>5.7211905294117642</v>
      </c>
      <c r="J753" s="267"/>
    </row>
    <row r="754" spans="1:10" x14ac:dyDescent="0.2">
      <c r="A754" s="265" t="s">
        <v>571</v>
      </c>
      <c r="B754" s="266" t="s">
        <v>580</v>
      </c>
      <c r="C754" s="266">
        <v>4.333333333333333</v>
      </c>
      <c r="D754" s="266">
        <v>3.2058823529411766</v>
      </c>
      <c r="E754" s="266">
        <v>4.0727964705882354</v>
      </c>
      <c r="F754" s="266">
        <v>4.4965961764705868</v>
      </c>
      <c r="G754" s="266">
        <v>5.2600686470588229</v>
      </c>
      <c r="H754" s="266">
        <v>6.0413271764705883</v>
      </c>
      <c r="I754" s="266">
        <v>6.8262844117647052</v>
      </c>
      <c r="J754" s="267"/>
    </row>
    <row r="755" spans="1:10" x14ac:dyDescent="0.2">
      <c r="A755" s="265" t="s">
        <v>572</v>
      </c>
      <c r="B755" s="266" t="s">
        <v>581</v>
      </c>
      <c r="C755" s="266">
        <v>28.35</v>
      </c>
      <c r="D755" s="266">
        <v>23.27</v>
      </c>
      <c r="E755" s="266">
        <v>17.294973600000002</v>
      </c>
      <c r="F755" s="266">
        <v>23.583333599999996</v>
      </c>
      <c r="G755" s="266">
        <v>27.327535199999996</v>
      </c>
      <c r="H755" s="266">
        <v>29.661571199999997</v>
      </c>
      <c r="I755" s="266"/>
      <c r="J755" s="267"/>
    </row>
    <row r="756" spans="1:10" x14ac:dyDescent="0.2">
      <c r="A756" s="265" t="s">
        <v>573</v>
      </c>
      <c r="B756" s="266" t="s">
        <v>582</v>
      </c>
      <c r="C756" s="266">
        <v>1.5176666666666667</v>
      </c>
      <c r="D756" s="266">
        <v>1.2925714285714285</v>
      </c>
      <c r="E756" s="266">
        <v>0.93587519480519499</v>
      </c>
      <c r="F756" s="266">
        <v>1.2761544155844153</v>
      </c>
      <c r="G756" s="266">
        <v>1.4787627272727271</v>
      </c>
      <c r="H756" s="266">
        <v>1.6050633766233764</v>
      </c>
      <c r="I756" s="266"/>
      <c r="J756" s="267"/>
    </row>
    <row r="757" spans="1:10" x14ac:dyDescent="0.2">
      <c r="A757" s="265" t="s">
        <v>574</v>
      </c>
      <c r="B757" s="266" t="s">
        <v>583</v>
      </c>
      <c r="C757" s="266">
        <v>6.9</v>
      </c>
      <c r="D757" s="266">
        <v>6.4</v>
      </c>
      <c r="E757" s="266">
        <v>6.9130361604720001</v>
      </c>
      <c r="F757" s="266">
        <v>6.7275571995839982</v>
      </c>
      <c r="G757" s="266">
        <v>6.6878860666559987</v>
      </c>
      <c r="H757" s="266">
        <v>6.7516130074319989</v>
      </c>
      <c r="I757" s="266">
        <v>6.8294477356799987</v>
      </c>
      <c r="J757" s="267"/>
    </row>
    <row r="758" spans="1:10" x14ac:dyDescent="0.2">
      <c r="A758" s="265" t="s">
        <v>575</v>
      </c>
      <c r="B758" s="266" t="s">
        <v>584</v>
      </c>
      <c r="C758" s="266"/>
      <c r="D758" s="266"/>
      <c r="E758" s="266">
        <v>3.8637053999999993</v>
      </c>
      <c r="F758" s="266">
        <v>3.8607302999999993</v>
      </c>
      <c r="G758" s="266">
        <v>3.8992420199999995</v>
      </c>
      <c r="H758" s="266">
        <v>3.9191182199999997</v>
      </c>
      <c r="I758" s="266">
        <v>4.4580291000000001</v>
      </c>
      <c r="J758" s="267"/>
    </row>
    <row r="759" spans="1:10" x14ac:dyDescent="0.2">
      <c r="A759" s="265" t="s">
        <v>312</v>
      </c>
      <c r="B759" s="266" t="s">
        <v>584</v>
      </c>
      <c r="C759" s="266"/>
      <c r="D759" s="266"/>
      <c r="E759" s="266">
        <v>19.318526999999996</v>
      </c>
      <c r="F759" s="266">
        <v>19.303651499999994</v>
      </c>
      <c r="G759" s="266">
        <v>19.496210099999995</v>
      </c>
      <c r="H759" s="266">
        <v>19.595591099999996</v>
      </c>
      <c r="I759" s="266">
        <v>22.290145499999998</v>
      </c>
      <c r="J759" s="267"/>
    </row>
    <row r="760" spans="1:10" x14ac:dyDescent="0.2">
      <c r="A760" s="265"/>
      <c r="B760" s="266"/>
      <c r="C760" s="266"/>
      <c r="D760" s="266"/>
      <c r="E760" s="266"/>
      <c r="F760" s="266"/>
      <c r="G760" s="266"/>
      <c r="H760" s="266"/>
      <c r="I760" s="266"/>
      <c r="J760" s="267"/>
    </row>
    <row r="761" spans="1:10" ht="38.25" x14ac:dyDescent="0.2">
      <c r="A761" s="269" t="s">
        <v>585</v>
      </c>
      <c r="B761" s="266" t="s">
        <v>579</v>
      </c>
      <c r="C761" s="266"/>
      <c r="D761" s="266"/>
      <c r="E761" s="266">
        <v>76.455732879999985</v>
      </c>
      <c r="F761" s="266">
        <v>76.404561159999986</v>
      </c>
      <c r="G761" s="266">
        <v>77.066962743999994</v>
      </c>
      <c r="H761" s="266">
        <v>77.40883338399999</v>
      </c>
      <c r="I761" s="266">
        <v>86.678100520000001</v>
      </c>
      <c r="J761" s="267"/>
    </row>
    <row r="762" spans="1:10" ht="13.5" thickBot="1" x14ac:dyDescent="0.25">
      <c r="A762" s="270"/>
      <c r="B762" s="271">
        <v>17.2</v>
      </c>
      <c r="C762" s="271" t="s">
        <v>586</v>
      </c>
      <c r="D762" s="271"/>
      <c r="E762" s="271"/>
      <c r="F762" s="271"/>
      <c r="G762" s="271"/>
      <c r="H762" s="271"/>
      <c r="I762" s="271"/>
      <c r="J762" s="272"/>
    </row>
    <row r="763" spans="1:10" ht="13.5" thickTop="1" x14ac:dyDescent="0.2"/>
    <row r="764" spans="1:10" x14ac:dyDescent="0.2">
      <c r="A764" s="463" t="s">
        <v>813</v>
      </c>
    </row>
    <row r="765" spans="1:10" x14ac:dyDescent="0.2">
      <c r="A765" t="s">
        <v>807</v>
      </c>
    </row>
    <row r="766" spans="1:10" x14ac:dyDescent="0.2">
      <c r="A766" t="s">
        <v>808</v>
      </c>
    </row>
    <row r="767" spans="1:10" x14ac:dyDescent="0.2">
      <c r="A767" t="s">
        <v>809</v>
      </c>
    </row>
    <row r="769" spans="1:27" x14ac:dyDescent="0.2">
      <c r="A769" t="s">
        <v>447</v>
      </c>
    </row>
    <row r="770" spans="1:27" x14ac:dyDescent="0.2">
      <c r="A770" t="s">
        <v>722</v>
      </c>
    </row>
    <row r="773" spans="1:27" x14ac:dyDescent="0.2">
      <c r="AA773" t="s">
        <v>810</v>
      </c>
    </row>
    <row r="774" spans="1:27" x14ac:dyDescent="0.2">
      <c r="B774" t="s">
        <v>453</v>
      </c>
      <c r="C774" t="s">
        <v>454</v>
      </c>
      <c r="D774" t="s">
        <v>455</v>
      </c>
      <c r="E774" t="s">
        <v>456</v>
      </c>
      <c r="F774" t="s">
        <v>457</v>
      </c>
      <c r="G774" t="s">
        <v>458</v>
      </c>
      <c r="H774" t="s">
        <v>459</v>
      </c>
      <c r="I774" t="s">
        <v>460</v>
      </c>
      <c r="J774" t="s">
        <v>461</v>
      </c>
      <c r="K774" t="s">
        <v>462</v>
      </c>
      <c r="L774" t="s">
        <v>463</v>
      </c>
      <c r="M774" t="s">
        <v>464</v>
      </c>
      <c r="N774" t="s">
        <v>465</v>
      </c>
      <c r="O774" t="s">
        <v>466</v>
      </c>
      <c r="P774" t="s">
        <v>467</v>
      </c>
      <c r="Q774" t="s">
        <v>468</v>
      </c>
      <c r="R774" t="s">
        <v>469</v>
      </c>
      <c r="S774" t="s">
        <v>470</v>
      </c>
      <c r="T774" t="s">
        <v>471</v>
      </c>
      <c r="U774" t="s">
        <v>472</v>
      </c>
      <c r="V774" t="s">
        <v>604</v>
      </c>
      <c r="W774" t="s">
        <v>605</v>
      </c>
      <c r="X774" t="s">
        <v>606</v>
      </c>
      <c r="Y774" t="s">
        <v>607</v>
      </c>
      <c r="Z774" t="s">
        <v>608</v>
      </c>
      <c r="AA774" t="s">
        <v>608</v>
      </c>
    </row>
    <row r="777" spans="1:27" x14ac:dyDescent="0.2">
      <c r="A777" t="s">
        <v>473</v>
      </c>
    </row>
    <row r="778" spans="1:27" x14ac:dyDescent="0.2">
      <c r="A778" t="s">
        <v>609</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
      <c r="A779" t="s">
        <v>610</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
      <c r="A780" t="s">
        <v>510</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
      <c r="A781" t="s">
        <v>479</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
      <c r="A783" t="s">
        <v>480</v>
      </c>
    </row>
    <row r="784" spans="1:27" x14ac:dyDescent="0.2">
      <c r="A784" t="s">
        <v>609</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
      <c r="A785" t="s">
        <v>610</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
      <c r="A786" t="s">
        <v>723</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
      <c r="A787" t="s">
        <v>510</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
      <c r="A788" t="s">
        <v>479</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
      <c r="A790" t="s">
        <v>612</v>
      </c>
    </row>
    <row r="791" spans="1:27" x14ac:dyDescent="0.2">
      <c r="A791" t="s">
        <v>609</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
      <c r="A792" t="s">
        <v>610</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
      <c r="A793" t="s">
        <v>611</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
      <c r="A794" t="s">
        <v>613</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
      <c r="A795" t="s">
        <v>614</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
      <c r="A796" t="s">
        <v>615</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
      <c r="A797" t="s">
        <v>616</v>
      </c>
      <c r="B797" t="s">
        <v>788</v>
      </c>
      <c r="C797" t="s">
        <v>788</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788</v>
      </c>
    </row>
    <row r="798" spans="1:27" x14ac:dyDescent="0.2">
      <c r="A798" t="s">
        <v>479</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
      <c r="A800" t="s">
        <v>487</v>
      </c>
    </row>
    <row r="801" spans="1:27" x14ac:dyDescent="0.2">
      <c r="A801" t="s">
        <v>617</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
      <c r="A802" t="s">
        <v>618</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
      <c r="A803" t="s">
        <v>619</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
      <c r="A804" t="s">
        <v>620</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
      <c r="A805" t="s">
        <v>724</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
      <c r="A806" t="s">
        <v>611</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
      <c r="A807" t="s">
        <v>622</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
      <c r="A808" t="s">
        <v>479</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
      <c r="A810" t="s">
        <v>623</v>
      </c>
    </row>
    <row r="811" spans="1:27" x14ac:dyDescent="0.2">
      <c r="A811" t="s">
        <v>610</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
      <c r="A812" t="s">
        <v>611</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
      <c r="A813" t="s">
        <v>510</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
      <c r="A814" t="s">
        <v>624</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
      <c r="A816" t="s">
        <v>625</v>
      </c>
    </row>
    <row r="817" spans="1:27" x14ac:dyDescent="0.2">
      <c r="A817" t="s">
        <v>609</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
      <c r="A818" t="s">
        <v>618</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
      <c r="A819" t="s">
        <v>619</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
      <c r="A820" t="s">
        <v>626</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
      <c r="A821" t="s">
        <v>610</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
      <c r="A822" t="s">
        <v>611</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
      <c r="A823" t="s">
        <v>510</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
      <c r="A824" t="s">
        <v>614</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
      <c r="A825" t="s">
        <v>627</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
      <c r="A826" t="s">
        <v>616</v>
      </c>
      <c r="B826" t="s">
        <v>788</v>
      </c>
      <c r="C826" t="s">
        <v>788</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788</v>
      </c>
    </row>
    <row r="827" spans="1:27" x14ac:dyDescent="0.2">
      <c r="A827" t="s">
        <v>479</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
      <c r="A829" t="s">
        <v>513</v>
      </c>
    </row>
    <row r="830" spans="1:27" x14ac:dyDescent="0.2">
      <c r="A830" t="s">
        <v>725</v>
      </c>
    </row>
    <row r="831" spans="1:27" x14ac:dyDescent="0.2">
      <c r="A831" t="s">
        <v>473</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
      <c r="A832" t="s">
        <v>480</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
      <c r="A833" t="s">
        <v>515</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
      <c r="A834" t="s">
        <v>487</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
      <c r="A835" t="s">
        <v>516</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
      <c r="A836" t="s">
        <v>629</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
      <c r="A837" t="s">
        <v>518</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
      <c r="A840" t="s">
        <v>726</v>
      </c>
    </row>
    <row r="841" spans="1:27" x14ac:dyDescent="0.2">
      <c r="A841" t="s">
        <v>473</v>
      </c>
    </row>
    <row r="842" spans="1:27" x14ac:dyDescent="0.2">
      <c r="A842" t="s">
        <v>609</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
      <c r="A843" t="s">
        <v>610</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
      <c r="A844" t="s">
        <v>510</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
      <c r="A845" t="s">
        <v>479</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
      <c r="A847" t="s">
        <v>480</v>
      </c>
    </row>
    <row r="848" spans="1:27" x14ac:dyDescent="0.2">
      <c r="A848" t="s">
        <v>609</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
      <c r="A849" t="s">
        <v>610</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
      <c r="A850" t="s">
        <v>723</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
      <c r="A851" t="s">
        <v>510</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
      <c r="A852" t="s">
        <v>479</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
      <c r="A854" t="s">
        <v>612</v>
      </c>
    </row>
    <row r="855" spans="1:27" x14ac:dyDescent="0.2">
      <c r="A855" t="s">
        <v>609</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
      <c r="A856" t="s">
        <v>610</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
      <c r="A857" t="s">
        <v>611</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
      <c r="A858" t="s">
        <v>613</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
      <c r="A859" t="s">
        <v>614</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
      <c r="A860" t="s">
        <v>615</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
      <c r="A861" t="s">
        <v>616</v>
      </c>
      <c r="B861" t="s">
        <v>788</v>
      </c>
      <c r="C861" t="s">
        <v>788</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788</v>
      </c>
    </row>
    <row r="862" spans="1:27" x14ac:dyDescent="0.2">
      <c r="A862" t="s">
        <v>479</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
      <c r="A864" s="305" t="s">
        <v>487</v>
      </c>
      <c r="B864" s="305"/>
      <c r="C864" s="305"/>
      <c r="D864" s="305"/>
      <c r="E864" s="305"/>
      <c r="F864" s="305"/>
      <c r="G864" s="305"/>
      <c r="H864" s="305"/>
      <c r="I864" s="305"/>
      <c r="J864" s="305"/>
      <c r="K864" s="305"/>
      <c r="L864" s="305"/>
      <c r="M864" s="305"/>
      <c r="N864" s="305"/>
      <c r="O864" s="305"/>
      <c r="P864" s="305"/>
      <c r="Q864" s="305"/>
      <c r="R864" s="305"/>
      <c r="S864" s="305"/>
      <c r="T864" s="305"/>
      <c r="U864" s="305"/>
      <c r="V864" s="305"/>
      <c r="W864" s="305"/>
      <c r="X864" s="305"/>
      <c r="Y864" s="305"/>
      <c r="Z864" s="305"/>
    </row>
    <row r="865" spans="1:27" x14ac:dyDescent="0.2">
      <c r="A865" t="s">
        <v>617</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
      <c r="A866" t="s">
        <v>618</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
      <c r="A867" t="s">
        <v>619</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
      <c r="A868" t="s">
        <v>620</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
      <c r="A869" t="s">
        <v>724</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
      <c r="A870" t="s">
        <v>611</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
      <c r="A871" t="s">
        <v>622</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
      <c r="A872" t="s">
        <v>479</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
      <c r="A874" t="s">
        <v>623</v>
      </c>
    </row>
    <row r="875" spans="1:27" x14ac:dyDescent="0.2">
      <c r="A875" t="s">
        <v>610</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
      <c r="A876" t="s">
        <v>611</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
      <c r="A877" t="s">
        <v>510</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
      <c r="A878" t="s">
        <v>624</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
      <c r="A880" t="s">
        <v>625</v>
      </c>
    </row>
    <row r="881" spans="1:27" x14ac:dyDescent="0.2">
      <c r="A881" t="s">
        <v>609</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
      <c r="A882" t="s">
        <v>618</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
      <c r="A883" t="s">
        <v>619</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
      <c r="A884" t="s">
        <v>626</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
      <c r="A885" t="s">
        <v>610</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
      <c r="A886" t="s">
        <v>611</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
      <c r="A887" t="s">
        <v>510</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
      <c r="A888" t="s">
        <v>614</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
      <c r="A889" t="s">
        <v>627</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
      <c r="A890" t="s">
        <v>616</v>
      </c>
      <c r="B890" t="s">
        <v>788</v>
      </c>
      <c r="C890" t="s">
        <v>788</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788</v>
      </c>
    </row>
    <row r="891" spans="1:27" x14ac:dyDescent="0.2">
      <c r="A891" t="s">
        <v>479</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
      <c r="A893" t="s">
        <v>513</v>
      </c>
    </row>
    <row r="894" spans="1:27" x14ac:dyDescent="0.2">
      <c r="A894" t="s">
        <v>727</v>
      </c>
    </row>
    <row r="895" spans="1:27" x14ac:dyDescent="0.2">
      <c r="A895" t="s">
        <v>473</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
      <c r="A896" t="s">
        <v>480</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
      <c r="A897" t="s">
        <v>515</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
      <c r="A898" t="s">
        <v>487</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
      <c r="A899" t="s">
        <v>516</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
      <c r="A900" t="s">
        <v>629</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
      <c r="A901" t="s">
        <v>518</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
      <c r="A905" t="s">
        <v>630</v>
      </c>
    </row>
    <row r="906" spans="1:27" x14ac:dyDescent="0.2">
      <c r="A906" t="s">
        <v>631</v>
      </c>
    </row>
    <row r="907" spans="1:27" x14ac:dyDescent="0.2">
      <c r="A907" t="s">
        <v>632</v>
      </c>
    </row>
    <row r="908" spans="1:27" x14ac:dyDescent="0.2">
      <c r="A908" t="s">
        <v>728</v>
      </c>
    </row>
    <row r="909" spans="1:27" x14ac:dyDescent="0.2">
      <c r="A909" t="s">
        <v>729</v>
      </c>
    </row>
    <row r="910" spans="1:27" x14ac:dyDescent="0.2">
      <c r="A910" t="s">
        <v>649</v>
      </c>
    </row>
    <row r="911" spans="1:27" x14ac:dyDescent="0.2">
      <c r="A911" t="s">
        <v>650</v>
      </c>
    </row>
    <row r="912" spans="1:27" x14ac:dyDescent="0.2">
      <c r="A912" t="s">
        <v>651</v>
      </c>
    </row>
    <row r="913" spans="1:1" x14ac:dyDescent="0.2">
      <c r="A913" t="s">
        <v>652</v>
      </c>
    </row>
    <row r="914" spans="1:1" x14ac:dyDescent="0.2">
      <c r="A914" t="s">
        <v>653</v>
      </c>
    </row>
    <row r="915" spans="1:1" x14ac:dyDescent="0.2">
      <c r="A915" t="s">
        <v>654</v>
      </c>
    </row>
    <row r="916" spans="1:1" x14ac:dyDescent="0.2">
      <c r="A916" t="s">
        <v>545</v>
      </c>
    </row>
    <row r="917" spans="1:1" x14ac:dyDescent="0.2">
      <c r="A917" t="s">
        <v>730</v>
      </c>
    </row>
    <row r="918" spans="1:1" x14ac:dyDescent="0.2">
      <c r="A918" t="s">
        <v>731</v>
      </c>
    </row>
    <row r="919" spans="1:1" x14ac:dyDescent="0.2">
      <c r="A919" t="s">
        <v>732</v>
      </c>
    </row>
    <row r="920" spans="1:1" x14ac:dyDescent="0.2">
      <c r="A920" t="s">
        <v>733</v>
      </c>
    </row>
    <row r="921" spans="1:1" x14ac:dyDescent="0.2">
      <c r="A921" t="s">
        <v>734</v>
      </c>
    </row>
    <row r="922" spans="1:1" x14ac:dyDescent="0.2">
      <c r="A922" t="s">
        <v>735</v>
      </c>
    </row>
    <row r="923" spans="1:1" x14ac:dyDescent="0.2">
      <c r="A923" t="s">
        <v>736</v>
      </c>
    </row>
    <row r="924" spans="1:1" x14ac:dyDescent="0.2">
      <c r="A924" t="s">
        <v>737</v>
      </c>
    </row>
    <row r="925" spans="1:1" x14ac:dyDescent="0.2">
      <c r="A925" t="s">
        <v>738</v>
      </c>
    </row>
    <row r="926" spans="1:1" x14ac:dyDescent="0.2">
      <c r="A926" t="s">
        <v>739</v>
      </c>
    </row>
    <row r="927" spans="1:1" x14ac:dyDescent="0.2">
      <c r="A927" t="s">
        <v>811</v>
      </c>
    </row>
    <row r="928" spans="1:1" x14ac:dyDescent="0.2">
      <c r="A928" t="s">
        <v>741</v>
      </c>
    </row>
    <row r="929" spans="1:1" x14ac:dyDescent="0.2">
      <c r="A929" t="s">
        <v>812</v>
      </c>
    </row>
  </sheetData>
  <mergeCells count="26">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 ref="J27:K27"/>
    <mergeCell ref="J28:J29"/>
    <mergeCell ref="K28:K29"/>
    <mergeCell ref="A36:D37"/>
    <mergeCell ref="A56:K56"/>
    <mergeCell ref="A38:B38"/>
    <mergeCell ref="E38:I38"/>
    <mergeCell ref="J45:K48"/>
    <mergeCell ref="A53:K53"/>
    <mergeCell ref="A54:K55"/>
  </mergeCells>
  <phoneticPr fontId="2"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zoomScaleNormal="100" workbookViewId="0"/>
  </sheetViews>
  <sheetFormatPr defaultRowHeight="12.75" x14ac:dyDescent="0.2"/>
  <cols>
    <col min="1" max="1" width="33" customWidth="1"/>
    <col min="2" max="2" width="28.5703125" customWidth="1"/>
    <col min="3" max="3" width="14" customWidth="1"/>
    <col min="4" max="4" width="12.85546875" customWidth="1"/>
    <col min="5" max="5" width="15.140625" customWidth="1"/>
    <col min="6" max="6" width="21.42578125" customWidth="1"/>
    <col min="7" max="8" width="14" customWidth="1"/>
    <col min="9" max="9" width="15.140625" customWidth="1"/>
    <col min="10" max="10" width="17.7109375" customWidth="1"/>
    <col min="11" max="11" width="19.28515625" customWidth="1"/>
    <col min="12" max="12" width="17.140625" customWidth="1"/>
    <col min="13" max="14" width="18.7109375" customWidth="1"/>
    <col min="15" max="15" width="8.5703125" customWidth="1"/>
    <col min="16" max="18" width="18.7109375" customWidth="1"/>
    <col min="19" max="20" width="13.42578125" customWidth="1"/>
    <col min="23" max="23" width="12.42578125" bestFit="1" customWidth="1"/>
  </cols>
  <sheetData>
    <row r="1" spans="1:23" ht="15" x14ac:dyDescent="0.25">
      <c r="A1" s="539" t="s">
        <v>301</v>
      </c>
      <c r="B1" s="540"/>
      <c r="C1" s="540"/>
      <c r="D1" s="541"/>
      <c r="E1" s="540"/>
      <c r="F1" s="540"/>
      <c r="G1" s="540"/>
      <c r="H1" s="540"/>
      <c r="I1" s="540"/>
      <c r="J1" s="540"/>
      <c r="K1" s="540"/>
    </row>
    <row r="2" spans="1:23" ht="12.75" customHeight="1" x14ac:dyDescent="0.2">
      <c r="A2" s="1657" t="s">
        <v>869</v>
      </c>
      <c r="B2" s="1658"/>
      <c r="C2" s="1658"/>
      <c r="D2" s="1658"/>
      <c r="E2" s="1658"/>
      <c r="F2" s="1658"/>
      <c r="G2" s="1658"/>
      <c r="H2" s="1658"/>
      <c r="I2" s="1658"/>
      <c r="J2" s="1658"/>
      <c r="K2" s="1658"/>
    </row>
    <row r="3" spans="1:23" ht="13.5" thickBot="1" x14ac:dyDescent="0.25">
      <c r="A3" s="1659"/>
      <c r="B3" s="1659"/>
      <c r="C3" s="1659"/>
      <c r="D3" s="1659"/>
      <c r="E3" s="1659"/>
      <c r="F3" s="1659"/>
      <c r="G3" s="1659"/>
      <c r="H3" s="1659"/>
      <c r="I3" s="1659"/>
      <c r="J3" s="1659"/>
      <c r="K3" s="1659"/>
    </row>
    <row r="4" spans="1:23" ht="15" x14ac:dyDescent="0.25">
      <c r="A4" s="3" t="s">
        <v>302</v>
      </c>
      <c r="B4" s="4"/>
      <c r="C4" s="1660" t="s">
        <v>303</v>
      </c>
      <c r="D4" s="1660"/>
      <c r="E4" s="1660"/>
      <c r="F4" s="5"/>
      <c r="G4" s="1660" t="s">
        <v>304</v>
      </c>
      <c r="H4" s="1660"/>
      <c r="I4" s="1660"/>
      <c r="J4" s="5"/>
      <c r="K4" s="6" t="s">
        <v>305</v>
      </c>
      <c r="O4" s="2" t="s">
        <v>633</v>
      </c>
    </row>
    <row r="5" spans="1:23" x14ac:dyDescent="0.2">
      <c r="A5" s="7" t="s">
        <v>870</v>
      </c>
      <c r="B5" s="8"/>
      <c r="C5" s="9" t="s">
        <v>871</v>
      </c>
      <c r="D5" s="9" t="s">
        <v>306</v>
      </c>
      <c r="E5" s="9" t="s">
        <v>307</v>
      </c>
      <c r="F5" s="9"/>
      <c r="G5" s="9" t="s">
        <v>871</v>
      </c>
      <c r="H5" s="9" t="s">
        <v>306</v>
      </c>
      <c r="I5" s="9" t="s">
        <v>307</v>
      </c>
      <c r="J5" s="9"/>
      <c r="K5" s="10" t="s">
        <v>872</v>
      </c>
      <c r="O5" s="1"/>
      <c r="P5" s="1"/>
      <c r="Q5" s="550"/>
      <c r="R5" s="550">
        <v>2005</v>
      </c>
      <c r="S5" s="550">
        <v>2007</v>
      </c>
      <c r="T5" s="550">
        <v>2005</v>
      </c>
      <c r="U5" s="550">
        <v>2007</v>
      </c>
      <c r="V5" s="549"/>
      <c r="W5" s="549"/>
    </row>
    <row r="6" spans="1:23" x14ac:dyDescent="0.2">
      <c r="A6" s="15" t="s">
        <v>529</v>
      </c>
      <c r="B6" s="12"/>
      <c r="C6" s="13">
        <v>983</v>
      </c>
      <c r="D6" s="14">
        <f>C6/$K6*453.59</f>
        <v>20267.225909090906</v>
      </c>
      <c r="E6" s="542">
        <f>D6*1.05506/1000*2.2046</f>
        <v>47.141269049911173</v>
      </c>
      <c r="F6" s="13"/>
      <c r="G6" s="13">
        <v>1089</v>
      </c>
      <c r="H6" s="14">
        <f>G6/$K6*453.59</f>
        <v>22452.704999999998</v>
      </c>
      <c r="I6" s="542">
        <f>H6*1.05506/1000*2.2046</f>
        <v>52.224661236371581</v>
      </c>
      <c r="J6" s="13"/>
      <c r="K6" s="543">
        <v>22</v>
      </c>
      <c r="O6" s="1" t="s">
        <v>248</v>
      </c>
      <c r="P6" s="1" t="s">
        <v>1050</v>
      </c>
      <c r="Q6" s="550" t="s">
        <v>637</v>
      </c>
      <c r="R6" s="550" t="s">
        <v>636</v>
      </c>
      <c r="S6" s="550" t="s">
        <v>636</v>
      </c>
      <c r="T6" s="550" t="s">
        <v>1039</v>
      </c>
      <c r="U6" s="550" t="s">
        <v>1039</v>
      </c>
      <c r="V6" s="549"/>
      <c r="W6" s="549"/>
    </row>
    <row r="7" spans="1:23" x14ac:dyDescent="0.2">
      <c r="A7" s="15" t="s">
        <v>873</v>
      </c>
      <c r="B7" s="16"/>
      <c r="C7" s="544">
        <v>290</v>
      </c>
      <c r="D7" s="17">
        <f t="shared" ref="D7:D40" si="0">C7/K7*453.59</f>
        <v>51682.028917177428</v>
      </c>
      <c r="E7" s="545">
        <f t="shared" ref="E7:E40" si="1">D7*1.05506/1000*2.2046</f>
        <v>120.21163829516094</v>
      </c>
      <c r="F7" s="18"/>
      <c r="G7" s="19">
        <v>343</v>
      </c>
      <c r="H7" s="17">
        <f t="shared" ref="H7:H40" si="2">G7/$K7*453.59</f>
        <v>61127.365236523648</v>
      </c>
      <c r="I7" s="545">
        <f t="shared" ref="I7:I40" si="3">H7*1.05506/1000*2.2046</f>
        <v>142.1813515008283</v>
      </c>
      <c r="J7" s="18"/>
      <c r="K7" s="546">
        <v>2.5451999999999999</v>
      </c>
      <c r="O7" t="s">
        <v>852</v>
      </c>
      <c r="P7" t="s">
        <v>638</v>
      </c>
      <c r="Q7" s="549">
        <v>930</v>
      </c>
      <c r="R7" s="549">
        <v>1027</v>
      </c>
      <c r="S7" s="549">
        <v>1030</v>
      </c>
      <c r="T7" s="549">
        <f>R7/Q7</f>
        <v>1.1043010752688172</v>
      </c>
      <c r="U7" s="549">
        <f>S7/Q7</f>
        <v>1.10752688172043</v>
      </c>
      <c r="V7" s="549"/>
      <c r="W7" s="549"/>
    </row>
    <row r="8" spans="1:23" x14ac:dyDescent="0.2">
      <c r="A8" s="15" t="s">
        <v>874</v>
      </c>
      <c r="B8" s="16"/>
      <c r="C8" s="544">
        <v>1458</v>
      </c>
      <c r="D8" s="17">
        <f t="shared" si="0"/>
        <v>20162.628658536585</v>
      </c>
      <c r="E8" s="542">
        <f t="shared" si="1"/>
        <v>46.897977385211739</v>
      </c>
      <c r="F8" s="18"/>
      <c r="G8" s="19">
        <v>1584</v>
      </c>
      <c r="H8" s="17">
        <f t="shared" si="2"/>
        <v>21905.078048780488</v>
      </c>
      <c r="I8" s="542">
        <f t="shared" si="3"/>
        <v>50.950889011094226</v>
      </c>
      <c r="J8" s="18"/>
      <c r="K8" s="20">
        <v>32.799999999999997</v>
      </c>
      <c r="O8" t="s">
        <v>853</v>
      </c>
      <c r="P8" t="s">
        <v>638</v>
      </c>
      <c r="Q8" s="549">
        <v>930</v>
      </c>
      <c r="R8" s="549">
        <v>1027</v>
      </c>
      <c r="S8" s="549">
        <v>1030</v>
      </c>
      <c r="T8" s="549">
        <f>R8/Q8</f>
        <v>1.1043010752688172</v>
      </c>
      <c r="U8" s="549">
        <f>S8/Q8</f>
        <v>1.10752688172043</v>
      </c>
      <c r="V8" s="549"/>
      <c r="W8" s="549"/>
    </row>
    <row r="9" spans="1:23" x14ac:dyDescent="0.2">
      <c r="A9" s="7" t="s">
        <v>308</v>
      </c>
      <c r="B9" s="8"/>
      <c r="C9" s="9" t="s">
        <v>309</v>
      </c>
      <c r="D9" s="9" t="s">
        <v>306</v>
      </c>
      <c r="E9" s="9" t="s">
        <v>307</v>
      </c>
      <c r="F9" s="9"/>
      <c r="G9" s="9" t="s">
        <v>309</v>
      </c>
      <c r="H9" s="9" t="s">
        <v>306</v>
      </c>
      <c r="I9" s="9" t="s">
        <v>307</v>
      </c>
      <c r="J9" s="9"/>
      <c r="K9" s="10" t="s">
        <v>310</v>
      </c>
      <c r="O9" t="s">
        <v>854</v>
      </c>
      <c r="P9" t="s">
        <v>638</v>
      </c>
      <c r="Q9" s="549">
        <v>930</v>
      </c>
      <c r="R9" s="549">
        <v>1027</v>
      </c>
      <c r="S9" s="549">
        <v>1030</v>
      </c>
      <c r="T9" s="549">
        <f>R9/Q9</f>
        <v>1.1043010752688172</v>
      </c>
      <c r="U9" s="549">
        <f>S9/Q9</f>
        <v>1.10752688172043</v>
      </c>
      <c r="V9" s="549"/>
      <c r="W9" s="549"/>
    </row>
    <row r="10" spans="1:23" x14ac:dyDescent="0.2">
      <c r="A10" s="11" t="s">
        <v>875</v>
      </c>
      <c r="B10" s="16"/>
      <c r="C10" s="19">
        <v>129670</v>
      </c>
      <c r="D10" s="17">
        <f t="shared" si="0"/>
        <v>18351.642839313572</v>
      </c>
      <c r="E10" s="542">
        <f t="shared" si="1"/>
        <v>42.685651034654214</v>
      </c>
      <c r="F10" s="18"/>
      <c r="G10" s="19">
        <v>138350</v>
      </c>
      <c r="H10" s="17">
        <f t="shared" si="2"/>
        <v>19580.086271450855</v>
      </c>
      <c r="I10" s="542">
        <f t="shared" si="3"/>
        <v>45.542992370204438</v>
      </c>
      <c r="J10" s="18"/>
      <c r="K10" s="21">
        <v>3205</v>
      </c>
      <c r="O10" t="s">
        <v>929</v>
      </c>
      <c r="Q10" s="549"/>
      <c r="R10" s="549"/>
      <c r="S10" s="549"/>
      <c r="T10" s="549">
        <v>1</v>
      </c>
      <c r="U10" s="549">
        <v>1</v>
      </c>
      <c r="V10" s="549"/>
      <c r="W10" s="549"/>
    </row>
    <row r="11" spans="1:23" x14ac:dyDescent="0.2">
      <c r="A11" s="11" t="s">
        <v>876</v>
      </c>
      <c r="B11" s="16"/>
      <c r="C11" s="19">
        <v>116090</v>
      </c>
      <c r="D11" s="17">
        <f t="shared" si="0"/>
        <v>18679.412238382403</v>
      </c>
      <c r="E11" s="542">
        <f t="shared" si="1"/>
        <v>43.448037830811678</v>
      </c>
      <c r="F11" s="18"/>
      <c r="G11" s="19">
        <v>124340</v>
      </c>
      <c r="H11" s="17">
        <f t="shared" si="2"/>
        <v>20006.874991131608</v>
      </c>
      <c r="I11" s="542">
        <f t="shared" si="3"/>
        <v>46.535696648144757</v>
      </c>
      <c r="J11" s="18"/>
      <c r="K11" s="21">
        <v>2819</v>
      </c>
      <c r="O11" t="s">
        <v>931</v>
      </c>
      <c r="Q11" s="549"/>
      <c r="R11" s="549"/>
      <c r="S11" s="549"/>
      <c r="T11" s="549">
        <v>1</v>
      </c>
      <c r="U11" s="549">
        <v>1</v>
      </c>
      <c r="V11" s="549"/>
      <c r="W11" s="549"/>
    </row>
    <row r="12" spans="1:23" x14ac:dyDescent="0.2">
      <c r="A12" s="11" t="s">
        <v>877</v>
      </c>
      <c r="B12" s="16"/>
      <c r="C12" s="19">
        <v>113601.50975397152</v>
      </c>
      <c r="D12" s="17">
        <f t="shared" si="0"/>
        <v>18210.67343395916</v>
      </c>
      <c r="E12" s="542">
        <f t="shared" si="1"/>
        <v>42.357758273433376</v>
      </c>
      <c r="F12" s="18"/>
      <c r="G12" s="19">
        <v>121848.38036482914</v>
      </c>
      <c r="H12" s="17">
        <f t="shared" si="2"/>
        <v>19532.672304147527</v>
      </c>
      <c r="I12" s="542">
        <f t="shared" si="3"/>
        <v>45.432708180380153</v>
      </c>
      <c r="J12" s="18"/>
      <c r="K12" s="21">
        <v>2829.5773353012783</v>
      </c>
      <c r="O12" t="s">
        <v>855</v>
      </c>
      <c r="P12" t="s">
        <v>639</v>
      </c>
      <c r="Q12" s="551">
        <v>19546300</v>
      </c>
      <c r="R12" s="551">
        <v>20754000</v>
      </c>
      <c r="S12" s="551">
        <v>20231000</v>
      </c>
      <c r="T12" s="549">
        <f>R12/Q12</f>
        <v>1.0617866296946226</v>
      </c>
      <c r="U12" s="549">
        <f>S12/Q12</f>
        <v>1.0350296475547802</v>
      </c>
      <c r="V12" s="549"/>
      <c r="W12" s="549"/>
    </row>
    <row r="13" spans="1:23" x14ac:dyDescent="0.2">
      <c r="A13" s="11" t="s">
        <v>878</v>
      </c>
      <c r="B13" s="16"/>
      <c r="C13" s="19">
        <v>113927.15396104372</v>
      </c>
      <c r="D13" s="17">
        <f t="shared" si="0"/>
        <v>18271.813278014368</v>
      </c>
      <c r="E13" s="542">
        <f t="shared" si="1"/>
        <v>42.499968650482714</v>
      </c>
      <c r="F13" s="18"/>
      <c r="G13" s="19">
        <v>122174.43408423416</v>
      </c>
      <c r="H13" s="17">
        <f t="shared" si="2"/>
        <v>19594.524828536756</v>
      </c>
      <c r="I13" s="542">
        <f t="shared" si="3"/>
        <v>45.576576241392928</v>
      </c>
      <c r="J13" s="18"/>
      <c r="K13" s="21">
        <v>2828.193183616288</v>
      </c>
      <c r="O13" t="s">
        <v>912</v>
      </c>
      <c r="P13" t="s">
        <v>640</v>
      </c>
      <c r="Q13" s="551">
        <v>128450</v>
      </c>
      <c r="R13" s="551">
        <f>5825000/42</f>
        <v>138690.47619047618</v>
      </c>
      <c r="S13" s="551">
        <f>5799000/42</f>
        <v>138071.42857142858</v>
      </c>
      <c r="T13" s="549">
        <f>R13/Q13</f>
        <v>1.0797234425105191</v>
      </c>
      <c r="U13" s="549">
        <f>S13/Q13</f>
        <v>1.0749040760718458</v>
      </c>
      <c r="V13" s="549"/>
      <c r="W13" s="549"/>
    </row>
    <row r="14" spans="1:23" x14ac:dyDescent="0.2">
      <c r="A14" s="11" t="s">
        <v>879</v>
      </c>
      <c r="B14" s="16"/>
      <c r="C14" s="19">
        <v>128450</v>
      </c>
      <c r="D14" s="17">
        <f t="shared" si="0"/>
        <v>18397.106251973477</v>
      </c>
      <c r="E14" s="542">
        <f t="shared" si="1"/>
        <v>42.791398263097854</v>
      </c>
      <c r="F14" s="18"/>
      <c r="G14" s="19">
        <v>137380</v>
      </c>
      <c r="H14" s="17">
        <f t="shared" si="2"/>
        <v>19676.095421534574</v>
      </c>
      <c r="I14" s="542">
        <f t="shared" si="3"/>
        <v>45.766308239660439</v>
      </c>
      <c r="J14" s="18"/>
      <c r="K14" s="21">
        <v>3167</v>
      </c>
      <c r="O14" t="s">
        <v>910</v>
      </c>
      <c r="P14" t="s">
        <v>640</v>
      </c>
      <c r="Q14" s="551">
        <v>86668</v>
      </c>
      <c r="R14" s="551">
        <v>94706</v>
      </c>
      <c r="S14" s="551">
        <v>94854</v>
      </c>
      <c r="T14" s="549">
        <f>R14/Q14</f>
        <v>1.0927447270041999</v>
      </c>
      <c r="U14" s="549">
        <f>S14/Q14</f>
        <v>1.0944523930401071</v>
      </c>
      <c r="V14" s="549"/>
      <c r="W14" s="549"/>
    </row>
    <row r="15" spans="1:23" x14ac:dyDescent="0.2">
      <c r="A15" s="11" t="s">
        <v>528</v>
      </c>
      <c r="B15" s="16"/>
      <c r="C15" s="19">
        <v>129487.84757606639</v>
      </c>
      <c r="D15" s="17">
        <f t="shared" si="0"/>
        <v>18320.147467881456</v>
      </c>
      <c r="E15" s="542">
        <f t="shared" si="1"/>
        <v>42.612393264440954</v>
      </c>
      <c r="F15" s="18"/>
      <c r="G15" s="19">
        <v>138490</v>
      </c>
      <c r="H15" s="17">
        <f t="shared" si="2"/>
        <v>19593.786369307545</v>
      </c>
      <c r="I15" s="542">
        <f t="shared" si="3"/>
        <v>45.574858596098856</v>
      </c>
      <c r="J15" s="18"/>
      <c r="K15" s="21">
        <v>3206</v>
      </c>
      <c r="O15" t="s">
        <v>856</v>
      </c>
      <c r="P15" t="s">
        <v>640</v>
      </c>
      <c r="Q15" s="551"/>
      <c r="R15" s="551"/>
      <c r="S15" s="551"/>
      <c r="T15" s="549">
        <f>$I$19/$E$19</f>
        <v>1.1388646288209607</v>
      </c>
      <c r="U15" s="549">
        <f>$I$19/$E$19</f>
        <v>1.1388646288209607</v>
      </c>
      <c r="V15" s="549"/>
      <c r="W15" s="549"/>
    </row>
    <row r="16" spans="1:23" x14ac:dyDescent="0.2">
      <c r="A16" s="11" t="s">
        <v>880</v>
      </c>
      <c r="B16" s="16"/>
      <c r="C16" s="19">
        <v>116920</v>
      </c>
      <c r="D16" s="17">
        <f t="shared" si="0"/>
        <v>19320.124881602911</v>
      </c>
      <c r="E16" s="542">
        <f t="shared" si="1"/>
        <v>44.938326005089621</v>
      </c>
      <c r="F16" s="18"/>
      <c r="G16" s="19">
        <v>125080</v>
      </c>
      <c r="H16" s="17">
        <f t="shared" si="2"/>
        <v>20668.501712204008</v>
      </c>
      <c r="I16" s="542">
        <f t="shared" si="3"/>
        <v>48.074630659567319</v>
      </c>
      <c r="J16" s="18"/>
      <c r="K16" s="22">
        <v>2745</v>
      </c>
      <c r="O16" t="s">
        <v>915</v>
      </c>
      <c r="P16" t="s">
        <v>640</v>
      </c>
      <c r="Q16" s="551">
        <v>116090</v>
      </c>
      <c r="R16" s="551">
        <f>5194000/42</f>
        <v>123666.66666666667</v>
      </c>
      <c r="S16" s="551">
        <f>5218000/42</f>
        <v>124238.09523809524</v>
      </c>
      <c r="T16" s="549">
        <f>R16/Q16</f>
        <v>1.0652654549631033</v>
      </c>
      <c r="U16" s="549">
        <f>S16/Q16</f>
        <v>1.0701877443198831</v>
      </c>
      <c r="V16" s="549"/>
      <c r="W16" s="549"/>
    </row>
    <row r="17" spans="1:23" x14ac:dyDescent="0.2">
      <c r="A17" s="11" t="s">
        <v>881</v>
      </c>
      <c r="B17" s="16"/>
      <c r="C17" s="19">
        <v>111520</v>
      </c>
      <c r="D17" s="17">
        <f t="shared" si="0"/>
        <v>19081.236061863448</v>
      </c>
      <c r="E17" s="542">
        <f t="shared" si="1"/>
        <v>44.382674127774621</v>
      </c>
      <c r="F17" s="18"/>
      <c r="G17" s="19">
        <v>119740</v>
      </c>
      <c r="H17" s="17">
        <f t="shared" si="2"/>
        <v>20487.69015465862</v>
      </c>
      <c r="I17" s="542">
        <f t="shared" si="3"/>
        <v>47.654065638986118</v>
      </c>
      <c r="J17" s="18"/>
      <c r="K17" s="21">
        <v>2651</v>
      </c>
      <c r="O17" t="s">
        <v>857</v>
      </c>
      <c r="P17" t="s">
        <v>639</v>
      </c>
      <c r="Q17" s="551">
        <v>16811000</v>
      </c>
      <c r="R17" s="551">
        <v>17200000</v>
      </c>
      <c r="S17" s="551">
        <v>17200000</v>
      </c>
      <c r="T17" s="549">
        <f>R17/Q17</f>
        <v>1.0231396109690083</v>
      </c>
      <c r="U17" s="549">
        <f>S17/Q17</f>
        <v>1.0231396109690083</v>
      </c>
      <c r="V17" s="549"/>
      <c r="W17" s="549"/>
    </row>
    <row r="18" spans="1:23" x14ac:dyDescent="0.2">
      <c r="A18" s="11" t="s">
        <v>882</v>
      </c>
      <c r="B18" s="16"/>
      <c r="C18" s="19">
        <v>140352.52220119376</v>
      </c>
      <c r="D18" s="17">
        <f t="shared" si="0"/>
        <v>16967.617416108602</v>
      </c>
      <c r="E18" s="542">
        <f t="shared" si="1"/>
        <v>39.466428278669781</v>
      </c>
      <c r="F18" s="18"/>
      <c r="G18" s="19">
        <v>150110</v>
      </c>
      <c r="H18" s="17">
        <f t="shared" si="2"/>
        <v>18147.226785714287</v>
      </c>
      <c r="I18" s="542">
        <f t="shared" si="3"/>
        <v>42.210182303804245</v>
      </c>
      <c r="J18" s="18"/>
      <c r="K18" s="21">
        <v>3752</v>
      </c>
      <c r="O18" t="s">
        <v>858</v>
      </c>
      <c r="P18" t="s">
        <v>641</v>
      </c>
      <c r="Q18" s="552">
        <v>2.8300000000000001E-3</v>
      </c>
      <c r="R18" s="551"/>
      <c r="S18" s="551"/>
      <c r="T18" s="549">
        <v>1</v>
      </c>
      <c r="U18" s="549">
        <v>1</v>
      </c>
      <c r="V18" s="549"/>
      <c r="W18" s="549"/>
    </row>
    <row r="19" spans="1:23" x14ac:dyDescent="0.2">
      <c r="A19" s="11" t="s">
        <v>311</v>
      </c>
      <c r="B19" s="23"/>
      <c r="C19" s="19">
        <v>57250</v>
      </c>
      <c r="D19" s="17">
        <f t="shared" si="0"/>
        <v>8638.7317032601459</v>
      </c>
      <c r="E19" s="542">
        <f t="shared" si="1"/>
        <v>20.093562745097504</v>
      </c>
      <c r="F19" s="18"/>
      <c r="G19" s="19">
        <v>65200</v>
      </c>
      <c r="H19" s="17">
        <f t="shared" si="2"/>
        <v>9838.345974717231</v>
      </c>
      <c r="I19" s="542">
        <f t="shared" si="3"/>
        <v>22.883847877386152</v>
      </c>
      <c r="J19" s="18"/>
      <c r="K19" s="22">
        <v>3006</v>
      </c>
      <c r="Q19" s="549"/>
      <c r="R19" s="549"/>
      <c r="S19" s="549"/>
      <c r="T19" s="549"/>
      <c r="U19" s="549"/>
      <c r="V19" s="549"/>
      <c r="W19" s="549"/>
    </row>
    <row r="20" spans="1:23" x14ac:dyDescent="0.2">
      <c r="A20" s="11" t="s">
        <v>312</v>
      </c>
      <c r="B20" s="23"/>
      <c r="C20" s="19">
        <v>76330</v>
      </c>
      <c r="D20" s="17">
        <f t="shared" si="0"/>
        <v>11587.19032797858</v>
      </c>
      <c r="E20" s="542">
        <f t="shared" si="1"/>
        <v>26.95163409308779</v>
      </c>
      <c r="F20" s="18"/>
      <c r="G20" s="19">
        <v>84530</v>
      </c>
      <c r="H20" s="17">
        <f t="shared" si="2"/>
        <v>12831.982161981257</v>
      </c>
      <c r="I20" s="542">
        <f t="shared" si="3"/>
        <v>29.847001570663057</v>
      </c>
      <c r="J20" s="18"/>
      <c r="K20" s="22">
        <v>2988</v>
      </c>
      <c r="Q20" s="549"/>
      <c r="R20" s="549"/>
      <c r="S20" s="549"/>
      <c r="T20" s="549"/>
      <c r="U20" s="549"/>
      <c r="V20" s="549"/>
      <c r="W20" s="549"/>
    </row>
    <row r="21" spans="1:23" x14ac:dyDescent="0.2">
      <c r="A21" s="11" t="s">
        <v>967</v>
      </c>
      <c r="B21" s="23"/>
      <c r="C21" s="19">
        <v>99837</v>
      </c>
      <c r="D21" s="17">
        <f t="shared" si="0"/>
        <v>14774.898802610114</v>
      </c>
      <c r="E21" s="542">
        <f t="shared" si="1"/>
        <v>34.366197069261162</v>
      </c>
      <c r="F21" s="18"/>
      <c r="G21" s="19">
        <v>108458</v>
      </c>
      <c r="H21" s="17">
        <f t="shared" si="2"/>
        <v>16050.722420880913</v>
      </c>
      <c r="I21" s="542">
        <f t="shared" si="3"/>
        <v>37.33374402013208</v>
      </c>
      <c r="J21" s="18"/>
      <c r="K21" s="22">
        <v>3065</v>
      </c>
      <c r="Q21" s="549"/>
      <c r="R21" s="549"/>
      <c r="S21" s="549"/>
      <c r="T21" s="549"/>
      <c r="U21" s="549"/>
      <c r="V21" s="549"/>
      <c r="W21" s="549"/>
    </row>
    <row r="22" spans="1:23" x14ac:dyDescent="0.2">
      <c r="A22" s="11" t="s">
        <v>968</v>
      </c>
      <c r="B22" s="23"/>
      <c r="C22" s="19">
        <v>83127</v>
      </c>
      <c r="D22" s="17">
        <f t="shared" si="0"/>
        <v>12721.179463562754</v>
      </c>
      <c r="E22" s="542">
        <f t="shared" si="1"/>
        <v>29.589276125600549</v>
      </c>
      <c r="F22" s="18"/>
      <c r="G22" s="19">
        <v>89511</v>
      </c>
      <c r="H22" s="17">
        <f t="shared" si="2"/>
        <v>13698.142540485829</v>
      </c>
      <c r="I22" s="542">
        <f t="shared" si="3"/>
        <v>31.861677857719279</v>
      </c>
      <c r="J22" s="18"/>
      <c r="K22" s="22">
        <v>2964</v>
      </c>
      <c r="Q22" s="549"/>
      <c r="R22" s="549"/>
      <c r="S22" s="549"/>
      <c r="T22" s="549"/>
      <c r="U22" s="549"/>
      <c r="V22" s="549"/>
      <c r="W22" s="549"/>
    </row>
    <row r="23" spans="1:23" x14ac:dyDescent="0.2">
      <c r="A23" s="11" t="s">
        <v>883</v>
      </c>
      <c r="B23" s="23"/>
      <c r="C23" s="19">
        <v>116090</v>
      </c>
      <c r="D23" s="17">
        <f t="shared" si="0"/>
        <v>18679.412238382403</v>
      </c>
      <c r="E23" s="542">
        <f t="shared" si="1"/>
        <v>43.448037830811678</v>
      </c>
      <c r="F23" s="18"/>
      <c r="G23" s="19">
        <v>124340</v>
      </c>
      <c r="H23" s="17">
        <f t="shared" si="2"/>
        <v>20006.874991131608</v>
      </c>
      <c r="I23" s="542">
        <f t="shared" si="3"/>
        <v>46.535696648144757</v>
      </c>
      <c r="J23" s="18"/>
      <c r="K23" s="22">
        <v>2819</v>
      </c>
      <c r="Q23" s="549"/>
      <c r="R23" s="549"/>
      <c r="S23" s="549"/>
      <c r="T23" s="549"/>
      <c r="U23" s="549"/>
      <c r="V23" s="549"/>
      <c r="W23" s="549"/>
    </row>
    <row r="24" spans="1:23" x14ac:dyDescent="0.2">
      <c r="A24" s="11" t="s">
        <v>884</v>
      </c>
      <c r="B24" s="23"/>
      <c r="C24" s="19">
        <v>84950</v>
      </c>
      <c r="D24" s="17">
        <f t="shared" si="0"/>
        <v>20037.686167446696</v>
      </c>
      <c r="E24" s="542">
        <f t="shared" si="1"/>
        <v>46.607362990589891</v>
      </c>
      <c r="F24" s="18"/>
      <c r="G24" s="19">
        <v>91410</v>
      </c>
      <c r="H24" s="17">
        <f t="shared" si="2"/>
        <v>21561.446645865835</v>
      </c>
      <c r="I24" s="542">
        <f t="shared" si="3"/>
        <v>50.151607427543532</v>
      </c>
      <c r="J24" s="18"/>
      <c r="K24" s="22">
        <v>1923</v>
      </c>
      <c r="Q24" s="549"/>
      <c r="R24" s="549"/>
      <c r="S24" s="549"/>
      <c r="T24" s="549"/>
      <c r="U24" s="549"/>
      <c r="V24" s="549"/>
      <c r="W24" s="549"/>
    </row>
    <row r="25" spans="1:23" x14ac:dyDescent="0.2">
      <c r="A25" s="11" t="s">
        <v>885</v>
      </c>
      <c r="B25" s="23"/>
      <c r="C25" s="19">
        <v>74720</v>
      </c>
      <c r="D25" s="17">
        <f t="shared" si="0"/>
        <v>20908.23244910549</v>
      </c>
      <c r="E25" s="542">
        <f t="shared" si="1"/>
        <v>48.632240823804793</v>
      </c>
      <c r="F25" s="18"/>
      <c r="G25" s="19">
        <v>84820</v>
      </c>
      <c r="H25" s="17">
        <f t="shared" si="2"/>
        <v>23734.425539790249</v>
      </c>
      <c r="I25" s="542">
        <f t="shared" si="3"/>
        <v>55.205924339870478</v>
      </c>
      <c r="J25" s="18"/>
      <c r="K25" s="22">
        <v>1621</v>
      </c>
      <c r="Q25" s="549"/>
      <c r="R25" s="549"/>
      <c r="S25" s="549"/>
      <c r="T25" s="549"/>
      <c r="U25" s="549"/>
      <c r="V25" s="549"/>
      <c r="W25" s="549"/>
    </row>
    <row r="26" spans="1:23" x14ac:dyDescent="0.2">
      <c r="A26" s="11" t="s">
        <v>886</v>
      </c>
      <c r="B26" s="23"/>
      <c r="C26" s="19">
        <v>68930</v>
      </c>
      <c r="D26" s="17">
        <f t="shared" si="0"/>
        <v>12416.981215250198</v>
      </c>
      <c r="E26" s="542">
        <f t="shared" si="1"/>
        <v>28.881715479040551</v>
      </c>
      <c r="F26" s="18"/>
      <c r="G26" s="19">
        <v>75610</v>
      </c>
      <c r="H26" s="17">
        <f t="shared" si="2"/>
        <v>13620.3097299444</v>
      </c>
      <c r="I26" s="542">
        <f t="shared" si="3"/>
        <v>31.680639886410216</v>
      </c>
      <c r="J26" s="18"/>
      <c r="K26" s="22">
        <v>2518</v>
      </c>
      <c r="Q26" s="549"/>
      <c r="R26" s="549"/>
      <c r="S26" s="549"/>
      <c r="T26" s="549"/>
      <c r="U26" s="549"/>
      <c r="V26" s="549"/>
      <c r="W26" s="549"/>
    </row>
    <row r="27" spans="1:23" x14ac:dyDescent="0.2">
      <c r="A27" s="11" t="s">
        <v>887</v>
      </c>
      <c r="B27" s="23"/>
      <c r="C27" s="19">
        <v>72200</v>
      </c>
      <c r="D27" s="17">
        <f t="shared" si="0"/>
        <v>10061.197542242702</v>
      </c>
      <c r="E27" s="542">
        <f t="shared" si="1"/>
        <v>23.402197342183918</v>
      </c>
      <c r="F27" s="18"/>
      <c r="G27" s="19">
        <v>79196.89540113158</v>
      </c>
      <c r="H27" s="17">
        <f t="shared" si="2"/>
        <v>11036.227276497471</v>
      </c>
      <c r="I27" s="542">
        <f t="shared" si="3"/>
        <v>25.670102147722705</v>
      </c>
      <c r="J27" s="18"/>
      <c r="K27" s="22">
        <v>3255</v>
      </c>
      <c r="Q27" s="549"/>
      <c r="R27" s="549"/>
      <c r="S27" s="549"/>
      <c r="T27" s="549"/>
      <c r="U27" s="549"/>
      <c r="V27" s="549"/>
      <c r="W27" s="549"/>
    </row>
    <row r="28" spans="1:23" x14ac:dyDescent="0.2">
      <c r="A28" s="11" t="s">
        <v>888</v>
      </c>
      <c r="B28" s="23"/>
      <c r="C28" s="19">
        <v>119550</v>
      </c>
      <c r="D28" s="17">
        <f t="shared" si="0"/>
        <v>16134.09238321928</v>
      </c>
      <c r="E28" s="542">
        <f t="shared" si="1"/>
        <v>37.527661324991804</v>
      </c>
      <c r="F28" s="18"/>
      <c r="G28" s="19">
        <v>127960</v>
      </c>
      <c r="H28" s="17">
        <f t="shared" si="2"/>
        <v>17269.079559654863</v>
      </c>
      <c r="I28" s="542">
        <f t="shared" si="3"/>
        <v>40.167624785829787</v>
      </c>
      <c r="J28" s="18"/>
      <c r="K28" s="22">
        <v>3361</v>
      </c>
      <c r="Q28" s="549"/>
      <c r="R28" s="549"/>
      <c r="S28" s="549"/>
      <c r="T28" s="549"/>
      <c r="U28" s="549"/>
      <c r="V28" s="549"/>
      <c r="W28" s="549"/>
    </row>
    <row r="29" spans="1:23" x14ac:dyDescent="0.2">
      <c r="A29" s="11" t="s">
        <v>889</v>
      </c>
      <c r="B29" s="23"/>
      <c r="C29" s="19">
        <v>123670</v>
      </c>
      <c r="D29" s="17">
        <f t="shared" si="0"/>
        <v>18593.130692741131</v>
      </c>
      <c r="E29" s="542">
        <f t="shared" si="1"/>
        <v>43.247348226059557</v>
      </c>
      <c r="F29" s="18"/>
      <c r="G29" s="19">
        <v>130030</v>
      </c>
      <c r="H29" s="17">
        <f t="shared" si="2"/>
        <v>19549.323069274113</v>
      </c>
      <c r="I29" s="542">
        <f t="shared" si="3"/>
        <v>45.471437614898726</v>
      </c>
      <c r="J29" s="18"/>
      <c r="K29" s="22">
        <v>3017</v>
      </c>
      <c r="Q29" s="549"/>
      <c r="R29" s="549"/>
      <c r="S29" s="549"/>
      <c r="T29" s="549"/>
      <c r="U29" s="549"/>
      <c r="V29" s="549"/>
      <c r="W29" s="549"/>
    </row>
    <row r="30" spans="1:23" x14ac:dyDescent="0.2">
      <c r="A30" s="11" t="s">
        <v>969</v>
      </c>
      <c r="B30" s="23"/>
      <c r="C30" s="19">
        <v>117059</v>
      </c>
      <c r="D30" s="17">
        <f t="shared" si="0"/>
        <v>18729.027093474426</v>
      </c>
      <c r="E30" s="542">
        <f t="shared" si="1"/>
        <v>43.563441253226593</v>
      </c>
      <c r="F30" s="18"/>
      <c r="G30" s="19">
        <v>125294</v>
      </c>
      <c r="H30" s="17">
        <f t="shared" si="2"/>
        <v>20046.598045855379</v>
      </c>
      <c r="I30" s="542">
        <f t="shared" si="3"/>
        <v>46.628091888549989</v>
      </c>
      <c r="J30" s="18"/>
      <c r="K30" s="22">
        <v>2835</v>
      </c>
      <c r="Q30" s="549"/>
      <c r="R30" s="549"/>
      <c r="S30" s="549"/>
      <c r="T30" s="549"/>
      <c r="U30" s="549"/>
      <c r="V30" s="549"/>
      <c r="W30" s="549"/>
    </row>
    <row r="31" spans="1:23" x14ac:dyDescent="0.2">
      <c r="A31" s="11" t="s">
        <v>970</v>
      </c>
      <c r="B31" s="23"/>
      <c r="C31" s="19">
        <v>122887</v>
      </c>
      <c r="D31" s="17">
        <f t="shared" si="0"/>
        <v>18907.840681818183</v>
      </c>
      <c r="E31" s="542">
        <f t="shared" si="1"/>
        <v>43.979359026862895</v>
      </c>
      <c r="F31" s="18"/>
      <c r="G31" s="19">
        <v>130817</v>
      </c>
      <c r="H31" s="17">
        <f t="shared" si="2"/>
        <v>20127.979318181817</v>
      </c>
      <c r="I31" s="542">
        <f t="shared" si="3"/>
        <v>46.817383529723436</v>
      </c>
      <c r="J31" s="18"/>
      <c r="K31" s="22">
        <v>2948</v>
      </c>
      <c r="Q31" s="549"/>
      <c r="R31" s="549"/>
      <c r="S31" s="549"/>
      <c r="T31" s="549"/>
      <c r="U31" s="549"/>
      <c r="V31" s="549"/>
      <c r="W31" s="549"/>
    </row>
    <row r="32" spans="1:23" x14ac:dyDescent="0.2">
      <c r="A32" s="11" t="s">
        <v>971</v>
      </c>
      <c r="B32" s="23"/>
      <c r="C32" s="19">
        <v>115983</v>
      </c>
      <c r="D32" s="17">
        <f t="shared" si="0"/>
        <v>18589.656879858656</v>
      </c>
      <c r="E32" s="542">
        <f t="shared" si="1"/>
        <v>43.23926818844334</v>
      </c>
      <c r="F32" s="18"/>
      <c r="G32" s="19">
        <v>124230</v>
      </c>
      <c r="H32" s="17">
        <f t="shared" si="2"/>
        <v>19911.479045936394</v>
      </c>
      <c r="I32" s="542">
        <f t="shared" si="3"/>
        <v>46.313807084230582</v>
      </c>
      <c r="J32" s="18"/>
      <c r="K32" s="22">
        <v>2830</v>
      </c>
      <c r="Q32" s="549"/>
      <c r="R32" s="549"/>
      <c r="S32" s="549"/>
      <c r="T32" s="549"/>
      <c r="U32" s="549"/>
      <c r="V32" s="549"/>
      <c r="W32" s="549"/>
    </row>
    <row r="33" spans="1:23" x14ac:dyDescent="0.2">
      <c r="A33" s="11" t="s">
        <v>890</v>
      </c>
      <c r="B33" s="23"/>
      <c r="C33" s="19">
        <v>30500</v>
      </c>
      <c r="D33" s="17">
        <f t="shared" si="0"/>
        <v>51621.249999999993</v>
      </c>
      <c r="E33" s="545">
        <f t="shared" si="1"/>
        <v>120.070267428715</v>
      </c>
      <c r="F33" s="18"/>
      <c r="G33" s="19">
        <v>36020</v>
      </c>
      <c r="H33" s="17">
        <f t="shared" si="2"/>
        <v>60963.849999999991</v>
      </c>
      <c r="I33" s="545">
        <f t="shared" si="3"/>
        <v>141.80101746827262</v>
      </c>
      <c r="J33" s="18"/>
      <c r="K33" s="22">
        <v>268</v>
      </c>
      <c r="Q33" s="549"/>
      <c r="R33" s="549"/>
      <c r="S33" s="549"/>
      <c r="T33" s="549"/>
      <c r="U33" s="549"/>
      <c r="V33" s="549"/>
      <c r="W33" s="549"/>
    </row>
    <row r="34" spans="1:23" x14ac:dyDescent="0.2">
      <c r="A34" s="11" t="s">
        <v>891</v>
      </c>
      <c r="B34" s="23"/>
      <c r="C34" s="19">
        <v>93540</v>
      </c>
      <c r="D34" s="17">
        <f t="shared" si="0"/>
        <v>15093.848665955175</v>
      </c>
      <c r="E34" s="542">
        <f t="shared" si="1"/>
        <v>35.108069755183983</v>
      </c>
      <c r="F34" s="18"/>
      <c r="G34" s="19">
        <v>101130</v>
      </c>
      <c r="H34" s="17">
        <f t="shared" si="2"/>
        <v>16318.59007470651</v>
      </c>
      <c r="I34" s="542">
        <f t="shared" si="3"/>
        <v>37.95680023884708</v>
      </c>
      <c r="J34" s="18"/>
      <c r="K34" s="22">
        <v>2811</v>
      </c>
      <c r="Q34" s="549"/>
      <c r="R34" s="549"/>
      <c r="S34" s="549"/>
      <c r="T34" s="549"/>
      <c r="U34" s="549"/>
      <c r="V34" s="549"/>
      <c r="W34" s="549"/>
    </row>
    <row r="35" spans="1:23" x14ac:dyDescent="0.2">
      <c r="A35" s="11" t="s">
        <v>892</v>
      </c>
      <c r="B35" s="16"/>
      <c r="C35" s="19">
        <v>96720</v>
      </c>
      <c r="D35" s="17">
        <f t="shared" si="0"/>
        <v>15612.535516014234</v>
      </c>
      <c r="E35" s="542">
        <f t="shared" si="1"/>
        <v>36.314527731276172</v>
      </c>
      <c r="F35" s="18"/>
      <c r="G35" s="19">
        <v>104530</v>
      </c>
      <c r="H35" s="17">
        <f t="shared" si="2"/>
        <v>16873.225160142349</v>
      </c>
      <c r="I35" s="542">
        <f t="shared" si="3"/>
        <v>39.246873281123854</v>
      </c>
      <c r="J35" s="18"/>
      <c r="K35" s="21">
        <v>2810</v>
      </c>
      <c r="Q35" s="549"/>
      <c r="R35" s="549"/>
      <c r="S35" s="549"/>
      <c r="T35" s="549"/>
      <c r="U35" s="549"/>
      <c r="V35" s="549"/>
      <c r="W35" s="549"/>
    </row>
    <row r="36" spans="1:23" x14ac:dyDescent="0.2">
      <c r="A36" s="11" t="s">
        <v>893</v>
      </c>
      <c r="B36" s="16"/>
      <c r="C36" s="19">
        <v>100480</v>
      </c>
      <c r="D36" s="17">
        <f t="shared" si="0"/>
        <v>15645.974322004806</v>
      </c>
      <c r="E36" s="542">
        <f t="shared" si="1"/>
        <v>36.392305901657274</v>
      </c>
      <c r="F36" s="18"/>
      <c r="G36" s="19">
        <v>108570</v>
      </c>
      <c r="H36" s="17">
        <f t="shared" si="2"/>
        <v>16905.687023686918</v>
      </c>
      <c r="I36" s="542">
        <f t="shared" si="3"/>
        <v>39.322379097760042</v>
      </c>
      <c r="J36" s="18"/>
      <c r="K36" s="21">
        <v>2913</v>
      </c>
      <c r="Q36" s="549"/>
      <c r="R36" s="549"/>
      <c r="S36" s="549"/>
      <c r="T36" s="549"/>
      <c r="U36" s="549"/>
      <c r="V36" s="549"/>
      <c r="W36" s="549"/>
    </row>
    <row r="37" spans="1:23" x14ac:dyDescent="0.2">
      <c r="A37" s="11" t="s">
        <v>894</v>
      </c>
      <c r="B37" s="16"/>
      <c r="C37" s="19">
        <v>94970</v>
      </c>
      <c r="D37" s="17">
        <f t="shared" si="0"/>
        <v>19465.631405332126</v>
      </c>
      <c r="E37" s="542">
        <f t="shared" si="1"/>
        <v>45.27677203684572</v>
      </c>
      <c r="F37" s="18"/>
      <c r="G37" s="19">
        <v>103220</v>
      </c>
      <c r="H37" s="17">
        <f t="shared" si="2"/>
        <v>21156.601807501127</v>
      </c>
      <c r="I37" s="542">
        <f t="shared" si="3"/>
        <v>49.209944294442614</v>
      </c>
      <c r="J37" s="18"/>
      <c r="K37" s="21">
        <v>2213</v>
      </c>
      <c r="Q37" s="549"/>
      <c r="R37" s="549"/>
      <c r="S37" s="549"/>
      <c r="T37" s="549"/>
      <c r="U37" s="549"/>
      <c r="V37" s="549"/>
      <c r="W37" s="549"/>
    </row>
    <row r="38" spans="1:23" x14ac:dyDescent="0.2">
      <c r="A38" s="11" t="s">
        <v>895</v>
      </c>
      <c r="B38" s="16"/>
      <c r="C38" s="19">
        <v>90060</v>
      </c>
      <c r="D38" s="17">
        <f t="shared" si="0"/>
        <v>19287.212181303115</v>
      </c>
      <c r="E38" s="542">
        <f t="shared" si="1"/>
        <v>44.861771548798892</v>
      </c>
      <c r="F38" s="18"/>
      <c r="G38" s="19">
        <v>98560</v>
      </c>
      <c r="H38" s="17">
        <f t="shared" si="2"/>
        <v>21107.568649669498</v>
      </c>
      <c r="I38" s="542">
        <f t="shared" si="3"/>
        <v>49.095893891290459</v>
      </c>
      <c r="J38" s="18"/>
      <c r="K38" s="21">
        <v>2118</v>
      </c>
      <c r="Q38" s="549"/>
      <c r="R38" s="549"/>
      <c r="S38" s="549"/>
      <c r="T38" s="549"/>
      <c r="U38" s="549"/>
      <c r="V38" s="549"/>
      <c r="W38" s="549"/>
    </row>
    <row r="39" spans="1:23" x14ac:dyDescent="0.2">
      <c r="A39" s="11" t="s">
        <v>896</v>
      </c>
      <c r="B39" s="16"/>
      <c r="C39" s="19">
        <v>95720</v>
      </c>
      <c r="D39" s="17">
        <f t="shared" si="0"/>
        <v>19271.031868619615</v>
      </c>
      <c r="E39" s="542">
        <f t="shared" si="1"/>
        <v>44.824136379735997</v>
      </c>
      <c r="F39" s="18"/>
      <c r="G39" s="19">
        <v>103010</v>
      </c>
      <c r="H39" s="17">
        <f t="shared" si="2"/>
        <v>20738.706569019083</v>
      </c>
      <c r="I39" s="542">
        <f t="shared" si="3"/>
        <v>48.237926122822877</v>
      </c>
      <c r="J39" s="18"/>
      <c r="K39" s="21">
        <v>2253</v>
      </c>
      <c r="Q39" s="549"/>
      <c r="R39" s="549"/>
      <c r="S39" s="549"/>
      <c r="T39" s="549"/>
      <c r="U39" s="549"/>
      <c r="V39" s="549"/>
      <c r="W39" s="549"/>
    </row>
    <row r="40" spans="1:23" x14ac:dyDescent="0.2">
      <c r="A40" s="11" t="s">
        <v>313</v>
      </c>
      <c r="B40" s="16"/>
      <c r="C40" s="19">
        <v>84250</v>
      </c>
      <c r="D40" s="17">
        <f t="shared" si="0"/>
        <v>19903.623697916668</v>
      </c>
      <c r="E40" s="542">
        <f t="shared" si="1"/>
        <v>46.295535660398848</v>
      </c>
      <c r="F40" s="18"/>
      <c r="G40" s="19">
        <v>91420</v>
      </c>
      <c r="H40" s="17">
        <f t="shared" si="2"/>
        <v>21597.498854166668</v>
      </c>
      <c r="I40" s="542">
        <f t="shared" si="3"/>
        <v>50.235464333218552</v>
      </c>
      <c r="J40" s="18"/>
      <c r="K40" s="21">
        <v>1920</v>
      </c>
      <c r="Q40" s="549"/>
      <c r="R40" s="549"/>
      <c r="S40" s="549"/>
      <c r="T40" s="549"/>
      <c r="U40" s="549"/>
      <c r="V40" s="549"/>
      <c r="W40" s="549"/>
    </row>
    <row r="41" spans="1:23" x14ac:dyDescent="0.2">
      <c r="A41" s="7" t="s">
        <v>314</v>
      </c>
      <c r="B41" s="8"/>
      <c r="C41" s="9" t="s">
        <v>315</v>
      </c>
      <c r="D41" s="9" t="s">
        <v>316</v>
      </c>
      <c r="E41" s="9" t="s">
        <v>307</v>
      </c>
      <c r="F41" s="9"/>
      <c r="G41" s="9" t="s">
        <v>315</v>
      </c>
      <c r="H41" s="9" t="s">
        <v>316</v>
      </c>
      <c r="I41" s="9" t="s">
        <v>307</v>
      </c>
      <c r="J41" s="9"/>
      <c r="K41" s="10"/>
      <c r="Q41" s="549"/>
      <c r="R41" s="549"/>
      <c r="S41" s="549"/>
      <c r="T41" s="549"/>
      <c r="U41" s="549"/>
      <c r="V41" s="549"/>
      <c r="W41" s="549"/>
    </row>
    <row r="42" spans="1:23" x14ac:dyDescent="0.2">
      <c r="A42" s="15" t="s">
        <v>897</v>
      </c>
      <c r="B42" s="16"/>
      <c r="C42" s="24">
        <v>19546300</v>
      </c>
      <c r="D42" s="17">
        <f t="shared" ref="D42:D50" si="4">C42/2000</f>
        <v>9773.15</v>
      </c>
      <c r="E42" s="542">
        <f t="shared" ref="E42:E50" si="5">D42*1.05506/1000*2.2046</f>
        <v>22.7322030001394</v>
      </c>
      <c r="F42" s="18"/>
      <c r="G42" s="19">
        <v>20608570</v>
      </c>
      <c r="H42" s="17">
        <f>G42/2000</f>
        <v>10304.285</v>
      </c>
      <c r="I42" s="542">
        <f t="shared" ref="I42:I50" si="6">H42*1.05506/1000*2.2046</f>
        <v>23.967615189707661</v>
      </c>
      <c r="J42" s="18"/>
      <c r="K42" s="22"/>
      <c r="Q42" s="549"/>
      <c r="R42" s="549"/>
      <c r="S42" s="549"/>
      <c r="T42" s="549"/>
      <c r="U42" s="549"/>
      <c r="V42" s="549"/>
      <c r="W42" s="549"/>
    </row>
    <row r="43" spans="1:23" x14ac:dyDescent="0.2">
      <c r="A43" s="15" t="s">
        <v>898</v>
      </c>
      <c r="B43" s="16"/>
      <c r="C43" s="24">
        <v>22460600</v>
      </c>
      <c r="D43" s="17">
        <f t="shared" si="4"/>
        <v>11230.3</v>
      </c>
      <c r="E43" s="542">
        <f t="shared" si="5"/>
        <v>26.121512445062798</v>
      </c>
      <c r="F43" s="18"/>
      <c r="G43" s="19">
        <v>23445900</v>
      </c>
      <c r="H43" s="17">
        <f t="shared" ref="H43:H50" si="7">G43/2000</f>
        <v>11722.95</v>
      </c>
      <c r="I43" s="542">
        <f t="shared" si="6"/>
        <v>27.267409091284208</v>
      </c>
      <c r="J43" s="18"/>
      <c r="K43" s="22"/>
      <c r="Q43" s="549"/>
      <c r="R43" s="549"/>
      <c r="S43" s="549"/>
      <c r="T43" s="549"/>
      <c r="U43" s="549"/>
      <c r="V43" s="549"/>
      <c r="W43" s="549"/>
    </row>
    <row r="44" spans="1:23" x14ac:dyDescent="0.2">
      <c r="A44" s="11" t="s">
        <v>899</v>
      </c>
      <c r="B44" s="12"/>
      <c r="C44" s="24">
        <v>24600497.144575384</v>
      </c>
      <c r="D44" s="17">
        <f t="shared" si="4"/>
        <v>12300.248572287692</v>
      </c>
      <c r="E44" s="542">
        <f t="shared" si="5"/>
        <v>28.610197070281195</v>
      </c>
      <c r="F44" s="18"/>
      <c r="G44" s="19">
        <v>25679670</v>
      </c>
      <c r="H44" s="17">
        <f t="shared" si="7"/>
        <v>12839.834999999999</v>
      </c>
      <c r="I44" s="542">
        <f t="shared" si="6"/>
        <v>29.865267156269461</v>
      </c>
      <c r="J44" s="18"/>
      <c r="K44" s="22"/>
    </row>
    <row r="45" spans="1:23" x14ac:dyDescent="0.2">
      <c r="A45" s="15" t="s">
        <v>900</v>
      </c>
      <c r="B45" s="16"/>
      <c r="C45" s="24">
        <v>16811000</v>
      </c>
      <c r="D45" s="17">
        <f t="shared" si="4"/>
        <v>8405.5</v>
      </c>
      <c r="E45" s="542">
        <f t="shared" si="5"/>
        <v>19.551069237418005</v>
      </c>
      <c r="F45" s="18"/>
      <c r="G45" s="19">
        <v>17703170</v>
      </c>
      <c r="H45" s="17">
        <f t="shared" si="7"/>
        <v>8851.5849999999991</v>
      </c>
      <c r="I45" s="542">
        <f t="shared" si="6"/>
        <v>20.588656379262464</v>
      </c>
      <c r="J45" s="18"/>
      <c r="K45" s="22"/>
    </row>
    <row r="46" spans="1:23" x14ac:dyDescent="0.2">
      <c r="A46" s="15" t="s">
        <v>901</v>
      </c>
      <c r="B46" s="16"/>
      <c r="C46" s="24">
        <v>14797554.763920812</v>
      </c>
      <c r="D46" s="17">
        <f t="shared" si="4"/>
        <v>7398.7773819604063</v>
      </c>
      <c r="E46" s="542">
        <f t="shared" si="5"/>
        <v>17.209447250841734</v>
      </c>
      <c r="F46" s="18"/>
      <c r="G46" s="19">
        <v>15582870</v>
      </c>
      <c r="H46" s="17">
        <f t="shared" si="7"/>
        <v>7791.4350000000004</v>
      </c>
      <c r="I46" s="542">
        <f t="shared" si="6"/>
        <v>18.122763088911064</v>
      </c>
      <c r="J46" s="18"/>
      <c r="K46" s="22"/>
    </row>
    <row r="47" spans="1:23" x14ac:dyDescent="0.2">
      <c r="A47" s="15" t="s">
        <v>902</v>
      </c>
      <c r="B47" s="16"/>
      <c r="C47" s="24">
        <v>14075990</v>
      </c>
      <c r="D47" s="17">
        <f t="shared" si="4"/>
        <v>7037.9949999999999</v>
      </c>
      <c r="E47" s="542">
        <f t="shared" si="5"/>
        <v>16.370272742561625</v>
      </c>
      <c r="F47" s="18"/>
      <c r="G47" s="19">
        <v>14974460</v>
      </c>
      <c r="H47" s="17">
        <f t="shared" si="7"/>
        <v>7487.23</v>
      </c>
      <c r="I47" s="542">
        <f t="shared" si="6"/>
        <v>17.415186738025483</v>
      </c>
      <c r="J47" s="18"/>
      <c r="K47" s="22"/>
    </row>
    <row r="48" spans="1:23" x14ac:dyDescent="0.2">
      <c r="A48" s="15" t="s">
        <v>903</v>
      </c>
      <c r="B48" s="16"/>
      <c r="C48" s="24">
        <v>13243490</v>
      </c>
      <c r="D48" s="17">
        <f t="shared" si="4"/>
        <v>6621.7449999999999</v>
      </c>
      <c r="E48" s="542">
        <f t="shared" si="5"/>
        <v>15.40208137142662</v>
      </c>
      <c r="F48" s="18"/>
      <c r="G48" s="19">
        <v>14164160</v>
      </c>
      <c r="H48" s="17">
        <f t="shared" si="7"/>
        <v>7082.08</v>
      </c>
      <c r="I48" s="542">
        <f t="shared" si="6"/>
        <v>16.472813803454081</v>
      </c>
      <c r="J48" s="18"/>
      <c r="K48" s="22"/>
    </row>
    <row r="49" spans="1:11" x14ac:dyDescent="0.2">
      <c r="A49" s="15" t="s">
        <v>972</v>
      </c>
      <c r="B49" s="16"/>
      <c r="C49" s="24">
        <v>12947318</v>
      </c>
      <c r="D49" s="17">
        <f t="shared" si="4"/>
        <v>6473.6589999999997</v>
      </c>
      <c r="E49" s="542">
        <f t="shared" si="5"/>
        <v>15.057635515844886</v>
      </c>
      <c r="F49" s="18"/>
      <c r="G49" s="19">
        <v>14062678</v>
      </c>
      <c r="H49" s="17">
        <f t="shared" si="7"/>
        <v>7031.3389999999999</v>
      </c>
      <c r="I49" s="542">
        <f t="shared" si="6"/>
        <v>16.354790984564566</v>
      </c>
      <c r="J49" s="18"/>
      <c r="K49" s="22"/>
    </row>
    <row r="50" spans="1:11" x14ac:dyDescent="0.2">
      <c r="A50" s="15" t="s">
        <v>973</v>
      </c>
      <c r="B50" s="16"/>
      <c r="C50" s="24">
        <v>25370000</v>
      </c>
      <c r="D50" s="17">
        <f t="shared" si="4"/>
        <v>12685</v>
      </c>
      <c r="E50" s="542">
        <f t="shared" si="5"/>
        <v>29.505123226060004</v>
      </c>
      <c r="F50" s="18"/>
      <c r="G50" s="19">
        <v>26920000</v>
      </c>
      <c r="H50" s="17">
        <f t="shared" si="7"/>
        <v>13460</v>
      </c>
      <c r="I50" s="542">
        <f t="shared" si="6"/>
        <v>31.307761814960006</v>
      </c>
      <c r="J50" s="18"/>
      <c r="K50" s="22"/>
    </row>
    <row r="51" spans="1:11" x14ac:dyDescent="0.2">
      <c r="A51" s="1649" t="s">
        <v>317</v>
      </c>
      <c r="B51" s="1650"/>
      <c r="C51" s="1650"/>
      <c r="D51" s="1650"/>
      <c r="E51" s="1650"/>
      <c r="F51" s="1650"/>
      <c r="G51" s="1650"/>
      <c r="H51" s="1650"/>
      <c r="I51" s="1650"/>
      <c r="J51" s="1650"/>
      <c r="K51" s="1651"/>
    </row>
    <row r="52" spans="1:11" x14ac:dyDescent="0.2">
      <c r="A52" s="1646" t="s">
        <v>904</v>
      </c>
      <c r="B52" s="1647"/>
      <c r="C52" s="1647"/>
      <c r="D52" s="1647"/>
      <c r="E52" s="1647"/>
      <c r="F52" s="1647"/>
      <c r="G52" s="1647"/>
      <c r="H52" s="1647"/>
      <c r="I52" s="1647"/>
      <c r="J52" s="1647"/>
      <c r="K52" s="1648"/>
    </row>
    <row r="53" spans="1:11" x14ac:dyDescent="0.2">
      <c r="A53" s="1654" t="s">
        <v>905</v>
      </c>
      <c r="B53" s="1655"/>
      <c r="C53" s="1655"/>
      <c r="D53" s="1655"/>
      <c r="E53" s="1655"/>
      <c r="F53" s="1655"/>
      <c r="G53" s="1655"/>
      <c r="H53" s="1655"/>
      <c r="I53" s="1655"/>
      <c r="J53" s="1655"/>
      <c r="K53" s="1656"/>
    </row>
    <row r="54" spans="1:11" x14ac:dyDescent="0.2">
      <c r="A54" s="1654" t="s">
        <v>906</v>
      </c>
      <c r="B54" s="1655"/>
      <c r="C54" s="1655"/>
      <c r="D54" s="1655"/>
      <c r="E54" s="1655"/>
      <c r="F54" s="1655"/>
      <c r="G54" s="1655"/>
      <c r="H54" s="1655"/>
      <c r="I54" s="1655"/>
      <c r="J54" s="1655"/>
      <c r="K54" s="1656"/>
    </row>
    <row r="55" spans="1:11" x14ac:dyDescent="0.2">
      <c r="A55" s="1654" t="s">
        <v>907</v>
      </c>
      <c r="B55" s="1655"/>
      <c r="C55" s="1655"/>
      <c r="D55" s="1655"/>
      <c r="E55" s="1655"/>
      <c r="F55" s="1655"/>
      <c r="G55" s="1655"/>
      <c r="H55" s="1655"/>
      <c r="I55" s="1655"/>
      <c r="J55" s="1655"/>
      <c r="K55" s="1656"/>
    </row>
    <row r="56" spans="1:11" x14ac:dyDescent="0.2">
      <c r="A56" s="1661" t="s">
        <v>318</v>
      </c>
      <c r="B56" s="1662"/>
      <c r="C56" s="1662"/>
      <c r="D56" s="1662"/>
      <c r="E56" s="1662"/>
      <c r="F56" s="1662"/>
      <c r="G56" s="1662"/>
      <c r="H56" s="1662"/>
      <c r="I56" s="1662"/>
      <c r="J56" s="1662"/>
      <c r="K56" s="1663"/>
    </row>
    <row r="57" spans="1:11" x14ac:dyDescent="0.2">
      <c r="A57" s="1654" t="s">
        <v>319</v>
      </c>
      <c r="B57" s="1655"/>
      <c r="C57" s="1655"/>
      <c r="D57" s="1655"/>
      <c r="E57" s="1655"/>
      <c r="F57" s="1655"/>
      <c r="G57" s="1655"/>
      <c r="H57" s="1655"/>
      <c r="I57" s="1655"/>
      <c r="J57" s="1655"/>
      <c r="K57" s="1656"/>
    </row>
    <row r="58" spans="1:11" x14ac:dyDescent="0.2">
      <c r="A58" s="1654" t="s">
        <v>908</v>
      </c>
      <c r="B58" s="1655"/>
      <c r="C58" s="1655"/>
      <c r="D58" s="1655"/>
      <c r="E58" s="1655"/>
      <c r="F58" s="1655"/>
      <c r="G58" s="1655"/>
      <c r="H58" s="1655"/>
      <c r="I58" s="1655"/>
      <c r="J58" s="1655"/>
      <c r="K58" s="1656"/>
    </row>
    <row r="59" spans="1:11" x14ac:dyDescent="0.2">
      <c r="A59" s="1654" t="s">
        <v>909</v>
      </c>
      <c r="B59" s="1655"/>
      <c r="C59" s="1655"/>
      <c r="D59" s="1655"/>
      <c r="E59" s="1655"/>
      <c r="F59" s="1655"/>
      <c r="G59" s="1655"/>
      <c r="H59" s="1655"/>
      <c r="I59" s="1655"/>
      <c r="J59" s="1655"/>
      <c r="K59" s="1656"/>
    </row>
    <row r="60" spans="1:11" x14ac:dyDescent="0.2">
      <c r="A60" s="25"/>
      <c r="B60" s="26"/>
      <c r="C60" s="26"/>
      <c r="D60" s="26"/>
      <c r="E60" s="26"/>
      <c r="F60" s="26"/>
      <c r="G60" s="26"/>
      <c r="H60" s="26"/>
      <c r="I60" s="26"/>
      <c r="J60" s="26"/>
      <c r="K60" s="27"/>
    </row>
    <row r="61" spans="1:11" x14ac:dyDescent="0.2">
      <c r="A61" s="1654" t="s">
        <v>320</v>
      </c>
      <c r="B61" s="1655"/>
      <c r="C61" s="1655"/>
      <c r="D61" s="1655"/>
      <c r="E61" s="1655"/>
      <c r="F61" s="1655"/>
      <c r="G61" s="1655"/>
      <c r="H61" s="1655"/>
      <c r="I61" s="1655"/>
      <c r="J61" s="1655"/>
      <c r="K61" s="1656"/>
    </row>
    <row r="62" spans="1:11" ht="13.5" thickBot="1" x14ac:dyDescent="0.25">
      <c r="A62" s="1669" t="s">
        <v>974</v>
      </c>
      <c r="B62" s="1670"/>
      <c r="C62" s="1670"/>
      <c r="D62" s="1670"/>
      <c r="E62" s="1670"/>
      <c r="F62" s="1670"/>
      <c r="G62" s="1670"/>
      <c r="H62" s="1670"/>
      <c r="I62" s="1670"/>
      <c r="J62" s="1670"/>
      <c r="K62" s="1671"/>
    </row>
    <row r="63" spans="1:11" x14ac:dyDescent="0.2">
      <c r="A63" s="537"/>
      <c r="B63" s="538"/>
      <c r="C63" s="538"/>
      <c r="D63" s="538"/>
      <c r="E63" s="538"/>
      <c r="F63" s="538"/>
      <c r="G63" s="538"/>
      <c r="H63" s="538"/>
      <c r="I63" s="538"/>
      <c r="J63" s="538"/>
      <c r="K63" s="538"/>
    </row>
    <row r="64" spans="1:11" x14ac:dyDescent="0.2">
      <c r="A64" s="537"/>
      <c r="B64" s="538"/>
      <c r="C64" s="538"/>
      <c r="D64" s="538"/>
      <c r="E64" s="538"/>
      <c r="F64" s="538"/>
      <c r="G64" s="538"/>
      <c r="H64" s="538"/>
      <c r="I64" s="538"/>
      <c r="J64" s="538"/>
      <c r="K64" s="538"/>
    </row>
    <row r="65" spans="1:14" x14ac:dyDescent="0.2">
      <c r="A65" s="537"/>
      <c r="B65" s="538"/>
      <c r="C65" s="538"/>
      <c r="D65" s="538"/>
      <c r="E65" s="538"/>
      <c r="F65" s="538"/>
      <c r="G65" s="538"/>
      <c r="H65" s="538"/>
      <c r="I65" s="538"/>
      <c r="J65" s="538"/>
      <c r="K65" s="538"/>
    </row>
    <row r="66" spans="1:14" x14ac:dyDescent="0.2">
      <c r="A66" s="537"/>
      <c r="B66" s="538"/>
      <c r="C66" s="538"/>
      <c r="D66" s="538"/>
      <c r="E66" s="538"/>
      <c r="F66" s="538"/>
      <c r="G66" s="538"/>
      <c r="H66" s="538"/>
      <c r="I66" s="538"/>
      <c r="J66" s="538"/>
      <c r="K66" s="538"/>
    </row>
    <row r="68" spans="1:14" ht="13.5" thickBot="1" x14ac:dyDescent="0.25"/>
    <row r="69" spans="1:14" ht="43.5" customHeight="1" thickTop="1" thickBot="1" x14ac:dyDescent="0.25">
      <c r="A69" s="371" t="s">
        <v>1084</v>
      </c>
      <c r="B69" s="372"/>
      <c r="C69" s="372"/>
      <c r="D69" s="372"/>
      <c r="E69" s="372"/>
      <c r="F69" s="372"/>
      <c r="G69" s="372"/>
      <c r="H69" s="372"/>
      <c r="I69" s="372"/>
      <c r="J69" s="372"/>
      <c r="K69" s="373"/>
      <c r="L69" s="373"/>
      <c r="M69" s="634"/>
      <c r="N69" s="635"/>
    </row>
    <row r="70" spans="1:14" ht="60.75" thickTop="1" x14ac:dyDescent="0.2">
      <c r="A70" s="636" t="s">
        <v>1091</v>
      </c>
      <c r="B70" s="637" t="s">
        <v>1032</v>
      </c>
      <c r="C70" s="638" t="s">
        <v>1041</v>
      </c>
      <c r="D70" s="638" t="s">
        <v>1042</v>
      </c>
      <c r="E70" s="637" t="s">
        <v>190</v>
      </c>
      <c r="F70" s="637" t="s">
        <v>1040</v>
      </c>
      <c r="G70" s="639" t="s">
        <v>1039</v>
      </c>
      <c r="H70" s="640" t="s">
        <v>267</v>
      </c>
      <c r="I70" s="637" t="s">
        <v>703</v>
      </c>
      <c r="J70" s="637" t="s">
        <v>1057</v>
      </c>
      <c r="K70" s="641" t="s">
        <v>702</v>
      </c>
      <c r="L70" s="641" t="s">
        <v>932</v>
      </c>
      <c r="M70" s="642" t="s">
        <v>533</v>
      </c>
      <c r="N70" s="643" t="s">
        <v>534</v>
      </c>
    </row>
    <row r="71" spans="1:14" ht="51" x14ac:dyDescent="0.2">
      <c r="A71" s="874" t="s">
        <v>1086</v>
      </c>
      <c r="B71" s="648" t="s">
        <v>866</v>
      </c>
      <c r="C71" s="875" t="s">
        <v>699</v>
      </c>
      <c r="D71" s="648">
        <v>2007</v>
      </c>
      <c r="E71" s="876" t="s">
        <v>700</v>
      </c>
      <c r="F71" s="649"/>
      <c r="G71" s="648"/>
      <c r="H71" s="876" t="s">
        <v>865</v>
      </c>
      <c r="I71" s="826">
        <f>mmBTU_to_GJ</f>
        <v>1.0549999999999999</v>
      </c>
      <c r="J71" s="644" t="s">
        <v>1059</v>
      </c>
      <c r="K71" s="645">
        <v>56.31533863997597</v>
      </c>
      <c r="L71" s="645" t="s">
        <v>933</v>
      </c>
      <c r="M71" s="646"/>
      <c r="N71" s="647"/>
    </row>
    <row r="72" spans="1:14" ht="51" x14ac:dyDescent="0.2">
      <c r="A72" s="874" t="s">
        <v>283</v>
      </c>
      <c r="B72" s="648" t="s">
        <v>866</v>
      </c>
      <c r="C72" s="875" t="s">
        <v>699</v>
      </c>
      <c r="D72" s="648">
        <v>2007</v>
      </c>
      <c r="E72" s="876" t="s">
        <v>700</v>
      </c>
      <c r="F72" s="649"/>
      <c r="G72" s="648"/>
      <c r="H72" s="876" t="s">
        <v>865</v>
      </c>
      <c r="I72" s="826">
        <f>mmBTU_to_GJ</f>
        <v>1.0549999999999999</v>
      </c>
      <c r="J72" s="644" t="s">
        <v>1059</v>
      </c>
      <c r="K72" s="645">
        <v>56.31533863997597</v>
      </c>
      <c r="L72" s="645" t="s">
        <v>933</v>
      </c>
      <c r="M72" s="646"/>
      <c r="N72" s="647"/>
    </row>
    <row r="73" spans="1:14" ht="51" x14ac:dyDescent="0.2">
      <c r="A73" s="874" t="s">
        <v>681</v>
      </c>
      <c r="B73" s="648" t="s">
        <v>866</v>
      </c>
      <c r="C73" s="875" t="s">
        <v>699</v>
      </c>
      <c r="D73" s="648">
        <v>2007</v>
      </c>
      <c r="E73" s="876" t="s">
        <v>700</v>
      </c>
      <c r="F73" s="649"/>
      <c r="G73" s="648"/>
      <c r="H73" s="876" t="s">
        <v>865</v>
      </c>
      <c r="I73" s="826">
        <f>mmBTU_to_GJ</f>
        <v>1.0549999999999999</v>
      </c>
      <c r="J73" s="644" t="s">
        <v>1059</v>
      </c>
      <c r="K73" s="645">
        <v>56.31533863997597</v>
      </c>
      <c r="L73" s="645" t="s">
        <v>933</v>
      </c>
      <c r="M73" s="646"/>
      <c r="N73" s="647"/>
    </row>
    <row r="74" spans="1:14" ht="51" x14ac:dyDescent="0.2">
      <c r="A74" s="874" t="s">
        <v>1087</v>
      </c>
      <c r="B74" s="648" t="s">
        <v>866</v>
      </c>
      <c r="C74" s="875" t="s">
        <v>699</v>
      </c>
      <c r="D74" s="648">
        <v>2007</v>
      </c>
      <c r="E74" s="876" t="s">
        <v>700</v>
      </c>
      <c r="F74" s="649"/>
      <c r="G74" s="648"/>
      <c r="H74" s="876" t="s">
        <v>865</v>
      </c>
      <c r="I74" s="826">
        <f>mmBTU_to_GJ</f>
        <v>1.0549999999999999</v>
      </c>
      <c r="J74" s="644" t="s">
        <v>1059</v>
      </c>
      <c r="K74" s="645">
        <v>56.31533863997597</v>
      </c>
      <c r="L74" s="645" t="s">
        <v>933</v>
      </c>
      <c r="M74" s="646"/>
      <c r="N74" s="647"/>
    </row>
    <row r="75" spans="1:14" ht="25.5" x14ac:dyDescent="0.2">
      <c r="A75" s="874" t="s">
        <v>682</v>
      </c>
      <c r="B75" s="648"/>
      <c r="C75" s="875" t="s">
        <v>699</v>
      </c>
      <c r="D75" s="648">
        <v>2007</v>
      </c>
      <c r="E75" s="876" t="s">
        <v>700</v>
      </c>
      <c r="F75" s="649"/>
      <c r="G75" s="648"/>
      <c r="H75" s="876" t="s">
        <v>865</v>
      </c>
      <c r="I75" s="826">
        <f>mmBTU_to_GJ</f>
        <v>1.0549999999999999</v>
      </c>
      <c r="J75" s="644" t="s">
        <v>1059</v>
      </c>
      <c r="K75" s="645">
        <v>56.31533863997597</v>
      </c>
      <c r="L75" s="645" t="s">
        <v>933</v>
      </c>
      <c r="M75" s="646"/>
      <c r="N75" s="647"/>
    </row>
    <row r="76" spans="1:14" ht="51" x14ac:dyDescent="0.2">
      <c r="A76" s="874" t="s">
        <v>683</v>
      </c>
      <c r="B76" s="648" t="s">
        <v>866</v>
      </c>
      <c r="C76" s="875" t="s">
        <v>699</v>
      </c>
      <c r="D76" s="648">
        <v>2007</v>
      </c>
      <c r="E76" s="876" t="s">
        <v>701</v>
      </c>
      <c r="F76" s="648"/>
      <c r="G76" s="648"/>
      <c r="H76" s="644" t="s">
        <v>296</v>
      </c>
      <c r="I76" s="826">
        <f>1/MJ_to_kWh/1000</f>
        <v>3.5999999999999995E-3</v>
      </c>
      <c r="J76" s="644" t="s">
        <v>1072</v>
      </c>
      <c r="K76" s="645">
        <v>0</v>
      </c>
      <c r="L76" s="645" t="s">
        <v>933</v>
      </c>
      <c r="M76" s="646"/>
      <c r="N76" s="647"/>
    </row>
    <row r="77" spans="1:14" ht="51" x14ac:dyDescent="0.2">
      <c r="A77" s="874" t="s">
        <v>698</v>
      </c>
      <c r="B77" s="648" t="s">
        <v>866</v>
      </c>
      <c r="C77" s="875" t="s">
        <v>699</v>
      </c>
      <c r="D77" s="648">
        <v>2007</v>
      </c>
      <c r="E77" s="876" t="s">
        <v>701</v>
      </c>
      <c r="F77" s="648"/>
      <c r="G77" s="648"/>
      <c r="H77" s="644" t="s">
        <v>296</v>
      </c>
      <c r="I77" s="826">
        <f>1/MJ_to_kWh/1000</f>
        <v>3.5999999999999995E-3</v>
      </c>
      <c r="J77" s="644" t="s">
        <v>1072</v>
      </c>
      <c r="K77" s="645">
        <v>0</v>
      </c>
      <c r="L77" s="645" t="s">
        <v>933</v>
      </c>
      <c r="M77" s="646"/>
      <c r="N77" s="647"/>
    </row>
    <row r="78" spans="1:14" ht="51" x14ac:dyDescent="0.2">
      <c r="A78" s="874" t="s">
        <v>684</v>
      </c>
      <c r="B78" s="648" t="s">
        <v>866</v>
      </c>
      <c r="C78" s="875" t="s">
        <v>699</v>
      </c>
      <c r="D78" s="648">
        <v>2007</v>
      </c>
      <c r="E78" s="876" t="s">
        <v>701</v>
      </c>
      <c r="F78" s="648"/>
      <c r="G78" s="648"/>
      <c r="H78" s="644" t="s">
        <v>296</v>
      </c>
      <c r="I78" s="826">
        <f>1/MJ_to_kWh/1000</f>
        <v>3.5999999999999995E-3</v>
      </c>
      <c r="J78" s="644" t="s">
        <v>1072</v>
      </c>
      <c r="K78" s="645">
        <v>0</v>
      </c>
      <c r="L78" s="645" t="s">
        <v>933</v>
      </c>
      <c r="M78" s="646"/>
      <c r="N78" s="647"/>
    </row>
    <row r="79" spans="1:14" ht="51" x14ac:dyDescent="0.2">
      <c r="A79" s="874" t="s">
        <v>1088</v>
      </c>
      <c r="B79" s="648" t="s">
        <v>866</v>
      </c>
      <c r="C79" s="875" t="s">
        <v>699</v>
      </c>
      <c r="D79" s="648">
        <v>2007</v>
      </c>
      <c r="E79" s="876" t="s">
        <v>700</v>
      </c>
      <c r="F79" s="649"/>
      <c r="G79" s="648"/>
      <c r="H79" s="644" t="s">
        <v>268</v>
      </c>
      <c r="I79" s="826">
        <f>$C$42/2000/lb_to_kg/1000000*mmBTU_to_GJ</f>
        <v>2.2735034516249999E-2</v>
      </c>
      <c r="J79" s="644" t="s">
        <v>1053</v>
      </c>
      <c r="K79" s="645">
        <v>102.75287348239476</v>
      </c>
      <c r="L79" s="645" t="s">
        <v>933</v>
      </c>
      <c r="M79" s="646"/>
      <c r="N79" s="647"/>
    </row>
    <row r="80" spans="1:14" ht="51" x14ac:dyDescent="0.2">
      <c r="A80" s="874" t="s">
        <v>716</v>
      </c>
      <c r="B80" s="648" t="s">
        <v>866</v>
      </c>
      <c r="C80" s="875" t="s">
        <v>699</v>
      </c>
      <c r="D80" s="648">
        <v>2007</v>
      </c>
      <c r="E80" s="876" t="s">
        <v>700</v>
      </c>
      <c r="F80" s="649"/>
      <c r="G80" s="648"/>
      <c r="H80" s="644" t="s">
        <v>268</v>
      </c>
      <c r="I80" s="826">
        <f>$C$42/2000/lb_to_kg/1000000*mmBTU_to_GJ</f>
        <v>2.2735034516249999E-2</v>
      </c>
      <c r="J80" s="644" t="s">
        <v>1053</v>
      </c>
      <c r="K80" s="645">
        <v>102.75287348239476</v>
      </c>
      <c r="L80" s="645" t="s">
        <v>933</v>
      </c>
      <c r="M80" s="646"/>
      <c r="N80" s="647"/>
    </row>
    <row r="81" spans="1:14" ht="51" x14ac:dyDescent="0.2">
      <c r="A81" s="874" t="s">
        <v>717</v>
      </c>
      <c r="B81" s="648" t="s">
        <v>866</v>
      </c>
      <c r="C81" s="875" t="s">
        <v>699</v>
      </c>
      <c r="D81" s="648">
        <v>2007</v>
      </c>
      <c r="E81" s="876" t="s">
        <v>700</v>
      </c>
      <c r="F81" s="649"/>
      <c r="G81" s="648"/>
      <c r="H81" s="644" t="s">
        <v>268</v>
      </c>
      <c r="I81" s="826">
        <f>$C$42/2000/lb_to_kg/1000000*mmBTU_to_GJ</f>
        <v>2.2735034516249999E-2</v>
      </c>
      <c r="J81" s="644" t="s">
        <v>1053</v>
      </c>
      <c r="K81" s="645">
        <v>102.75287348239476</v>
      </c>
      <c r="L81" s="645" t="s">
        <v>933</v>
      </c>
      <c r="M81" s="646"/>
      <c r="N81" s="647"/>
    </row>
    <row r="82" spans="1:14" ht="51" x14ac:dyDescent="0.2">
      <c r="A82" s="874" t="s">
        <v>913</v>
      </c>
      <c r="B82" s="648" t="s">
        <v>866</v>
      </c>
      <c r="C82" s="875" t="s">
        <v>699</v>
      </c>
      <c r="D82" s="648">
        <v>2007</v>
      </c>
      <c r="E82" s="876" t="s">
        <v>700</v>
      </c>
      <c r="F82" s="649"/>
      <c r="G82" s="648"/>
      <c r="H82" s="644" t="s">
        <v>269</v>
      </c>
      <c r="I82" s="826">
        <f>$C$14/gal_to_liters*mmBTU_to_GJ/1000000</f>
        <v>3.5803104359313075E-2</v>
      </c>
      <c r="J82" s="644" t="s">
        <v>1059</v>
      </c>
      <c r="K82" s="645">
        <v>74.122324937568308</v>
      </c>
      <c r="L82" s="645" t="s">
        <v>933</v>
      </c>
      <c r="M82" s="646"/>
      <c r="N82" s="647"/>
    </row>
    <row r="83" spans="1:14" ht="51" x14ac:dyDescent="0.2">
      <c r="A83" s="874" t="s">
        <v>911</v>
      </c>
      <c r="B83" s="648" t="s">
        <v>866</v>
      </c>
      <c r="C83" s="875" t="s">
        <v>699</v>
      </c>
      <c r="D83" s="648">
        <v>2007</v>
      </c>
      <c r="E83" s="876" t="s">
        <v>700</v>
      </c>
      <c r="F83" s="649"/>
      <c r="G83" s="648"/>
      <c r="H83" s="644" t="s">
        <v>269</v>
      </c>
      <c r="I83" s="826">
        <f>$Q$14/gal_to_liters*mmBTU_to_GJ/1000000</f>
        <v>2.4157130779392338E-2</v>
      </c>
      <c r="J83" s="644" t="s">
        <v>1053</v>
      </c>
      <c r="K83" s="645">
        <v>71.019041167591709</v>
      </c>
      <c r="L83" s="645" t="s">
        <v>933</v>
      </c>
      <c r="M83" s="646"/>
      <c r="N83" s="647"/>
    </row>
    <row r="84" spans="1:14" ht="51" x14ac:dyDescent="0.2">
      <c r="A84" s="874" t="s">
        <v>914</v>
      </c>
      <c r="B84" s="648" t="s">
        <v>866</v>
      </c>
      <c r="C84" s="875" t="s">
        <v>699</v>
      </c>
      <c r="D84" s="648">
        <v>2007</v>
      </c>
      <c r="E84" s="876" t="s">
        <v>700</v>
      </c>
      <c r="F84" s="649"/>
      <c r="G84" s="648"/>
      <c r="H84" s="644" t="s">
        <v>269</v>
      </c>
      <c r="I84" s="826">
        <f>$C$11/gal_to_liters*mmBTU_to_GJ/1000000</f>
        <v>3.2357978863936591E-2</v>
      </c>
      <c r="J84" s="644" t="s">
        <v>1053</v>
      </c>
      <c r="K84" s="645">
        <v>72.833307273582633</v>
      </c>
      <c r="L84" s="645" t="s">
        <v>933</v>
      </c>
      <c r="M84" s="646"/>
      <c r="N84" s="647"/>
    </row>
    <row r="85" spans="1:14" ht="293.25" x14ac:dyDescent="0.2">
      <c r="A85" s="874" t="s">
        <v>1082</v>
      </c>
      <c r="B85" s="825" t="s">
        <v>437</v>
      </c>
      <c r="C85" s="875" t="s">
        <v>699</v>
      </c>
      <c r="D85" s="648">
        <v>2007</v>
      </c>
      <c r="E85" s="876" t="s">
        <v>701</v>
      </c>
      <c r="F85" s="649"/>
      <c r="G85" s="648"/>
      <c r="H85" s="644" t="s">
        <v>268</v>
      </c>
      <c r="I85" s="826">
        <f>$E$45/1000</f>
        <v>1.9551069237418006E-2</v>
      </c>
      <c r="J85" s="644" t="s">
        <v>1053</v>
      </c>
      <c r="K85" s="645">
        <v>97.876597052612851</v>
      </c>
      <c r="L85" s="645" t="s">
        <v>933</v>
      </c>
      <c r="M85" s="646"/>
      <c r="N85" s="647"/>
    </row>
    <row r="86" spans="1:14" x14ac:dyDescent="0.2">
      <c r="A86" s="874" t="s">
        <v>815</v>
      </c>
      <c r="B86" s="825"/>
      <c r="C86" s="875"/>
      <c r="D86" s="648"/>
      <c r="E86" s="876" t="s">
        <v>701</v>
      </c>
      <c r="F86" s="649"/>
      <c r="G86" s="648"/>
      <c r="H86" s="644" t="s">
        <v>268</v>
      </c>
      <c r="I86" s="826">
        <f>$E$45/1000</f>
        <v>1.9551069237418006E-2</v>
      </c>
      <c r="J86" s="644" t="s">
        <v>1053</v>
      </c>
      <c r="K86" s="645">
        <v>97.876597052612851</v>
      </c>
      <c r="L86" s="645" t="s">
        <v>933</v>
      </c>
      <c r="M86" s="646"/>
      <c r="N86" s="647"/>
    </row>
    <row r="87" spans="1:14" ht="76.5" x14ac:dyDescent="0.2">
      <c r="A87" s="874" t="s">
        <v>824</v>
      </c>
      <c r="B87" s="976" t="s">
        <v>833</v>
      </c>
      <c r="C87" s="875"/>
      <c r="D87" s="648"/>
      <c r="E87" s="876" t="s">
        <v>701</v>
      </c>
      <c r="F87" s="649"/>
      <c r="G87" s="648"/>
      <c r="H87" s="644" t="s">
        <v>268</v>
      </c>
      <c r="I87" s="826">
        <f>18.608/1000</f>
        <v>1.8608E-2</v>
      </c>
      <c r="J87" s="644" t="s">
        <v>1053</v>
      </c>
      <c r="K87" s="645">
        <v>97.876597052612851</v>
      </c>
      <c r="L87" s="645" t="s">
        <v>933</v>
      </c>
      <c r="M87" s="646"/>
      <c r="N87" s="647"/>
    </row>
    <row r="88" spans="1:14" ht="76.5" x14ac:dyDescent="0.2">
      <c r="A88" s="874" t="s">
        <v>1089</v>
      </c>
      <c r="B88" s="648" t="s">
        <v>1090</v>
      </c>
      <c r="C88" s="875" t="s">
        <v>699</v>
      </c>
      <c r="D88" s="648">
        <v>2007</v>
      </c>
      <c r="E88" s="876" t="s">
        <v>701</v>
      </c>
      <c r="F88" s="649"/>
      <c r="G88" s="648"/>
      <c r="H88" s="644" t="s">
        <v>268</v>
      </c>
      <c r="I88" s="826">
        <v>2.8300000000000001E-3</v>
      </c>
      <c r="J88" s="644" t="s">
        <v>1072</v>
      </c>
      <c r="K88" s="645">
        <v>0</v>
      </c>
      <c r="L88" s="645" t="s">
        <v>933</v>
      </c>
      <c r="M88" s="646"/>
      <c r="N88" s="647"/>
    </row>
    <row r="90" spans="1:14" ht="13.5" thickBot="1" x14ac:dyDescent="0.25"/>
    <row r="91" spans="1:14" ht="33.75" customHeight="1" thickTop="1" x14ac:dyDescent="0.25">
      <c r="A91" s="1652" t="s">
        <v>993</v>
      </c>
      <c r="B91" s="1653"/>
      <c r="D91" s="1652" t="s">
        <v>685</v>
      </c>
      <c r="E91" s="1653"/>
      <c r="G91" s="1652" t="s">
        <v>686</v>
      </c>
      <c r="H91" s="1653"/>
      <c r="K91" s="1672" t="s">
        <v>688</v>
      </c>
      <c r="L91" s="1673"/>
    </row>
    <row r="92" spans="1:14" ht="41.25" customHeight="1" thickBot="1" x14ac:dyDescent="0.25">
      <c r="A92" s="1213" t="s">
        <v>1101</v>
      </c>
      <c r="B92" s="1027"/>
      <c r="D92" s="1664" t="s">
        <v>687</v>
      </c>
      <c r="E92" s="1665"/>
      <c r="G92" s="1213" t="s">
        <v>1102</v>
      </c>
      <c r="H92" s="1027"/>
      <c r="K92" s="1664" t="s">
        <v>689</v>
      </c>
      <c r="L92" s="1665"/>
      <c r="N92" s="1282"/>
    </row>
    <row r="93" spans="1:14" ht="15" x14ac:dyDescent="0.25">
      <c r="A93" s="30" t="s">
        <v>1085</v>
      </c>
      <c r="B93" s="31" t="s">
        <v>1093</v>
      </c>
      <c r="D93" s="30" t="s">
        <v>1085</v>
      </c>
      <c r="E93" s="31" t="s">
        <v>1093</v>
      </c>
      <c r="G93" s="30" t="s">
        <v>1085</v>
      </c>
      <c r="H93" s="31" t="s">
        <v>1093</v>
      </c>
      <c r="K93" s="30" t="s">
        <v>1085</v>
      </c>
      <c r="L93" s="31" t="s">
        <v>1093</v>
      </c>
    </row>
    <row r="94" spans="1:14" ht="28.5" customHeight="1" x14ac:dyDescent="0.2">
      <c r="A94" s="1024">
        <v>1992</v>
      </c>
      <c r="B94" s="1025">
        <v>70.563999999999993</v>
      </c>
      <c r="C94" s="846"/>
      <c r="D94" s="1216">
        <v>1992</v>
      </c>
      <c r="E94" s="1217">
        <v>358.2</v>
      </c>
      <c r="F94" s="1287"/>
      <c r="G94" s="1216">
        <v>1992</v>
      </c>
      <c r="H94" s="1219">
        <v>13.7</v>
      </c>
      <c r="K94" s="1216">
        <v>1980</v>
      </c>
      <c r="L94" s="1220">
        <v>55.195749555178075</v>
      </c>
    </row>
    <row r="95" spans="1:14" x14ac:dyDescent="0.2">
      <c r="A95" s="1024">
        <v>1993</v>
      </c>
      <c r="B95" s="1025">
        <v>72.244</v>
      </c>
      <c r="D95" s="1216">
        <v>1993</v>
      </c>
      <c r="E95" s="1217">
        <v>359.2</v>
      </c>
      <c r="F95" s="1287"/>
      <c r="G95" s="1216">
        <v>1993</v>
      </c>
      <c r="H95" s="1219">
        <v>13.97</v>
      </c>
      <c r="K95" s="1216">
        <v>1981</v>
      </c>
      <c r="L95" s="1220">
        <v>61.025412991342954</v>
      </c>
    </row>
    <row r="96" spans="1:14" x14ac:dyDescent="0.2">
      <c r="A96" s="1024">
        <v>1994</v>
      </c>
      <c r="B96" s="1025">
        <v>73.781000000000006</v>
      </c>
      <c r="D96" s="1216">
        <v>1994</v>
      </c>
      <c r="E96" s="1217">
        <v>368.1</v>
      </c>
      <c r="F96" s="1287"/>
      <c r="G96" s="1216">
        <v>1994</v>
      </c>
      <c r="H96" s="1219">
        <v>14.33</v>
      </c>
      <c r="K96" s="1216">
        <v>1982</v>
      </c>
      <c r="L96" s="1220">
        <v>62.017696129413558</v>
      </c>
    </row>
    <row r="97" spans="1:15" x14ac:dyDescent="0.2">
      <c r="A97" s="1024">
        <v>1995</v>
      </c>
      <c r="B97" s="1025">
        <v>75.320999999999998</v>
      </c>
      <c r="D97" s="1216">
        <v>1995</v>
      </c>
      <c r="E97" s="1217">
        <v>381.1</v>
      </c>
      <c r="F97" s="1287"/>
      <c r="G97" s="1216">
        <v>1995</v>
      </c>
      <c r="H97" s="1219">
        <v>14.86</v>
      </c>
      <c r="K97" s="1216">
        <v>1983</v>
      </c>
      <c r="L97" s="1220">
        <v>62.203749217801807</v>
      </c>
    </row>
    <row r="98" spans="1:15" x14ac:dyDescent="0.2">
      <c r="A98" s="1024">
        <v>1996</v>
      </c>
      <c r="B98" s="1025">
        <v>76.694999999999993</v>
      </c>
      <c r="D98" s="1216">
        <v>1996</v>
      </c>
      <c r="E98" s="1217">
        <v>381.7</v>
      </c>
      <c r="F98" s="1287"/>
      <c r="G98" s="1216">
        <v>1996</v>
      </c>
      <c r="H98" s="1219">
        <v>15.37</v>
      </c>
      <c r="K98" s="1216">
        <v>1984</v>
      </c>
      <c r="L98" s="1220">
        <v>63.81620931716656</v>
      </c>
    </row>
    <row r="99" spans="1:15" x14ac:dyDescent="0.2">
      <c r="A99" s="1024">
        <v>1997</v>
      </c>
      <c r="B99" s="1025">
        <v>78.009</v>
      </c>
      <c r="D99" s="1216">
        <v>1997</v>
      </c>
      <c r="E99" s="1217">
        <v>386.5</v>
      </c>
      <c r="F99" s="1287"/>
      <c r="G99" s="1216">
        <v>1997</v>
      </c>
      <c r="H99" s="1219">
        <v>15.78</v>
      </c>
      <c r="K99" s="1216">
        <v>1985</v>
      </c>
      <c r="L99" s="1220">
        <v>64.262922782386738</v>
      </c>
      <c r="M99" s="1284"/>
    </row>
    <row r="100" spans="1:15" x14ac:dyDescent="0.2">
      <c r="A100" s="1024">
        <v>1998</v>
      </c>
      <c r="B100" s="1025">
        <v>78.855000000000004</v>
      </c>
      <c r="D100" s="1216">
        <v>1998</v>
      </c>
      <c r="E100" s="1217">
        <v>389.5</v>
      </c>
      <c r="F100" s="1287"/>
      <c r="G100" s="1216">
        <v>1998</v>
      </c>
      <c r="H100" s="1219">
        <v>16.23</v>
      </c>
      <c r="K100" s="1216">
        <v>1986</v>
      </c>
      <c r="L100" s="1220">
        <v>64.135290363752389</v>
      </c>
      <c r="M100" s="1284"/>
      <c r="N100" s="1285"/>
      <c r="O100" s="1285"/>
    </row>
    <row r="101" spans="1:15" x14ac:dyDescent="0.2">
      <c r="A101" s="1024">
        <v>1999</v>
      </c>
      <c r="B101" s="1025">
        <v>80.061000000000007</v>
      </c>
      <c r="D101" s="1216">
        <v>1999</v>
      </c>
      <c r="E101" s="1217">
        <v>390.6</v>
      </c>
      <c r="F101" s="1287"/>
      <c r="G101" s="1216">
        <v>1999</v>
      </c>
      <c r="H101" s="1219">
        <v>16.399999999999999</v>
      </c>
      <c r="K101" s="1216">
        <v>1987</v>
      </c>
      <c r="L101" s="1220">
        <v>66.11359285258456</v>
      </c>
      <c r="M101" s="1284"/>
      <c r="N101" s="1285"/>
      <c r="O101" s="1285"/>
    </row>
    <row r="102" spans="1:15" x14ac:dyDescent="0.2">
      <c r="A102" s="1024">
        <v>2000</v>
      </c>
      <c r="B102" s="1025">
        <v>81.882999999999996</v>
      </c>
      <c r="D102" s="1216">
        <v>2000</v>
      </c>
      <c r="E102" s="1217">
        <v>394.1</v>
      </c>
      <c r="F102" s="1287"/>
      <c r="G102" s="1216">
        <v>2000</v>
      </c>
      <c r="H102" s="1219">
        <v>17.09</v>
      </c>
      <c r="K102" s="1216">
        <v>1988</v>
      </c>
      <c r="L102" s="1220">
        <v>72.112316528398225</v>
      </c>
      <c r="M102" s="1284"/>
      <c r="N102" s="1285"/>
      <c r="O102" s="1285"/>
    </row>
    <row r="103" spans="1:15" x14ac:dyDescent="0.2">
      <c r="A103" s="1024">
        <v>2001</v>
      </c>
      <c r="B103" s="1025">
        <v>83.753</v>
      </c>
      <c r="D103" s="1216">
        <v>2001</v>
      </c>
      <c r="E103" s="1217">
        <v>394.3</v>
      </c>
      <c r="F103" s="1287"/>
      <c r="G103" s="1216">
        <v>2001</v>
      </c>
      <c r="H103" s="1219">
        <v>17.57</v>
      </c>
      <c r="K103" s="1216">
        <v>1989</v>
      </c>
      <c r="L103" s="1220">
        <v>76.324186343331206</v>
      </c>
      <c r="M103" s="1284"/>
      <c r="N103" s="1285"/>
      <c r="O103" s="1285"/>
    </row>
    <row r="104" spans="1:15" x14ac:dyDescent="0.2">
      <c r="A104" s="1024">
        <v>2002</v>
      </c>
      <c r="B104" s="1025">
        <v>85.037999999999997</v>
      </c>
      <c r="D104" s="1216">
        <v>2002</v>
      </c>
      <c r="E104" s="1217">
        <v>395.6</v>
      </c>
      <c r="F104" s="1287"/>
      <c r="G104" s="1216">
        <v>2002</v>
      </c>
      <c r="H104" s="1219">
        <v>17.97</v>
      </c>
      <c r="K104" s="1216">
        <v>1990</v>
      </c>
      <c r="L104" s="1220">
        <v>77.217613273771548</v>
      </c>
      <c r="M104" s="1284"/>
      <c r="N104" s="1285"/>
      <c r="O104" s="1285"/>
    </row>
    <row r="105" spans="1:15" x14ac:dyDescent="0.2">
      <c r="A105" s="1024">
        <v>2003</v>
      </c>
      <c r="B105" s="1025">
        <v>86.728999999999999</v>
      </c>
      <c r="D105" s="1216">
        <v>2003</v>
      </c>
      <c r="E105" s="1217">
        <v>402</v>
      </c>
      <c r="F105" s="1287"/>
      <c r="G105" s="1216">
        <v>2003</v>
      </c>
      <c r="H105" s="1219">
        <v>18.5</v>
      </c>
      <c r="K105" s="1216">
        <v>1991</v>
      </c>
      <c r="L105" s="1220">
        <v>79.38736439055522</v>
      </c>
      <c r="M105" s="1284"/>
      <c r="N105" s="1285"/>
      <c r="O105" s="1285"/>
    </row>
    <row r="106" spans="1:15" x14ac:dyDescent="0.2">
      <c r="A106" s="1024">
        <v>2004</v>
      </c>
      <c r="B106" s="1025">
        <v>89.114000000000004</v>
      </c>
      <c r="D106" s="1216">
        <v>2004</v>
      </c>
      <c r="E106" s="1217">
        <v>444.2</v>
      </c>
      <c r="F106" s="1287"/>
      <c r="G106" s="1216">
        <v>2004</v>
      </c>
      <c r="H106" s="1219">
        <v>19.170000000000002</v>
      </c>
      <c r="K106" s="1216">
        <v>1992</v>
      </c>
      <c r="L106" s="1221">
        <v>80.280791320995533</v>
      </c>
      <c r="M106" s="1284"/>
      <c r="N106" s="1285"/>
      <c r="O106" s="1285"/>
    </row>
    <row r="107" spans="1:15" x14ac:dyDescent="0.2">
      <c r="A107" s="1024">
        <v>2005</v>
      </c>
      <c r="B107" s="1025">
        <v>91.980999999999995</v>
      </c>
      <c r="D107" s="1216">
        <v>2005</v>
      </c>
      <c r="E107" s="1217">
        <v>468.2</v>
      </c>
      <c r="F107" s="1287"/>
      <c r="G107" s="1216">
        <v>2005</v>
      </c>
      <c r="H107" s="1382">
        <v>19.670000000000002</v>
      </c>
      <c r="K107" s="1216">
        <v>1993</v>
      </c>
      <c r="L107" s="1221">
        <v>81.174218251435875</v>
      </c>
      <c r="M107" s="1284"/>
      <c r="N107" s="1285"/>
      <c r="O107" s="1285"/>
    </row>
    <row r="108" spans="1:15" x14ac:dyDescent="0.2">
      <c r="A108" s="1024">
        <v>2006</v>
      </c>
      <c r="B108" s="1025">
        <v>94.811999999999998</v>
      </c>
      <c r="D108" s="1216">
        <v>2006</v>
      </c>
      <c r="E108" s="1217">
        <v>499.6</v>
      </c>
      <c r="F108" s="1287"/>
      <c r="G108" s="1216">
        <v>2006</v>
      </c>
      <c r="H108" s="1219">
        <v>19.600000000000001</v>
      </c>
      <c r="K108" s="1216">
        <v>1994</v>
      </c>
      <c r="L108" s="1221">
        <v>82.961072112316543</v>
      </c>
      <c r="M108" s="1284"/>
      <c r="N108" s="1285"/>
      <c r="O108" s="1285"/>
    </row>
    <row r="109" spans="1:15" x14ac:dyDescent="0.2">
      <c r="A109" s="1024">
        <v>2007</v>
      </c>
      <c r="B109" s="1025">
        <v>97.334000000000003</v>
      </c>
      <c r="D109" s="1216">
        <v>2007</v>
      </c>
      <c r="E109" s="1217">
        <v>525.4</v>
      </c>
      <c r="F109" s="1316"/>
      <c r="G109" s="1216">
        <v>2007</v>
      </c>
      <c r="H109" s="1219">
        <v>19.55</v>
      </c>
      <c r="K109" s="1216">
        <v>1995</v>
      </c>
      <c r="L109" s="1221">
        <v>91.512444160816855</v>
      </c>
      <c r="M109" s="1284"/>
      <c r="N109" s="1285"/>
      <c r="O109" s="1285"/>
    </row>
    <row r="110" spans="1:15" x14ac:dyDescent="0.2">
      <c r="A110" s="1024">
        <v>2008</v>
      </c>
      <c r="B110" s="1025">
        <v>99.25</v>
      </c>
      <c r="D110" s="1216">
        <v>2008</v>
      </c>
      <c r="E110" s="1217">
        <v>575.4</v>
      </c>
      <c r="F110" s="1287"/>
      <c r="G110" s="1216">
        <v>2008</v>
      </c>
      <c r="H110" s="1219">
        <v>19.5</v>
      </c>
      <c r="K110" s="1216">
        <v>1996</v>
      </c>
      <c r="L110" s="1221">
        <v>93.044033184428855</v>
      </c>
      <c r="M110" s="1284"/>
      <c r="N110" s="1285"/>
      <c r="O110" s="1285"/>
    </row>
    <row r="111" spans="1:15" ht="15" x14ac:dyDescent="0.25">
      <c r="A111" s="1024">
        <v>2009</v>
      </c>
      <c r="B111" s="1214">
        <v>100</v>
      </c>
      <c r="D111" s="845">
        <v>2009</v>
      </c>
      <c r="E111" s="1217">
        <v>521.9</v>
      </c>
      <c r="F111" s="1287"/>
      <c r="G111" s="845">
        <v>2009</v>
      </c>
      <c r="H111" s="1028">
        <v>20.3</v>
      </c>
      <c r="K111" s="1216">
        <v>1997</v>
      </c>
      <c r="L111" s="1221">
        <v>93.873643905552015</v>
      </c>
      <c r="M111" s="1284"/>
      <c r="N111" s="1285"/>
      <c r="O111" s="1285"/>
    </row>
    <row r="112" spans="1:15" ht="15" x14ac:dyDescent="0.25">
      <c r="A112" s="1024">
        <v>2010</v>
      </c>
      <c r="B112" s="1214">
        <v>101.217</v>
      </c>
      <c r="D112" s="845">
        <v>2010</v>
      </c>
      <c r="E112" s="1217">
        <v>550.79999999999995</v>
      </c>
      <c r="F112" s="1287"/>
      <c r="G112" s="845">
        <v>2010</v>
      </c>
      <c r="H112" s="1028">
        <v>21.07</v>
      </c>
      <c r="K112" s="1216">
        <v>1998</v>
      </c>
      <c r="L112" s="1221">
        <v>94.894703254626677</v>
      </c>
      <c r="M112" s="1284"/>
      <c r="N112" s="1285"/>
      <c r="O112" s="1285"/>
    </row>
    <row r="113" spans="1:15" ht="15" x14ac:dyDescent="0.25">
      <c r="A113" s="1024">
        <v>2011</v>
      </c>
      <c r="B113" s="1214">
        <v>103.307</v>
      </c>
      <c r="D113" s="845">
        <v>2011</v>
      </c>
      <c r="E113" s="1217">
        <v>585.70000000000005</v>
      </c>
      <c r="F113" s="1287"/>
      <c r="G113" s="845">
        <v>2011</v>
      </c>
      <c r="H113" s="1028">
        <v>21.45</v>
      </c>
      <c r="K113" s="1216">
        <v>1999</v>
      </c>
      <c r="L113" s="1221">
        <v>95.532865347798349</v>
      </c>
      <c r="M113" s="1284"/>
      <c r="N113" s="1285"/>
      <c r="O113" s="1285"/>
    </row>
    <row r="114" spans="1:15" ht="15" x14ac:dyDescent="0.25">
      <c r="A114" s="1024">
        <v>2012</v>
      </c>
      <c r="B114" s="1214">
        <v>105.21299999999999</v>
      </c>
      <c r="D114" s="845">
        <v>2012</v>
      </c>
      <c r="E114" s="1217">
        <v>584.6</v>
      </c>
      <c r="F114" s="1287"/>
      <c r="G114" s="845">
        <v>2012</v>
      </c>
      <c r="H114" s="1028">
        <v>21.45</v>
      </c>
      <c r="K114" s="1216">
        <v>2000</v>
      </c>
      <c r="L114" s="1221">
        <v>100</v>
      </c>
      <c r="M114" s="1284"/>
      <c r="N114" s="1285"/>
      <c r="O114" s="1285"/>
    </row>
    <row r="115" spans="1:15" ht="15" x14ac:dyDescent="0.25">
      <c r="A115" s="1024">
        <v>2013</v>
      </c>
      <c r="B115" s="1214">
        <v>106.91</v>
      </c>
      <c r="D115" s="845">
        <v>2013</v>
      </c>
      <c r="E115" s="1217">
        <v>567.29999999999995</v>
      </c>
      <c r="F115" s="1287"/>
      <c r="G115" s="845">
        <v>2013</v>
      </c>
      <c r="H115" s="1028">
        <v>21.4</v>
      </c>
      <c r="K115" s="1216">
        <v>2001</v>
      </c>
      <c r="L115" s="1221">
        <v>101.08487555839186</v>
      </c>
      <c r="M115" s="1284"/>
      <c r="N115" s="1285"/>
      <c r="O115" s="1285"/>
    </row>
    <row r="116" spans="1:15" ht="15" x14ac:dyDescent="0.25">
      <c r="A116" s="1024">
        <v>2014</v>
      </c>
      <c r="B116" s="1214">
        <v>108.827</v>
      </c>
      <c r="D116" s="845">
        <v>2014</v>
      </c>
      <c r="E116" s="1217">
        <v>576.1</v>
      </c>
      <c r="F116" s="1287"/>
      <c r="G116" s="845">
        <v>2014</v>
      </c>
      <c r="H116" s="1028">
        <v>21.488333333333333</v>
      </c>
      <c r="K116" s="1216">
        <v>2002</v>
      </c>
      <c r="L116" s="1221">
        <v>100.38289725590302</v>
      </c>
      <c r="M116" s="1284"/>
      <c r="N116" s="1285"/>
      <c r="O116" s="1285"/>
    </row>
    <row r="117" spans="1:15" ht="15" x14ac:dyDescent="0.25">
      <c r="A117" s="1024">
        <v>2015</v>
      </c>
      <c r="B117" s="1214">
        <v>110.01</v>
      </c>
      <c r="D117" s="845">
        <v>2015</v>
      </c>
      <c r="E117" s="1217">
        <v>556.79999999999995</v>
      </c>
      <c r="F117" s="1287"/>
      <c r="G117" s="845">
        <v>2015</v>
      </c>
      <c r="H117" s="1028">
        <v>21.754999999999999</v>
      </c>
      <c r="K117" s="1216">
        <v>2003</v>
      </c>
      <c r="L117" s="1221">
        <v>105.04148053605616</v>
      </c>
      <c r="M117" s="1284"/>
      <c r="N117" s="1285"/>
      <c r="O117" s="1285"/>
    </row>
    <row r="118" spans="1:15" ht="15.75" thickBot="1" x14ac:dyDescent="0.3">
      <c r="A118" s="1024">
        <v>2016</v>
      </c>
      <c r="B118" s="1214">
        <v>111.41200000000001</v>
      </c>
      <c r="D118" s="847">
        <v>2016</v>
      </c>
      <c r="E118" s="1218">
        <v>541.70000000000005</v>
      </c>
      <c r="F118" s="1287"/>
      <c r="G118" s="847">
        <v>2016</v>
      </c>
      <c r="H118" s="1029">
        <v>22.714999999999993</v>
      </c>
      <c r="K118" s="1216">
        <v>2004</v>
      </c>
      <c r="L118" s="1221">
        <v>110.27440970006384</v>
      </c>
      <c r="M118" s="1284"/>
      <c r="N118" s="1285"/>
      <c r="O118" s="1285"/>
    </row>
    <row r="119" spans="1:15" ht="14.25" thickTop="1" thickBot="1" x14ac:dyDescent="0.25">
      <c r="A119" s="1026">
        <v>2017</v>
      </c>
      <c r="B119" s="1215">
        <v>112.854</v>
      </c>
      <c r="G119" s="305" t="s">
        <v>1103</v>
      </c>
      <c r="H119" s="305"/>
      <c r="K119" s="1216">
        <v>2005</v>
      </c>
      <c r="L119" s="1221">
        <v>119.52776005105299</v>
      </c>
      <c r="M119" s="1284"/>
      <c r="N119" s="1285"/>
      <c r="O119" s="1285"/>
    </row>
    <row r="120" spans="1:15" ht="13.5" thickTop="1" x14ac:dyDescent="0.2">
      <c r="K120" s="1216">
        <v>2006</v>
      </c>
      <c r="L120" s="1221">
        <v>125.5902999361838</v>
      </c>
      <c r="M120" s="1284"/>
      <c r="N120" s="1285"/>
      <c r="O120" s="1285"/>
    </row>
    <row r="121" spans="1:15" x14ac:dyDescent="0.2">
      <c r="K121" s="1216">
        <v>2007</v>
      </c>
      <c r="L121" s="1221">
        <v>129.73835354179963</v>
      </c>
      <c r="M121" s="1284"/>
      <c r="N121" s="1285"/>
      <c r="O121" s="1285"/>
    </row>
    <row r="122" spans="1:15" x14ac:dyDescent="0.2">
      <c r="K122" s="1216">
        <v>2008</v>
      </c>
      <c r="L122" s="1221">
        <v>145.6285896617741</v>
      </c>
      <c r="M122" s="1284"/>
      <c r="N122" s="1285"/>
      <c r="O122" s="1285"/>
    </row>
    <row r="123" spans="1:15" x14ac:dyDescent="0.2">
      <c r="K123" s="1216">
        <v>2009</v>
      </c>
      <c r="L123" s="1222">
        <v>143.39502233567327</v>
      </c>
      <c r="M123" s="1284"/>
      <c r="N123" s="1285"/>
      <c r="O123" s="1285"/>
    </row>
    <row r="124" spans="1:15" x14ac:dyDescent="0.2">
      <c r="K124" s="1216">
        <v>2010</v>
      </c>
      <c r="L124" s="1222">
        <v>149.13848117421827</v>
      </c>
      <c r="M124" s="1284"/>
      <c r="N124" s="1285"/>
      <c r="O124" s="1285"/>
    </row>
    <row r="125" spans="1:15" x14ac:dyDescent="0.2">
      <c r="K125" s="1216">
        <v>2011</v>
      </c>
      <c r="L125" s="1222">
        <v>160.8806636885769</v>
      </c>
      <c r="M125" s="1284"/>
      <c r="N125" s="1285"/>
      <c r="O125" s="1285"/>
    </row>
    <row r="126" spans="1:15" x14ac:dyDescent="0.2">
      <c r="K126" s="1216">
        <v>2012</v>
      </c>
      <c r="L126" s="1222">
        <v>166.11359285258459</v>
      </c>
      <c r="M126" s="1284"/>
      <c r="N126" s="1285"/>
      <c r="O126" s="1285"/>
    </row>
    <row r="127" spans="1:15" x14ac:dyDescent="0.2">
      <c r="K127" s="1216">
        <v>2013</v>
      </c>
      <c r="L127" s="1222">
        <v>168.41097638800255</v>
      </c>
      <c r="M127" s="1284"/>
      <c r="N127" s="1285"/>
      <c r="O127" s="1285"/>
    </row>
    <row r="128" spans="1:15" x14ac:dyDescent="0.2">
      <c r="K128" s="1216">
        <v>2014</v>
      </c>
      <c r="L128" s="1222">
        <v>171.79323548181239</v>
      </c>
      <c r="N128" s="1285"/>
      <c r="O128" s="1285"/>
    </row>
    <row r="129" spans="1:15" x14ac:dyDescent="0.2">
      <c r="K129" s="1216">
        <v>2015</v>
      </c>
      <c r="L129" s="1222">
        <v>168.98532227185709</v>
      </c>
      <c r="N129" s="1285"/>
      <c r="O129" s="1285"/>
    </row>
    <row r="130" spans="1:15" ht="13.5" thickBot="1" x14ac:dyDescent="0.25">
      <c r="K130" s="1223">
        <v>2016</v>
      </c>
      <c r="L130" s="1224">
        <v>170.4530950861519</v>
      </c>
      <c r="M130" s="1284"/>
      <c r="N130" s="1285"/>
      <c r="O130" s="1285"/>
    </row>
    <row r="131" spans="1:15" ht="13.5" thickTop="1" x14ac:dyDescent="0.2">
      <c r="K131" s="305" t="s">
        <v>1205</v>
      </c>
    </row>
    <row r="132" spans="1:15" ht="13.5" thickBot="1" x14ac:dyDescent="0.25">
      <c r="K132" s="305" t="s">
        <v>1232</v>
      </c>
    </row>
    <row r="133" spans="1:15" ht="30.75" thickBot="1" x14ac:dyDescent="0.3">
      <c r="A133" s="1425" t="s">
        <v>1104</v>
      </c>
      <c r="B133" s="1426"/>
      <c r="C133" s="1426"/>
      <c r="D133" s="1426"/>
      <c r="E133" s="1426"/>
      <c r="F133" s="1426"/>
      <c r="G133" s="1426"/>
      <c r="H133" s="1426"/>
      <c r="I133" s="1427"/>
    </row>
    <row r="134" spans="1:15" ht="51" x14ac:dyDescent="0.2">
      <c r="A134" s="1409"/>
      <c r="B134" s="606"/>
      <c r="C134" s="1666" t="s">
        <v>124</v>
      </c>
      <c r="D134" s="1666"/>
      <c r="E134" s="1666"/>
      <c r="F134" s="1667" t="s">
        <v>125</v>
      </c>
      <c r="G134" s="1666"/>
      <c r="H134" s="1668"/>
      <c r="I134" s="1410" t="s">
        <v>126</v>
      </c>
    </row>
    <row r="135" spans="1:15" ht="30" customHeight="1" thickBot="1" x14ac:dyDescent="0.25">
      <c r="A135" s="581" t="s">
        <v>127</v>
      </c>
      <c r="B135" s="607" t="s">
        <v>128</v>
      </c>
      <c r="C135" s="608" t="s">
        <v>129</v>
      </c>
      <c r="D135" s="608" t="s">
        <v>398</v>
      </c>
      <c r="E135" s="608" t="s">
        <v>399</v>
      </c>
      <c r="F135" s="581" t="s">
        <v>403</v>
      </c>
      <c r="G135" s="582" t="s">
        <v>404</v>
      </c>
      <c r="H135" s="583" t="s">
        <v>405</v>
      </c>
      <c r="I135" s="1411" t="s">
        <v>130</v>
      </c>
    </row>
    <row r="136" spans="1:15" x14ac:dyDescent="0.2">
      <c r="A136" s="1412" t="s">
        <v>1086</v>
      </c>
      <c r="B136" s="609" t="s">
        <v>131</v>
      </c>
      <c r="C136" s="827">
        <f t="shared" ref="C136:I145" si="8">+AVERAGEIFS(D$165:D$524,$B$165:$B$524,$A136,$C$165:$C$524,"&gt;="&amp;startup_year,$C$165:$C$524,"&lt;="&amp;(startup_year+anal_period))</f>
        <v>1092333.3333333333</v>
      </c>
      <c r="D136" s="828">
        <f t="shared" si="8"/>
        <v>1092000</v>
      </c>
      <c r="E136" s="829">
        <f t="shared" si="8"/>
        <v>3983.1111111111113</v>
      </c>
      <c r="F136" s="830">
        <f t="shared" si="8"/>
        <v>5.7637</v>
      </c>
      <c r="G136" s="830">
        <f t="shared" si="8"/>
        <v>0.18463255555555558</v>
      </c>
      <c r="H136" s="830">
        <f t="shared" si="8"/>
        <v>8.6144444444444441E-4</v>
      </c>
      <c r="I136" s="1413">
        <f t="shared" si="8"/>
        <v>11.590077777777779</v>
      </c>
    </row>
    <row r="137" spans="1:15" ht="16.5" customHeight="1" x14ac:dyDescent="0.2">
      <c r="A137" s="1414" t="s">
        <v>283</v>
      </c>
      <c r="B137" s="610" t="s">
        <v>131</v>
      </c>
      <c r="C137" s="831">
        <f t="shared" si="8"/>
        <v>1092333.3333333333</v>
      </c>
      <c r="D137" s="832">
        <f t="shared" si="8"/>
        <v>1092000</v>
      </c>
      <c r="E137" s="833">
        <f t="shared" si="8"/>
        <v>3983.1111111111113</v>
      </c>
      <c r="F137" s="834">
        <f t="shared" si="8"/>
        <v>5.7637</v>
      </c>
      <c r="G137" s="834">
        <f t="shared" si="8"/>
        <v>0.18463255555555558</v>
      </c>
      <c r="H137" s="834">
        <f t="shared" si="8"/>
        <v>8.6144444444444441E-4</v>
      </c>
      <c r="I137" s="1415">
        <f t="shared" si="8"/>
        <v>11.590077777777779</v>
      </c>
    </row>
    <row r="138" spans="1:15" x14ac:dyDescent="0.2">
      <c r="A138" s="1416" t="s">
        <v>1087</v>
      </c>
      <c r="B138" s="1404" t="s">
        <v>131</v>
      </c>
      <c r="C138" s="1405">
        <f t="shared" si="8"/>
        <v>1092333.3333333333</v>
      </c>
      <c r="D138" s="1406">
        <f t="shared" si="8"/>
        <v>1092000</v>
      </c>
      <c r="E138" s="1407">
        <f t="shared" si="8"/>
        <v>3983.1111111111113</v>
      </c>
      <c r="F138" s="1408">
        <f t="shared" si="8"/>
        <v>5.7637</v>
      </c>
      <c r="G138" s="1408">
        <f t="shared" si="8"/>
        <v>0.18463255555555558</v>
      </c>
      <c r="H138" s="1408">
        <f t="shared" si="8"/>
        <v>8.6144444444444441E-4</v>
      </c>
      <c r="I138" s="1417">
        <f t="shared" si="8"/>
        <v>11.590077777777779</v>
      </c>
    </row>
    <row r="139" spans="1:15" x14ac:dyDescent="0.2">
      <c r="A139" s="1414" t="s">
        <v>681</v>
      </c>
      <c r="B139" s="611" t="s">
        <v>131</v>
      </c>
      <c r="C139" s="832">
        <f t="shared" si="8"/>
        <v>1092333.3333333333</v>
      </c>
      <c r="D139" s="832">
        <f t="shared" si="8"/>
        <v>1092000</v>
      </c>
      <c r="E139" s="832">
        <f t="shared" si="8"/>
        <v>3983.1111111111113</v>
      </c>
      <c r="F139" s="835">
        <f t="shared" si="8"/>
        <v>5.7637</v>
      </c>
      <c r="G139" s="834">
        <f t="shared" si="8"/>
        <v>0.18463255555555558</v>
      </c>
      <c r="H139" s="836">
        <f t="shared" si="8"/>
        <v>8.6144444444444441E-4</v>
      </c>
      <c r="I139" s="1415">
        <f t="shared" si="8"/>
        <v>11.590077777777779</v>
      </c>
    </row>
    <row r="140" spans="1:15" x14ac:dyDescent="0.2">
      <c r="A140" s="1414" t="s">
        <v>682</v>
      </c>
      <c r="B140" s="611" t="s">
        <v>1296</v>
      </c>
      <c r="C140" s="832">
        <f t="shared" si="8"/>
        <v>-1186000</v>
      </c>
      <c r="D140" s="832">
        <f t="shared" si="8"/>
        <v>0</v>
      </c>
      <c r="E140" s="832">
        <f t="shared" si="8"/>
        <v>0</v>
      </c>
      <c r="F140" s="835">
        <f t="shared" si="8"/>
        <v>-85.798888888888868</v>
      </c>
      <c r="G140" s="834">
        <f t="shared" si="8"/>
        <v>0.54695555555555553</v>
      </c>
      <c r="H140" s="836">
        <f t="shared" si="8"/>
        <v>-1.8301999999999997E-3</v>
      </c>
      <c r="I140" s="1415">
        <f t="shared" si="8"/>
        <v>-70.082222222222228</v>
      </c>
    </row>
    <row r="141" spans="1:15" x14ac:dyDescent="0.2">
      <c r="A141" s="1414" t="s">
        <v>683</v>
      </c>
      <c r="B141" s="611" t="s">
        <v>132</v>
      </c>
      <c r="C141" s="832">
        <f t="shared" si="8"/>
        <v>1787000</v>
      </c>
      <c r="D141" s="832">
        <f t="shared" si="8"/>
        <v>1370111.111111111</v>
      </c>
      <c r="E141" s="832">
        <f t="shared" si="8"/>
        <v>21116.666666666668</v>
      </c>
      <c r="F141" s="835">
        <f t="shared" si="8"/>
        <v>140.12111111111111</v>
      </c>
      <c r="G141" s="834">
        <f t="shared" si="8"/>
        <v>0.2125671111111111</v>
      </c>
      <c r="H141" s="836">
        <f t="shared" si="8"/>
        <v>2.0498222222222226E-3</v>
      </c>
      <c r="I141" s="1415">
        <f t="shared" si="8"/>
        <v>145.54777777777775</v>
      </c>
    </row>
    <row r="142" spans="1:15" x14ac:dyDescent="0.2">
      <c r="A142" s="1414" t="s">
        <v>698</v>
      </c>
      <c r="B142" s="611" t="s">
        <v>132</v>
      </c>
      <c r="C142" s="832">
        <f t="shared" si="8"/>
        <v>1787000</v>
      </c>
      <c r="D142" s="832">
        <f t="shared" si="8"/>
        <v>1370111.111111111</v>
      </c>
      <c r="E142" s="832">
        <f t="shared" si="8"/>
        <v>21116.666666666668</v>
      </c>
      <c r="F142" s="835">
        <f t="shared" si="8"/>
        <v>140.12111111111111</v>
      </c>
      <c r="G142" s="834">
        <f t="shared" si="8"/>
        <v>0.2125671111111111</v>
      </c>
      <c r="H142" s="836">
        <f t="shared" si="8"/>
        <v>2.0498222222222226E-3</v>
      </c>
      <c r="I142" s="1415">
        <f t="shared" si="8"/>
        <v>145.54777777777775</v>
      </c>
    </row>
    <row r="143" spans="1:15" x14ac:dyDescent="0.2">
      <c r="A143" s="1414" t="s">
        <v>684</v>
      </c>
      <c r="B143" s="611" t="s">
        <v>132</v>
      </c>
      <c r="C143" s="832">
        <f t="shared" si="8"/>
        <v>1787000</v>
      </c>
      <c r="D143" s="832">
        <f t="shared" si="8"/>
        <v>1370111.111111111</v>
      </c>
      <c r="E143" s="832">
        <f t="shared" si="8"/>
        <v>21116.666666666668</v>
      </c>
      <c r="F143" s="835">
        <f t="shared" si="8"/>
        <v>140.12111111111111</v>
      </c>
      <c r="G143" s="834">
        <f t="shared" si="8"/>
        <v>0.2125671111111111</v>
      </c>
      <c r="H143" s="836">
        <f t="shared" si="8"/>
        <v>2.0498222222222226E-3</v>
      </c>
      <c r="I143" s="1415">
        <f t="shared" si="8"/>
        <v>145.54777777777775</v>
      </c>
    </row>
    <row r="144" spans="1:15" x14ac:dyDescent="0.2">
      <c r="A144" s="1414" t="s">
        <v>1088</v>
      </c>
      <c r="B144" s="611" t="s">
        <v>133</v>
      </c>
      <c r="C144" s="832">
        <f t="shared" si="8"/>
        <v>1022000</v>
      </c>
      <c r="D144" s="832">
        <f t="shared" si="8"/>
        <v>1021000</v>
      </c>
      <c r="E144" s="832">
        <f t="shared" si="8"/>
        <v>15525.555555555555</v>
      </c>
      <c r="F144" s="835">
        <f t="shared" si="8"/>
        <v>1.7266111111111111</v>
      </c>
      <c r="G144" s="834">
        <f t="shared" si="8"/>
        <v>0.1409730933333333</v>
      </c>
      <c r="H144" s="836">
        <f t="shared" si="8"/>
        <v>3.3298666666666667E-5</v>
      </c>
      <c r="I144" s="1415">
        <f t="shared" si="8"/>
        <v>5.9858888888888888</v>
      </c>
    </row>
    <row r="145" spans="1:9" x14ac:dyDescent="0.2">
      <c r="A145" s="1414" t="s">
        <v>716</v>
      </c>
      <c r="B145" s="611" t="s">
        <v>133</v>
      </c>
      <c r="C145" s="832">
        <f t="shared" si="8"/>
        <v>1022000</v>
      </c>
      <c r="D145" s="832">
        <f t="shared" si="8"/>
        <v>1021000</v>
      </c>
      <c r="E145" s="832">
        <f t="shared" si="8"/>
        <v>15525.555555555555</v>
      </c>
      <c r="F145" s="835">
        <f t="shared" si="8"/>
        <v>1.7266111111111111</v>
      </c>
      <c r="G145" s="834">
        <f t="shared" si="8"/>
        <v>0.1409730933333333</v>
      </c>
      <c r="H145" s="836">
        <f t="shared" si="8"/>
        <v>3.3298666666666667E-5</v>
      </c>
      <c r="I145" s="1415">
        <f t="shared" si="8"/>
        <v>5.9858888888888888</v>
      </c>
    </row>
    <row r="146" spans="1:9" x14ac:dyDescent="0.2">
      <c r="A146" s="1414" t="s">
        <v>717</v>
      </c>
      <c r="B146" s="611" t="s">
        <v>133</v>
      </c>
      <c r="C146" s="832">
        <f t="shared" ref="C146:I153" si="9">+AVERAGEIFS(D$165:D$524,$B$165:$B$524,$A146,$C$165:$C$524,"&gt;="&amp;startup_year,$C$165:$C$524,"&lt;="&amp;(startup_year+anal_period))</f>
        <v>1022000</v>
      </c>
      <c r="D146" s="832">
        <f t="shared" si="9"/>
        <v>1021000</v>
      </c>
      <c r="E146" s="832">
        <f t="shared" si="9"/>
        <v>15525.555555555555</v>
      </c>
      <c r="F146" s="835">
        <f t="shared" si="9"/>
        <v>1.7266111111111111</v>
      </c>
      <c r="G146" s="834">
        <f t="shared" si="9"/>
        <v>0.1409730933333333</v>
      </c>
      <c r="H146" s="836">
        <f t="shared" si="9"/>
        <v>3.3298666666666667E-5</v>
      </c>
      <c r="I146" s="1415">
        <f t="shared" si="9"/>
        <v>5.9858888888888888</v>
      </c>
    </row>
    <row r="147" spans="1:9" x14ac:dyDescent="0.2">
      <c r="A147" s="1414" t="s">
        <v>913</v>
      </c>
      <c r="B147" s="611" t="s">
        <v>134</v>
      </c>
      <c r="C147" s="832">
        <f t="shared" si="9"/>
        <v>1209444.4444444445</v>
      </c>
      <c r="D147" s="832">
        <f t="shared" si="9"/>
        <v>1202666.6666666667</v>
      </c>
      <c r="E147" s="832">
        <f t="shared" si="9"/>
        <v>1052111.111111111</v>
      </c>
      <c r="F147" s="835">
        <f t="shared" si="9"/>
        <v>18.180666666666667</v>
      </c>
      <c r="G147" s="834">
        <f t="shared" si="9"/>
        <v>0.16397644444444445</v>
      </c>
      <c r="H147" s="836">
        <f t="shared" si="9"/>
        <v>2.936588888888889E-4</v>
      </c>
      <c r="I147" s="1415">
        <f t="shared" si="9"/>
        <v>23.206555555555557</v>
      </c>
    </row>
    <row r="148" spans="1:9" x14ac:dyDescent="0.2">
      <c r="A148" s="1414" t="s">
        <v>911</v>
      </c>
      <c r="B148" s="611" t="s">
        <v>1105</v>
      </c>
      <c r="C148" s="832">
        <f t="shared" si="9"/>
        <v>1592777.7777777778</v>
      </c>
      <c r="D148" s="832">
        <f t="shared" si="9"/>
        <v>700588.88888888888</v>
      </c>
      <c r="E148" s="832">
        <f t="shared" si="9"/>
        <v>286633.33333333331</v>
      </c>
      <c r="F148" s="835">
        <f t="shared" si="9"/>
        <v>38.703111111111113</v>
      </c>
      <c r="G148" s="834">
        <f t="shared" si="9"/>
        <v>0.1123</v>
      </c>
      <c r="H148" s="836">
        <f t="shared" si="9"/>
        <v>2.5603333333333339E-2</v>
      </c>
      <c r="I148" s="1415">
        <f t="shared" si="9"/>
        <v>45.774444444444448</v>
      </c>
    </row>
    <row r="149" spans="1:9" x14ac:dyDescent="0.2">
      <c r="A149" s="1414" t="s">
        <v>914</v>
      </c>
      <c r="B149" s="611" t="s">
        <v>134</v>
      </c>
      <c r="C149" s="832">
        <f t="shared" si="9"/>
        <v>1250222.2222222222</v>
      </c>
      <c r="D149" s="832">
        <f t="shared" si="9"/>
        <v>1242777.7777777778</v>
      </c>
      <c r="E149" s="832">
        <f t="shared" si="9"/>
        <v>1078333.3333333333</v>
      </c>
      <c r="F149" s="835">
        <f t="shared" si="9"/>
        <v>24.072999999999997</v>
      </c>
      <c r="G149" s="834">
        <f t="shared" si="9"/>
        <v>0.16967222222222225</v>
      </c>
      <c r="H149" s="836">
        <f t="shared" si="9"/>
        <v>3.8183666666666668E-4</v>
      </c>
      <c r="I149" s="1415">
        <f t="shared" si="9"/>
        <v>29.393666666666668</v>
      </c>
    </row>
    <row r="150" spans="1:9" x14ac:dyDescent="0.2">
      <c r="A150" s="1414" t="s">
        <v>1082</v>
      </c>
      <c r="B150" s="611" t="s">
        <v>1297</v>
      </c>
      <c r="C150" s="832">
        <f t="shared" si="9"/>
        <v>1190111.111111111</v>
      </c>
      <c r="D150" s="832">
        <f t="shared" si="9"/>
        <v>51895.555555555555</v>
      </c>
      <c r="E150" s="832">
        <f t="shared" si="9"/>
        <v>29306.666666666668</v>
      </c>
      <c r="F150" s="835">
        <f t="shared" si="9"/>
        <v>3.8090555555555556</v>
      </c>
      <c r="G150" s="834">
        <f t="shared" si="9"/>
        <v>8.4619555555555549E-3</v>
      </c>
      <c r="H150" s="836">
        <f t="shared" si="9"/>
        <v>-3.8254046666666669E-3</v>
      </c>
      <c r="I150" s="1415">
        <f t="shared" si="9"/>
        <v>3.0600888888888895</v>
      </c>
    </row>
    <row r="151" spans="1:9" x14ac:dyDescent="0.2">
      <c r="A151" s="1414" t="s">
        <v>815</v>
      </c>
      <c r="B151" s="611" t="s">
        <v>1297</v>
      </c>
      <c r="C151" s="832">
        <f t="shared" si="9"/>
        <v>1190111.111111111</v>
      </c>
      <c r="D151" s="832">
        <f t="shared" si="9"/>
        <v>51895.555555555555</v>
      </c>
      <c r="E151" s="832">
        <f t="shared" si="9"/>
        <v>29306.666666666668</v>
      </c>
      <c r="F151" s="835">
        <f t="shared" si="9"/>
        <v>3.8090555555555556</v>
      </c>
      <c r="G151" s="834">
        <f t="shared" si="9"/>
        <v>8.4619555555555549E-3</v>
      </c>
      <c r="H151" s="836">
        <f t="shared" si="9"/>
        <v>-3.8254046666666669E-3</v>
      </c>
      <c r="I151" s="1415">
        <f t="shared" si="9"/>
        <v>3.0600888888888895</v>
      </c>
    </row>
    <row r="152" spans="1:9" x14ac:dyDescent="0.2">
      <c r="A152" s="1414" t="s">
        <v>824</v>
      </c>
      <c r="B152" s="611" t="s">
        <v>1297</v>
      </c>
      <c r="C152" s="832">
        <f t="shared" si="9"/>
        <v>1190111.111111111</v>
      </c>
      <c r="D152" s="832">
        <f t="shared" si="9"/>
        <v>51895.555555555555</v>
      </c>
      <c r="E152" s="832">
        <f t="shared" si="9"/>
        <v>29306.666666666668</v>
      </c>
      <c r="F152" s="835">
        <f t="shared" si="9"/>
        <v>3.8090555555555556</v>
      </c>
      <c r="G152" s="834">
        <f t="shared" si="9"/>
        <v>8.4619555555555549E-3</v>
      </c>
      <c r="H152" s="836">
        <f t="shared" si="9"/>
        <v>-3.8254046666666669E-3</v>
      </c>
      <c r="I152" s="1415">
        <f t="shared" si="9"/>
        <v>3.0600888888888895</v>
      </c>
    </row>
    <row r="153" spans="1:9" ht="13.5" thickBot="1" x14ac:dyDescent="0.25">
      <c r="A153" s="1418" t="s">
        <v>1089</v>
      </c>
      <c r="B153" s="1419" t="s">
        <v>1298</v>
      </c>
      <c r="C153" s="1420">
        <f t="shared" si="9"/>
        <v>1384111.111111111</v>
      </c>
      <c r="D153" s="1420">
        <f t="shared" si="9"/>
        <v>1383222.2222222222</v>
      </c>
      <c r="E153" s="1420">
        <f t="shared" si="9"/>
        <v>5049.1111111111113</v>
      </c>
      <c r="F153" s="1421">
        <f t="shared" si="9"/>
        <v>78.603844444444448</v>
      </c>
      <c r="G153" s="1422">
        <f t="shared" si="9"/>
        <v>0.27492888888888889</v>
      </c>
      <c r="H153" s="1423">
        <f t="shared" si="9"/>
        <v>2.3310333333333333E-3</v>
      </c>
      <c r="I153" s="1424">
        <f t="shared" si="9"/>
        <v>87.627188888888881</v>
      </c>
    </row>
    <row r="162" spans="2:10" ht="13.5" thickBot="1" x14ac:dyDescent="0.25">
      <c r="B162" s="305" t="s">
        <v>1295</v>
      </c>
    </row>
    <row r="163" spans="2:10" ht="51" x14ac:dyDescent="0.2">
      <c r="D163" s="1386" t="s">
        <v>124</v>
      </c>
      <c r="E163" s="1387"/>
      <c r="F163" s="1388"/>
      <c r="G163" s="1386" t="s">
        <v>125</v>
      </c>
      <c r="H163" s="1387"/>
      <c r="I163" s="1387"/>
      <c r="J163" s="1388" t="s">
        <v>126</v>
      </c>
    </row>
    <row r="164" spans="2:10" ht="13.5" thickBot="1" x14ac:dyDescent="0.25">
      <c r="B164" s="1" t="s">
        <v>248</v>
      </c>
      <c r="C164" s="1" t="s">
        <v>1085</v>
      </c>
      <c r="D164" s="1389" t="s">
        <v>129</v>
      </c>
      <c r="E164" s="1390" t="s">
        <v>398</v>
      </c>
      <c r="F164" s="1391" t="s">
        <v>399</v>
      </c>
      <c r="G164" s="1389" t="s">
        <v>403</v>
      </c>
      <c r="H164" s="1390" t="s">
        <v>404</v>
      </c>
      <c r="I164" s="1390" t="s">
        <v>405</v>
      </c>
      <c r="J164" s="1391" t="s">
        <v>130</v>
      </c>
    </row>
    <row r="165" spans="2:10" x14ac:dyDescent="0.2">
      <c r="B165" s="1392" t="s">
        <v>1086</v>
      </c>
      <c r="C165" s="1393">
        <v>2005</v>
      </c>
      <c r="D165" s="1392">
        <v>1094000</v>
      </c>
      <c r="E165" s="1394">
        <v>1094000</v>
      </c>
      <c r="F165" s="1395">
        <v>4252</v>
      </c>
      <c r="G165" s="1392">
        <v>5.9984999999999999</v>
      </c>
      <c r="H165" s="1394">
        <v>0.18232600000000002</v>
      </c>
      <c r="I165" s="1394">
        <v>8.8801999999999994E-5</v>
      </c>
      <c r="J165" s="1395">
        <v>11.536999999999999</v>
      </c>
    </row>
    <row r="166" spans="2:10" x14ac:dyDescent="0.2">
      <c r="B166" s="1396" t="s">
        <v>283</v>
      </c>
      <c r="C166" s="1397">
        <v>2005</v>
      </c>
      <c r="D166" s="1396">
        <v>1094000</v>
      </c>
      <c r="E166" s="1398">
        <v>1094000</v>
      </c>
      <c r="F166" s="1399">
        <v>4252</v>
      </c>
      <c r="G166" s="1396">
        <v>5.9984999999999999</v>
      </c>
      <c r="H166" s="1398">
        <v>0.18232600000000002</v>
      </c>
      <c r="I166" s="1398">
        <v>8.8801999999999994E-5</v>
      </c>
      <c r="J166" s="1399">
        <v>11.536999999999999</v>
      </c>
    </row>
    <row r="167" spans="2:10" x14ac:dyDescent="0.2">
      <c r="B167" s="1396" t="s">
        <v>1087</v>
      </c>
      <c r="C167" s="1397">
        <v>2005</v>
      </c>
      <c r="D167" s="1396">
        <v>1094000</v>
      </c>
      <c r="E167" s="1398">
        <v>1094000</v>
      </c>
      <c r="F167" s="1399">
        <v>4252</v>
      </c>
      <c r="G167" s="1396">
        <v>5.9984999999999999</v>
      </c>
      <c r="H167" s="1398">
        <v>0.18232600000000002</v>
      </c>
      <c r="I167" s="1398">
        <v>8.8801999999999994E-5</v>
      </c>
      <c r="J167" s="1399">
        <v>11.536999999999999</v>
      </c>
    </row>
    <row r="168" spans="2:10" x14ac:dyDescent="0.2">
      <c r="B168" s="1396" t="s">
        <v>681</v>
      </c>
      <c r="C168" s="1397">
        <v>2005</v>
      </c>
      <c r="D168" s="1396">
        <v>1094000</v>
      </c>
      <c r="E168" s="1398">
        <v>1094000</v>
      </c>
      <c r="F168" s="1399">
        <v>4252</v>
      </c>
      <c r="G168" s="1396">
        <v>5.9984999999999999</v>
      </c>
      <c r="H168" s="1398">
        <v>0.18232600000000002</v>
      </c>
      <c r="I168" s="1398">
        <v>8.8801999999999994E-5</v>
      </c>
      <c r="J168" s="1399">
        <v>11.536999999999999</v>
      </c>
    </row>
    <row r="169" spans="2:10" x14ac:dyDescent="0.2">
      <c r="B169" s="1396" t="s">
        <v>682</v>
      </c>
      <c r="C169" s="1397">
        <v>2005</v>
      </c>
      <c r="D169" s="1396">
        <v>-1208000</v>
      </c>
      <c r="E169" s="1398">
        <v>0</v>
      </c>
      <c r="F169" s="1399">
        <v>0</v>
      </c>
      <c r="G169" s="1396">
        <v>-85.789999999999992</v>
      </c>
      <c r="H169" s="1398">
        <v>0.54689999999999994</v>
      </c>
      <c r="I169" s="1398">
        <v>-1.4884E-3</v>
      </c>
      <c r="J169" s="1399">
        <v>-70</v>
      </c>
    </row>
    <row r="170" spans="2:10" x14ac:dyDescent="0.2">
      <c r="B170" s="1396" t="s">
        <v>683</v>
      </c>
      <c r="C170" s="1397">
        <v>2005</v>
      </c>
      <c r="D170" s="1396">
        <v>2475000</v>
      </c>
      <c r="E170" s="1398">
        <v>2129000</v>
      </c>
      <c r="F170" s="1399">
        <v>124000</v>
      </c>
      <c r="G170" s="1396">
        <v>251.83</v>
      </c>
      <c r="H170" s="1398">
        <v>0.31369799999999998</v>
      </c>
      <c r="I170" s="1398">
        <v>3.6604999999999997E-3</v>
      </c>
      <c r="J170" s="1399">
        <v>255.85999999999999</v>
      </c>
    </row>
    <row r="171" spans="2:10" x14ac:dyDescent="0.2">
      <c r="B171" s="1396" t="s">
        <v>698</v>
      </c>
      <c r="C171" s="1397">
        <v>2005</v>
      </c>
      <c r="D171" s="1396">
        <v>2475000</v>
      </c>
      <c r="E171" s="1398">
        <v>2129000</v>
      </c>
      <c r="F171" s="1399">
        <v>124000</v>
      </c>
      <c r="G171" s="1396">
        <v>251.83</v>
      </c>
      <c r="H171" s="1398">
        <v>0.31369799999999998</v>
      </c>
      <c r="I171" s="1398">
        <v>3.6604999999999997E-3</v>
      </c>
      <c r="J171" s="1399">
        <v>255.85999999999999</v>
      </c>
    </row>
    <row r="172" spans="2:10" x14ac:dyDescent="0.2">
      <c r="B172" s="1396" t="s">
        <v>684</v>
      </c>
      <c r="C172" s="1397">
        <v>2005</v>
      </c>
      <c r="D172" s="1396">
        <v>2475000</v>
      </c>
      <c r="E172" s="1398">
        <v>2129000</v>
      </c>
      <c r="F172" s="1399">
        <v>124000</v>
      </c>
      <c r="G172" s="1396">
        <v>251.83</v>
      </c>
      <c r="H172" s="1398">
        <v>0.31369799999999998</v>
      </c>
      <c r="I172" s="1398">
        <v>3.6604999999999997E-3</v>
      </c>
      <c r="J172" s="1399">
        <v>255.85999999999999</v>
      </c>
    </row>
    <row r="173" spans="2:10" x14ac:dyDescent="0.2">
      <c r="B173" s="1396" t="s">
        <v>1088</v>
      </c>
      <c r="C173" s="1397">
        <v>2005</v>
      </c>
      <c r="D173" s="1396">
        <v>1023000</v>
      </c>
      <c r="E173" s="1398">
        <v>1022000</v>
      </c>
      <c r="F173" s="1399">
        <v>15840</v>
      </c>
      <c r="G173" s="1396">
        <v>1.9352</v>
      </c>
      <c r="H173" s="1398">
        <v>0.14136591000000001</v>
      </c>
      <c r="I173" s="1398">
        <v>3.6392E-5</v>
      </c>
      <c r="J173" s="1399">
        <v>6.2023000000000001</v>
      </c>
    </row>
    <row r="174" spans="2:10" x14ac:dyDescent="0.2">
      <c r="B174" s="1396" t="s">
        <v>716</v>
      </c>
      <c r="C174" s="1397">
        <v>2005</v>
      </c>
      <c r="D174" s="1396">
        <v>1023000</v>
      </c>
      <c r="E174" s="1398">
        <v>1022000</v>
      </c>
      <c r="F174" s="1399">
        <v>15840</v>
      </c>
      <c r="G174" s="1396">
        <v>1.9352</v>
      </c>
      <c r="H174" s="1398">
        <v>0.14136591000000001</v>
      </c>
      <c r="I174" s="1398">
        <v>3.6392E-5</v>
      </c>
      <c r="J174" s="1399">
        <v>6.2023000000000001</v>
      </c>
    </row>
    <row r="175" spans="2:10" x14ac:dyDescent="0.2">
      <c r="B175" s="1396" t="s">
        <v>717</v>
      </c>
      <c r="C175" s="1397">
        <v>2005</v>
      </c>
      <c r="D175" s="1396">
        <v>1023000</v>
      </c>
      <c r="E175" s="1398">
        <v>1022000</v>
      </c>
      <c r="F175" s="1399">
        <v>15840</v>
      </c>
      <c r="G175" s="1396">
        <v>1.9352</v>
      </c>
      <c r="H175" s="1398">
        <v>0.14136591000000001</v>
      </c>
      <c r="I175" s="1398">
        <v>3.6392E-5</v>
      </c>
      <c r="J175" s="1399">
        <v>6.2023000000000001</v>
      </c>
    </row>
    <row r="176" spans="2:10" x14ac:dyDescent="0.2">
      <c r="B176" s="1396" t="s">
        <v>913</v>
      </c>
      <c r="C176" s="1397">
        <v>2005</v>
      </c>
      <c r="D176" s="1396">
        <v>1205000</v>
      </c>
      <c r="E176" s="1398">
        <v>1200000</v>
      </c>
      <c r="F176" s="1399">
        <v>1056000</v>
      </c>
      <c r="G176" s="1396">
        <v>18.433</v>
      </c>
      <c r="H176" s="1398">
        <v>0.18217</v>
      </c>
      <c r="I176" s="1398">
        <v>2.0549999999999998E-4</v>
      </c>
      <c r="J176" s="1399">
        <v>23.908999999999999</v>
      </c>
    </row>
    <row r="177" spans="2:10" x14ac:dyDescent="0.2">
      <c r="B177" s="1396" t="s">
        <v>911</v>
      </c>
      <c r="C177" s="1397">
        <v>2005</v>
      </c>
      <c r="D177" s="1396">
        <v>1760000</v>
      </c>
      <c r="E177" s="1398">
        <v>783400</v>
      </c>
      <c r="F177" s="1399">
        <v>307400</v>
      </c>
      <c r="G177" s="1396">
        <v>47.923999999999999</v>
      </c>
      <c r="H177" s="1398">
        <v>0.13161500000000001</v>
      </c>
      <c r="I177" s="1398">
        <v>3.3619999999999997E-2</v>
      </c>
      <c r="J177" s="1399">
        <v>56.43</v>
      </c>
    </row>
    <row r="178" spans="2:10" x14ac:dyDescent="0.2">
      <c r="B178" s="1396" t="s">
        <v>914</v>
      </c>
      <c r="C178" s="1397">
        <v>2005</v>
      </c>
      <c r="D178" s="1396">
        <v>1248000</v>
      </c>
      <c r="E178" s="1398">
        <v>1242000</v>
      </c>
      <c r="F178" s="1399">
        <v>1084000</v>
      </c>
      <c r="G178" s="1396">
        <v>24.465</v>
      </c>
      <c r="H178" s="1398">
        <v>0.18840200000000001</v>
      </c>
      <c r="I178" s="1398">
        <v>2.7361999999999997E-4</v>
      </c>
      <c r="J178" s="1399">
        <v>30.237000000000002</v>
      </c>
    </row>
    <row r="179" spans="2:10" x14ac:dyDescent="0.2">
      <c r="B179" s="1396" t="s">
        <v>1082</v>
      </c>
      <c r="C179" s="1397">
        <v>2005</v>
      </c>
      <c r="D179" s="1396">
        <v>1195000</v>
      </c>
      <c r="E179" s="1398">
        <v>56800</v>
      </c>
      <c r="F179" s="1399">
        <v>32280</v>
      </c>
      <c r="G179" s="1396">
        <v>4.3339999999999996</v>
      </c>
      <c r="H179" s="1398">
        <v>9.434399999999999E-3</v>
      </c>
      <c r="I179" s="1398">
        <v>-3.8369229999999999E-3</v>
      </c>
      <c r="J179" s="1399">
        <v>3.6147</v>
      </c>
    </row>
    <row r="180" spans="2:10" x14ac:dyDescent="0.2">
      <c r="B180" s="1396" t="s">
        <v>815</v>
      </c>
      <c r="C180" s="1397">
        <v>2005</v>
      </c>
      <c r="D180" s="1396">
        <v>1195000</v>
      </c>
      <c r="E180" s="1398">
        <v>56800</v>
      </c>
      <c r="F180" s="1399">
        <v>32280</v>
      </c>
      <c r="G180" s="1396">
        <v>4.3339999999999996</v>
      </c>
      <c r="H180" s="1398">
        <v>9.434399999999999E-3</v>
      </c>
      <c r="I180" s="1398">
        <v>-3.8369229999999999E-3</v>
      </c>
      <c r="J180" s="1399">
        <v>3.6147</v>
      </c>
    </row>
    <row r="181" spans="2:10" x14ac:dyDescent="0.2">
      <c r="B181" s="1396" t="s">
        <v>824</v>
      </c>
      <c r="C181" s="1397">
        <v>2005</v>
      </c>
      <c r="D181" s="1396">
        <v>1195000</v>
      </c>
      <c r="E181" s="1398">
        <v>56800</v>
      </c>
      <c r="F181" s="1399">
        <v>32280</v>
      </c>
      <c r="G181" s="1396">
        <v>4.3339999999999996</v>
      </c>
      <c r="H181" s="1398">
        <v>9.434399999999999E-3</v>
      </c>
      <c r="I181" s="1398">
        <v>-3.8369229999999999E-3</v>
      </c>
      <c r="J181" s="1399">
        <v>3.6147</v>
      </c>
    </row>
    <row r="182" spans="2:10" ht="13.5" thickBot="1" x14ac:dyDescent="0.25">
      <c r="B182" s="1400" t="s">
        <v>1089</v>
      </c>
      <c r="C182" s="1401">
        <v>2005</v>
      </c>
      <c r="D182" s="1400">
        <v>1387000</v>
      </c>
      <c r="E182" s="1402">
        <v>1386000</v>
      </c>
      <c r="F182" s="1403">
        <v>5427</v>
      </c>
      <c r="G182" s="1400">
        <v>78.934799999999996</v>
      </c>
      <c r="H182" s="1402">
        <v>0.27050000000000002</v>
      </c>
      <c r="I182" s="1402">
        <v>1.418723E-3</v>
      </c>
      <c r="J182" s="1403">
        <v>87.571399999999997</v>
      </c>
    </row>
    <row r="183" spans="2:10" x14ac:dyDescent="0.2">
      <c r="B183" s="1392" t="s">
        <v>1086</v>
      </c>
      <c r="C183" s="1393">
        <v>2010</v>
      </c>
      <c r="D183" s="1392">
        <v>1094000</v>
      </c>
      <c r="E183" s="1394">
        <v>1093000</v>
      </c>
      <c r="F183" s="1395">
        <v>4104</v>
      </c>
      <c r="G183" s="1392">
        <v>5.9177</v>
      </c>
      <c r="H183" s="1394">
        <v>0.18431800000000001</v>
      </c>
      <c r="I183" s="1394">
        <v>8.6370000000000001E-4</v>
      </c>
      <c r="J183" s="1395">
        <v>11.7387</v>
      </c>
    </row>
    <row r="184" spans="2:10" x14ac:dyDescent="0.2">
      <c r="B184" s="1396" t="s">
        <v>283</v>
      </c>
      <c r="C184" s="1397">
        <v>2010</v>
      </c>
      <c r="D184" s="1396">
        <v>1094000</v>
      </c>
      <c r="E184" s="1398">
        <v>1093000</v>
      </c>
      <c r="F184" s="1399">
        <v>4104</v>
      </c>
      <c r="G184" s="1396">
        <v>5.9177</v>
      </c>
      <c r="H184" s="1398">
        <v>0.18431800000000001</v>
      </c>
      <c r="I184" s="1398">
        <v>8.6370000000000001E-4</v>
      </c>
      <c r="J184" s="1399">
        <v>11.7387</v>
      </c>
    </row>
    <row r="185" spans="2:10" x14ac:dyDescent="0.2">
      <c r="B185" s="1396" t="s">
        <v>1087</v>
      </c>
      <c r="C185" s="1397">
        <v>2010</v>
      </c>
      <c r="D185" s="1396">
        <v>1094000</v>
      </c>
      <c r="E185" s="1398">
        <v>1093000</v>
      </c>
      <c r="F185" s="1399">
        <v>4104</v>
      </c>
      <c r="G185" s="1396">
        <v>5.9177</v>
      </c>
      <c r="H185" s="1398">
        <v>0.18431800000000001</v>
      </c>
      <c r="I185" s="1398">
        <v>8.6370000000000001E-4</v>
      </c>
      <c r="J185" s="1399">
        <v>11.7387</v>
      </c>
    </row>
    <row r="186" spans="2:10" x14ac:dyDescent="0.2">
      <c r="B186" s="1396" t="s">
        <v>681</v>
      </c>
      <c r="C186" s="1397">
        <v>2010</v>
      </c>
      <c r="D186" s="1396">
        <v>1094000</v>
      </c>
      <c r="E186" s="1398">
        <v>1093000</v>
      </c>
      <c r="F186" s="1399">
        <v>4104</v>
      </c>
      <c r="G186" s="1396">
        <v>5.9177</v>
      </c>
      <c r="H186" s="1398">
        <v>0.18431800000000001</v>
      </c>
      <c r="I186" s="1398">
        <v>8.6370000000000001E-4</v>
      </c>
      <c r="J186" s="1399">
        <v>11.7387</v>
      </c>
    </row>
    <row r="187" spans="2:10" x14ac:dyDescent="0.2">
      <c r="B187" s="1396" t="s">
        <v>682</v>
      </c>
      <c r="C187" s="1397">
        <v>2010</v>
      </c>
      <c r="D187" s="1396">
        <v>-1208000</v>
      </c>
      <c r="E187" s="1398">
        <v>0</v>
      </c>
      <c r="F187" s="1399">
        <v>0</v>
      </c>
      <c r="G187" s="1396">
        <v>-85.789999999999992</v>
      </c>
      <c r="H187" s="1398">
        <v>0.54600000000000004</v>
      </c>
      <c r="I187" s="1398">
        <v>-1.8614999999999999E-3</v>
      </c>
      <c r="J187" s="1399">
        <v>-70.12</v>
      </c>
    </row>
    <row r="188" spans="2:10" x14ac:dyDescent="0.2">
      <c r="B188" s="1396" t="s">
        <v>683</v>
      </c>
      <c r="C188" s="1397">
        <v>2010</v>
      </c>
      <c r="D188" s="1396">
        <v>2254000</v>
      </c>
      <c r="E188" s="1398">
        <v>1938000</v>
      </c>
      <c r="F188" s="1399">
        <v>52730</v>
      </c>
      <c r="G188" s="1396">
        <v>220.67</v>
      </c>
      <c r="H188" s="1398">
        <v>0.288267</v>
      </c>
      <c r="I188" s="1398">
        <v>3.4012000000000001E-3</v>
      </c>
      <c r="J188" s="1399">
        <v>228.91000000000003</v>
      </c>
    </row>
    <row r="189" spans="2:10" x14ac:dyDescent="0.2">
      <c r="B189" s="1396" t="s">
        <v>698</v>
      </c>
      <c r="C189" s="1397">
        <v>2010</v>
      </c>
      <c r="D189" s="1396">
        <v>2254000</v>
      </c>
      <c r="E189" s="1398">
        <v>1938000</v>
      </c>
      <c r="F189" s="1399">
        <v>52730</v>
      </c>
      <c r="G189" s="1396">
        <v>220.67</v>
      </c>
      <c r="H189" s="1398">
        <v>0.288267</v>
      </c>
      <c r="I189" s="1398">
        <v>3.4012000000000001E-3</v>
      </c>
      <c r="J189" s="1399">
        <v>228.91000000000003</v>
      </c>
    </row>
    <row r="190" spans="2:10" x14ac:dyDescent="0.2">
      <c r="B190" s="1396" t="s">
        <v>684</v>
      </c>
      <c r="C190" s="1397">
        <v>2010</v>
      </c>
      <c r="D190" s="1396">
        <v>2254000</v>
      </c>
      <c r="E190" s="1398">
        <v>1938000</v>
      </c>
      <c r="F190" s="1399">
        <v>52730</v>
      </c>
      <c r="G190" s="1396">
        <v>220.67</v>
      </c>
      <c r="H190" s="1398">
        <v>0.288267</v>
      </c>
      <c r="I190" s="1398">
        <v>3.4012000000000001E-3</v>
      </c>
      <c r="J190" s="1399">
        <v>228.91000000000003</v>
      </c>
    </row>
    <row r="191" spans="2:10" x14ac:dyDescent="0.2">
      <c r="B191" s="1396" t="s">
        <v>1088</v>
      </c>
      <c r="C191" s="1397">
        <v>2010</v>
      </c>
      <c r="D191" s="1396">
        <v>1023000</v>
      </c>
      <c r="E191" s="1398">
        <v>1022000</v>
      </c>
      <c r="F191" s="1399">
        <v>15710</v>
      </c>
      <c r="G191" s="1396">
        <v>1.8761000000000001</v>
      </c>
      <c r="H191" s="1398">
        <v>0.14136795000000002</v>
      </c>
      <c r="I191" s="1398">
        <v>3.5802E-5</v>
      </c>
      <c r="J191" s="1399">
        <v>6.1511000000000005</v>
      </c>
    </row>
    <row r="192" spans="2:10" x14ac:dyDescent="0.2">
      <c r="B192" s="1396" t="s">
        <v>716</v>
      </c>
      <c r="C192" s="1397">
        <v>2010</v>
      </c>
      <c r="D192" s="1396">
        <v>1023000</v>
      </c>
      <c r="E192" s="1398">
        <v>1022000</v>
      </c>
      <c r="F192" s="1399">
        <v>15710</v>
      </c>
      <c r="G192" s="1396">
        <v>1.8761000000000001</v>
      </c>
      <c r="H192" s="1398">
        <v>0.14136795000000002</v>
      </c>
      <c r="I192" s="1398">
        <v>3.5802E-5</v>
      </c>
      <c r="J192" s="1399">
        <v>6.1511000000000005</v>
      </c>
    </row>
    <row r="193" spans="2:10" x14ac:dyDescent="0.2">
      <c r="B193" s="1396" t="s">
        <v>717</v>
      </c>
      <c r="C193" s="1397">
        <v>2010</v>
      </c>
      <c r="D193" s="1396">
        <v>1023000</v>
      </c>
      <c r="E193" s="1398">
        <v>1022000</v>
      </c>
      <c r="F193" s="1399">
        <v>15710</v>
      </c>
      <c r="G193" s="1396">
        <v>1.8761000000000001</v>
      </c>
      <c r="H193" s="1398">
        <v>0.14136795000000002</v>
      </c>
      <c r="I193" s="1398">
        <v>3.5802E-5</v>
      </c>
      <c r="J193" s="1399">
        <v>6.1511000000000005</v>
      </c>
    </row>
    <row r="194" spans="2:10" x14ac:dyDescent="0.2">
      <c r="B194" s="1396" t="s">
        <v>913</v>
      </c>
      <c r="C194" s="1397">
        <v>2010</v>
      </c>
      <c r="D194" s="1396">
        <v>1206000</v>
      </c>
      <c r="E194" s="1398">
        <v>1201000</v>
      </c>
      <c r="F194" s="1399">
        <v>1056000</v>
      </c>
      <c r="G194" s="1396">
        <v>18.166999999999998</v>
      </c>
      <c r="H194" s="1398">
        <v>0.18199899999999999</v>
      </c>
      <c r="I194" s="1398">
        <v>2.9639E-4</v>
      </c>
      <c r="J194" s="1399">
        <v>23.741999999999997</v>
      </c>
    </row>
    <row r="195" spans="2:10" x14ac:dyDescent="0.2">
      <c r="B195" s="1396" t="s">
        <v>911</v>
      </c>
      <c r="C195" s="1397">
        <v>2010</v>
      </c>
      <c r="D195" s="1396">
        <v>1687000</v>
      </c>
      <c r="E195" s="1398">
        <v>740000</v>
      </c>
      <c r="F195" s="1399">
        <v>297100</v>
      </c>
      <c r="G195" s="1396">
        <v>42.921999999999997</v>
      </c>
      <c r="H195" s="1398">
        <v>0.12687100000000001</v>
      </c>
      <c r="I195" s="1398">
        <v>2.955E-2</v>
      </c>
      <c r="J195" s="1399">
        <v>50.54</v>
      </c>
    </row>
    <row r="196" spans="2:10" x14ac:dyDescent="0.2">
      <c r="B196" s="1396" t="s">
        <v>914</v>
      </c>
      <c r="C196" s="1397">
        <v>2010</v>
      </c>
      <c r="D196" s="1396">
        <v>1248000</v>
      </c>
      <c r="E196" s="1398">
        <v>1242000</v>
      </c>
      <c r="F196" s="1399">
        <v>1083000</v>
      </c>
      <c r="G196" s="1396">
        <v>24.158999999999999</v>
      </c>
      <c r="H196" s="1398">
        <v>0.18823500000000001</v>
      </c>
      <c r="I196" s="1398">
        <v>3.8572999999999998E-4</v>
      </c>
      <c r="J196" s="1399">
        <v>30.041</v>
      </c>
    </row>
    <row r="197" spans="2:10" x14ac:dyDescent="0.2">
      <c r="B197" s="1396" t="s">
        <v>1082</v>
      </c>
      <c r="C197" s="1397">
        <v>2010</v>
      </c>
      <c r="D197" s="1396">
        <v>1194000</v>
      </c>
      <c r="E197" s="1398">
        <v>56320</v>
      </c>
      <c r="F197" s="1399">
        <v>32080</v>
      </c>
      <c r="G197" s="1396">
        <v>4.2514000000000003</v>
      </c>
      <c r="H197" s="1398">
        <v>9.6048000000000001E-3</v>
      </c>
      <c r="I197" s="1398">
        <v>-3.820487E-3</v>
      </c>
      <c r="J197" s="1399">
        <v>3.5488999999999997</v>
      </c>
    </row>
    <row r="198" spans="2:10" x14ac:dyDescent="0.2">
      <c r="B198" s="1396" t="s">
        <v>815</v>
      </c>
      <c r="C198" s="1397">
        <v>2010</v>
      </c>
      <c r="D198" s="1396">
        <v>1194000</v>
      </c>
      <c r="E198" s="1398">
        <v>56320</v>
      </c>
      <c r="F198" s="1399">
        <v>32080</v>
      </c>
      <c r="G198" s="1396">
        <v>4.2514000000000003</v>
      </c>
      <c r="H198" s="1398">
        <v>9.6048000000000001E-3</v>
      </c>
      <c r="I198" s="1398">
        <v>-3.820487E-3</v>
      </c>
      <c r="J198" s="1399">
        <v>3.5488999999999997</v>
      </c>
    </row>
    <row r="199" spans="2:10" x14ac:dyDescent="0.2">
      <c r="B199" s="1396" t="s">
        <v>824</v>
      </c>
      <c r="C199" s="1397">
        <v>2010</v>
      </c>
      <c r="D199" s="1396">
        <v>1194000</v>
      </c>
      <c r="E199" s="1398">
        <v>56320</v>
      </c>
      <c r="F199" s="1399">
        <v>32080</v>
      </c>
      <c r="G199" s="1396">
        <v>4.2514000000000003</v>
      </c>
      <c r="H199" s="1398">
        <v>9.6048000000000001E-3</v>
      </c>
      <c r="I199" s="1398">
        <v>-3.820487E-3</v>
      </c>
      <c r="J199" s="1399">
        <v>3.5488999999999997</v>
      </c>
    </row>
    <row r="200" spans="2:10" ht="13.5" thickBot="1" x14ac:dyDescent="0.25">
      <c r="B200" s="1400" t="s">
        <v>1089</v>
      </c>
      <c r="C200" s="1401">
        <v>2010</v>
      </c>
      <c r="D200" s="1400">
        <v>1386000</v>
      </c>
      <c r="E200" s="1402">
        <v>1385000</v>
      </c>
      <c r="F200" s="1403">
        <v>5215</v>
      </c>
      <c r="G200" s="1400">
        <v>78.8352</v>
      </c>
      <c r="H200" s="1402">
        <v>0.27453</v>
      </c>
      <c r="I200" s="1402">
        <v>2.3346E-3</v>
      </c>
      <c r="J200" s="1403">
        <v>87.848799999999997</v>
      </c>
    </row>
    <row r="201" spans="2:10" x14ac:dyDescent="0.2">
      <c r="B201" s="1392" t="s">
        <v>1086</v>
      </c>
      <c r="C201" s="1393">
        <v>2015</v>
      </c>
      <c r="D201" s="1392">
        <v>1093000</v>
      </c>
      <c r="E201" s="1394">
        <v>1092000</v>
      </c>
      <c r="F201" s="1395">
        <v>4020</v>
      </c>
      <c r="G201" s="1392">
        <v>5.8287000000000004</v>
      </c>
      <c r="H201" s="1394">
        <v>0.18472100000000002</v>
      </c>
      <c r="I201" s="1394">
        <v>8.6249999999999999E-4</v>
      </c>
      <c r="J201" s="1395">
        <v>11.659600000000001</v>
      </c>
    </row>
    <row r="202" spans="2:10" x14ac:dyDescent="0.2">
      <c r="B202" s="1396" t="s">
        <v>283</v>
      </c>
      <c r="C202" s="1397">
        <v>2015</v>
      </c>
      <c r="D202" s="1396">
        <v>1093000</v>
      </c>
      <c r="E202" s="1398">
        <v>1092000</v>
      </c>
      <c r="F202" s="1399">
        <v>4020</v>
      </c>
      <c r="G202" s="1396">
        <v>5.8287000000000004</v>
      </c>
      <c r="H202" s="1398">
        <v>0.18472100000000002</v>
      </c>
      <c r="I202" s="1398">
        <v>8.6249999999999999E-4</v>
      </c>
      <c r="J202" s="1399">
        <v>11.659600000000001</v>
      </c>
    </row>
    <row r="203" spans="2:10" x14ac:dyDescent="0.2">
      <c r="B203" s="1396" t="s">
        <v>1087</v>
      </c>
      <c r="C203" s="1397">
        <v>2015</v>
      </c>
      <c r="D203" s="1396">
        <v>1093000</v>
      </c>
      <c r="E203" s="1398">
        <v>1092000</v>
      </c>
      <c r="F203" s="1399">
        <v>4020</v>
      </c>
      <c r="G203" s="1396">
        <v>5.8287000000000004</v>
      </c>
      <c r="H203" s="1398">
        <v>0.18472100000000002</v>
      </c>
      <c r="I203" s="1398">
        <v>8.6249999999999999E-4</v>
      </c>
      <c r="J203" s="1399">
        <v>11.659600000000001</v>
      </c>
    </row>
    <row r="204" spans="2:10" x14ac:dyDescent="0.2">
      <c r="B204" s="1396" t="s">
        <v>681</v>
      </c>
      <c r="C204" s="1397">
        <v>2015</v>
      </c>
      <c r="D204" s="1396">
        <v>1093000</v>
      </c>
      <c r="E204" s="1398">
        <v>1092000</v>
      </c>
      <c r="F204" s="1399">
        <v>4020</v>
      </c>
      <c r="G204" s="1396">
        <v>5.8287000000000004</v>
      </c>
      <c r="H204" s="1398">
        <v>0.18472100000000002</v>
      </c>
      <c r="I204" s="1398">
        <v>8.6249999999999999E-4</v>
      </c>
      <c r="J204" s="1399">
        <v>11.659600000000001</v>
      </c>
    </row>
    <row r="205" spans="2:10" x14ac:dyDescent="0.2">
      <c r="B205" s="1396" t="s">
        <v>682</v>
      </c>
      <c r="C205" s="1397">
        <v>2015</v>
      </c>
      <c r="D205" s="1396">
        <v>-1194000</v>
      </c>
      <c r="E205" s="1398">
        <v>0</v>
      </c>
      <c r="F205" s="1399">
        <v>0</v>
      </c>
      <c r="G205" s="1396">
        <v>-85.789999999999992</v>
      </c>
      <c r="H205" s="1398">
        <v>0.54659999999999997</v>
      </c>
      <c r="I205" s="1398">
        <v>-1.8422E-3</v>
      </c>
      <c r="J205" s="1399">
        <v>-70.099999999999994</v>
      </c>
    </row>
    <row r="206" spans="2:10" x14ac:dyDescent="0.2">
      <c r="B206" s="1396" t="s">
        <v>683</v>
      </c>
      <c r="C206" s="1397">
        <v>2015</v>
      </c>
      <c r="D206" s="1396">
        <v>2038000</v>
      </c>
      <c r="E206" s="1398">
        <v>1688000</v>
      </c>
      <c r="F206" s="1399">
        <v>38920</v>
      </c>
      <c r="G206" s="1396">
        <v>180.61</v>
      </c>
      <c r="H206" s="1398">
        <v>0.25748300000000002</v>
      </c>
      <c r="I206" s="1398">
        <v>2.7356999999999998E-3</v>
      </c>
      <c r="J206" s="1399">
        <v>187.32</v>
      </c>
    </row>
    <row r="207" spans="2:10" x14ac:dyDescent="0.2">
      <c r="B207" s="1396" t="s">
        <v>698</v>
      </c>
      <c r="C207" s="1397">
        <v>2015</v>
      </c>
      <c r="D207" s="1396">
        <v>2038000</v>
      </c>
      <c r="E207" s="1398">
        <v>1688000</v>
      </c>
      <c r="F207" s="1399">
        <v>38920</v>
      </c>
      <c r="G207" s="1396">
        <v>180.61</v>
      </c>
      <c r="H207" s="1398">
        <v>0.25748300000000002</v>
      </c>
      <c r="I207" s="1398">
        <v>2.7356999999999998E-3</v>
      </c>
      <c r="J207" s="1399">
        <v>187.32</v>
      </c>
    </row>
    <row r="208" spans="2:10" x14ac:dyDescent="0.2">
      <c r="B208" s="1396" t="s">
        <v>684</v>
      </c>
      <c r="C208" s="1397">
        <v>2015</v>
      </c>
      <c r="D208" s="1396">
        <v>2038000</v>
      </c>
      <c r="E208" s="1398">
        <v>1688000</v>
      </c>
      <c r="F208" s="1399">
        <v>38920</v>
      </c>
      <c r="G208" s="1396">
        <v>180.61</v>
      </c>
      <c r="H208" s="1398">
        <v>0.25748300000000002</v>
      </c>
      <c r="I208" s="1398">
        <v>2.7356999999999998E-3</v>
      </c>
      <c r="J208" s="1399">
        <v>187.32</v>
      </c>
    </row>
    <row r="209" spans="2:10" x14ac:dyDescent="0.2">
      <c r="B209" s="1396" t="s">
        <v>1088</v>
      </c>
      <c r="C209" s="1397">
        <v>2015</v>
      </c>
      <c r="D209" s="1396">
        <v>1022000</v>
      </c>
      <c r="E209" s="1398">
        <v>1021000</v>
      </c>
      <c r="F209" s="1399">
        <v>15590</v>
      </c>
      <c r="G209" s="1396">
        <v>1.8048999999999999</v>
      </c>
      <c r="H209" s="1398">
        <v>0.14106285999999998</v>
      </c>
      <c r="I209" s="1398">
        <v>3.4603000000000001E-5</v>
      </c>
      <c r="J209" s="1399">
        <v>6.0683999999999996</v>
      </c>
    </row>
    <row r="210" spans="2:10" x14ac:dyDescent="0.2">
      <c r="B210" s="1396" t="s">
        <v>716</v>
      </c>
      <c r="C210" s="1397">
        <v>2015</v>
      </c>
      <c r="D210" s="1396">
        <v>1022000</v>
      </c>
      <c r="E210" s="1398">
        <v>1021000</v>
      </c>
      <c r="F210" s="1399">
        <v>15590</v>
      </c>
      <c r="G210" s="1396">
        <v>1.8048999999999999</v>
      </c>
      <c r="H210" s="1398">
        <v>0.14106285999999998</v>
      </c>
      <c r="I210" s="1398">
        <v>3.4603000000000001E-5</v>
      </c>
      <c r="J210" s="1399">
        <v>6.0683999999999996</v>
      </c>
    </row>
    <row r="211" spans="2:10" x14ac:dyDescent="0.2">
      <c r="B211" s="1396" t="s">
        <v>717</v>
      </c>
      <c r="C211" s="1397">
        <v>2015</v>
      </c>
      <c r="D211" s="1396">
        <v>1022000</v>
      </c>
      <c r="E211" s="1398">
        <v>1021000</v>
      </c>
      <c r="F211" s="1399">
        <v>15590</v>
      </c>
      <c r="G211" s="1396">
        <v>1.8048999999999999</v>
      </c>
      <c r="H211" s="1398">
        <v>0.14106285999999998</v>
      </c>
      <c r="I211" s="1398">
        <v>3.4603000000000001E-5</v>
      </c>
      <c r="J211" s="1399">
        <v>6.0683999999999996</v>
      </c>
    </row>
    <row r="212" spans="2:10" x14ac:dyDescent="0.2">
      <c r="B212" s="1396" t="s">
        <v>913</v>
      </c>
      <c r="C212" s="1397">
        <v>2015</v>
      </c>
      <c r="D212" s="1396">
        <v>1210000</v>
      </c>
      <c r="E212" s="1398">
        <v>1204000</v>
      </c>
      <c r="F212" s="1399">
        <v>1053000</v>
      </c>
      <c r="G212" s="1396">
        <v>18.527999999999999</v>
      </c>
      <c r="H212" s="1398">
        <v>0.16494200000000001</v>
      </c>
      <c r="I212" s="1398">
        <v>2.9771000000000002E-4</v>
      </c>
      <c r="J212" s="1399">
        <v>23.579000000000001</v>
      </c>
    </row>
    <row r="213" spans="2:10" x14ac:dyDescent="0.2">
      <c r="B213" s="1396" t="s">
        <v>911</v>
      </c>
      <c r="C213" s="1397">
        <v>2015</v>
      </c>
      <c r="D213" s="1396">
        <v>1642000</v>
      </c>
      <c r="E213" s="1398">
        <v>724000</v>
      </c>
      <c r="F213" s="1399">
        <v>290600</v>
      </c>
      <c r="G213" s="1396">
        <v>41.042999999999999</v>
      </c>
      <c r="H213" s="1398">
        <v>0.1162</v>
      </c>
      <c r="I213" s="1398">
        <v>2.7609999999999999E-2</v>
      </c>
      <c r="J213" s="1399">
        <v>48.36</v>
      </c>
    </row>
    <row r="214" spans="2:10" x14ac:dyDescent="0.2">
      <c r="B214" s="1396" t="s">
        <v>914</v>
      </c>
      <c r="C214" s="1397">
        <v>2015</v>
      </c>
      <c r="D214" s="1396">
        <v>1252000</v>
      </c>
      <c r="E214" s="1398">
        <v>1245000</v>
      </c>
      <c r="F214" s="1399">
        <v>1081000</v>
      </c>
      <c r="G214" s="1396">
        <v>24.462</v>
      </c>
      <c r="H214" s="1398">
        <v>0.17067199999999999</v>
      </c>
      <c r="I214" s="1398">
        <v>3.8633E-4</v>
      </c>
      <c r="J214" s="1399">
        <v>29.811999999999998</v>
      </c>
    </row>
    <row r="215" spans="2:10" x14ac:dyDescent="0.2">
      <c r="B215" s="1396" t="s">
        <v>1082</v>
      </c>
      <c r="C215" s="1397">
        <v>2015</v>
      </c>
      <c r="D215" s="1396">
        <v>1191000</v>
      </c>
      <c r="E215" s="1398">
        <v>53390</v>
      </c>
      <c r="F215" s="1399">
        <v>29910</v>
      </c>
      <c r="G215" s="1396">
        <v>3.9701</v>
      </c>
      <c r="H215" s="1398">
        <v>8.6864999999999998E-3</v>
      </c>
      <c r="I215" s="1398">
        <v>-3.8232459999999998E-3</v>
      </c>
      <c r="J215" s="1399">
        <v>3.2326999999999999</v>
      </c>
    </row>
    <row r="216" spans="2:10" x14ac:dyDescent="0.2">
      <c r="B216" s="1396" t="s">
        <v>815</v>
      </c>
      <c r="C216" s="1397">
        <v>2015</v>
      </c>
      <c r="D216" s="1396">
        <v>1191000</v>
      </c>
      <c r="E216" s="1398">
        <v>53390</v>
      </c>
      <c r="F216" s="1399">
        <v>29910</v>
      </c>
      <c r="G216" s="1396">
        <v>3.9701</v>
      </c>
      <c r="H216" s="1398">
        <v>8.6864999999999998E-3</v>
      </c>
      <c r="I216" s="1398">
        <v>-3.8232459999999998E-3</v>
      </c>
      <c r="J216" s="1399">
        <v>3.2326999999999999</v>
      </c>
    </row>
    <row r="217" spans="2:10" x14ac:dyDescent="0.2">
      <c r="B217" s="1396" t="s">
        <v>824</v>
      </c>
      <c r="C217" s="1397">
        <v>2015</v>
      </c>
      <c r="D217" s="1396">
        <v>1191000</v>
      </c>
      <c r="E217" s="1398">
        <v>53390</v>
      </c>
      <c r="F217" s="1399">
        <v>29910</v>
      </c>
      <c r="G217" s="1396">
        <v>3.9701</v>
      </c>
      <c r="H217" s="1398">
        <v>8.6864999999999998E-3</v>
      </c>
      <c r="I217" s="1398">
        <v>-3.8232459999999998E-3</v>
      </c>
      <c r="J217" s="1399">
        <v>3.2326999999999999</v>
      </c>
    </row>
    <row r="218" spans="2:10" ht="13.5" thickBot="1" x14ac:dyDescent="0.25">
      <c r="B218" s="1400" t="s">
        <v>1089</v>
      </c>
      <c r="C218" s="1401">
        <v>2015</v>
      </c>
      <c r="D218" s="1400">
        <v>1385000</v>
      </c>
      <c r="E218" s="1402">
        <v>1384000</v>
      </c>
      <c r="F218" s="1403">
        <v>5105</v>
      </c>
      <c r="G218" s="1400">
        <v>78.707400000000007</v>
      </c>
      <c r="H218" s="1402">
        <v>0.27494000000000002</v>
      </c>
      <c r="I218" s="1402">
        <v>2.3330999999999998E-3</v>
      </c>
      <c r="J218" s="1403">
        <v>87.730800000000002</v>
      </c>
    </row>
    <row r="219" spans="2:10" x14ac:dyDescent="0.2">
      <c r="B219" s="1392" t="s">
        <v>1086</v>
      </c>
      <c r="C219" s="1393">
        <v>2020</v>
      </c>
      <c r="D219" s="1392">
        <v>1093000</v>
      </c>
      <c r="E219" s="1394">
        <v>1092000</v>
      </c>
      <c r="F219" s="1395">
        <v>3993</v>
      </c>
      <c r="G219" s="1392">
        <v>5.7995000000000001</v>
      </c>
      <c r="H219" s="1394">
        <v>0.18462100000000001</v>
      </c>
      <c r="I219" s="1394">
        <v>8.6209999999999998E-4</v>
      </c>
      <c r="J219" s="1395">
        <v>11.6227</v>
      </c>
    </row>
    <row r="220" spans="2:10" x14ac:dyDescent="0.2">
      <c r="B220" s="1396" t="s">
        <v>283</v>
      </c>
      <c r="C220" s="1397">
        <v>2020</v>
      </c>
      <c r="D220" s="1396">
        <v>1093000</v>
      </c>
      <c r="E220" s="1398">
        <v>1092000</v>
      </c>
      <c r="F220" s="1399">
        <v>3993</v>
      </c>
      <c r="G220" s="1396">
        <v>5.7995000000000001</v>
      </c>
      <c r="H220" s="1398">
        <v>0.18462100000000001</v>
      </c>
      <c r="I220" s="1398">
        <v>8.6209999999999998E-4</v>
      </c>
      <c r="J220" s="1399">
        <v>11.6227</v>
      </c>
    </row>
    <row r="221" spans="2:10" x14ac:dyDescent="0.2">
      <c r="B221" s="1396" t="s">
        <v>1087</v>
      </c>
      <c r="C221" s="1397">
        <v>2020</v>
      </c>
      <c r="D221" s="1396">
        <v>1093000</v>
      </c>
      <c r="E221" s="1398">
        <v>1092000</v>
      </c>
      <c r="F221" s="1399">
        <v>3993</v>
      </c>
      <c r="G221" s="1396">
        <v>5.7995000000000001</v>
      </c>
      <c r="H221" s="1398">
        <v>0.18462100000000001</v>
      </c>
      <c r="I221" s="1398">
        <v>8.6209999999999998E-4</v>
      </c>
      <c r="J221" s="1399">
        <v>11.6227</v>
      </c>
    </row>
    <row r="222" spans="2:10" x14ac:dyDescent="0.2">
      <c r="B222" s="1396" t="s">
        <v>681</v>
      </c>
      <c r="C222" s="1397">
        <v>2020</v>
      </c>
      <c r="D222" s="1396">
        <v>1093000</v>
      </c>
      <c r="E222" s="1398">
        <v>1092000</v>
      </c>
      <c r="F222" s="1399">
        <v>3993</v>
      </c>
      <c r="G222" s="1396">
        <v>5.7995000000000001</v>
      </c>
      <c r="H222" s="1398">
        <v>0.18462100000000001</v>
      </c>
      <c r="I222" s="1398">
        <v>8.6209999999999998E-4</v>
      </c>
      <c r="J222" s="1399">
        <v>11.6227</v>
      </c>
    </row>
    <row r="223" spans="2:10" x14ac:dyDescent="0.2">
      <c r="B223" s="1396" t="s">
        <v>682</v>
      </c>
      <c r="C223" s="1397">
        <v>2020</v>
      </c>
      <c r="D223" s="1396">
        <v>-1185000</v>
      </c>
      <c r="E223" s="1398">
        <v>0</v>
      </c>
      <c r="F223" s="1399">
        <v>0</v>
      </c>
      <c r="G223" s="1396">
        <v>-85.800000000000011</v>
      </c>
      <c r="H223" s="1398">
        <v>0.54700000000000004</v>
      </c>
      <c r="I223" s="1398">
        <v>-1.8286999999999999E-3</v>
      </c>
      <c r="J223" s="1399">
        <v>-70.08</v>
      </c>
    </row>
    <row r="224" spans="2:10" x14ac:dyDescent="0.2">
      <c r="B224" s="1396" t="s">
        <v>683</v>
      </c>
      <c r="C224" s="1397">
        <v>2020</v>
      </c>
      <c r="D224" s="1396">
        <v>1866000</v>
      </c>
      <c r="E224" s="1398">
        <v>1484000</v>
      </c>
      <c r="F224" s="1399">
        <v>26490</v>
      </c>
      <c r="G224" s="1396">
        <v>161.61000000000001</v>
      </c>
      <c r="H224" s="1398">
        <v>0.22423899999999999</v>
      </c>
      <c r="I224" s="1398">
        <v>2.4153E-3</v>
      </c>
      <c r="J224" s="1399">
        <v>168.06</v>
      </c>
    </row>
    <row r="225" spans="2:10" x14ac:dyDescent="0.2">
      <c r="B225" s="1396" t="s">
        <v>698</v>
      </c>
      <c r="C225" s="1397">
        <v>2020</v>
      </c>
      <c r="D225" s="1396">
        <v>1866000</v>
      </c>
      <c r="E225" s="1398">
        <v>1484000</v>
      </c>
      <c r="F225" s="1399">
        <v>26490</v>
      </c>
      <c r="G225" s="1396">
        <v>161.61000000000001</v>
      </c>
      <c r="H225" s="1398">
        <v>0.22423899999999999</v>
      </c>
      <c r="I225" s="1398">
        <v>2.4153E-3</v>
      </c>
      <c r="J225" s="1399">
        <v>168.06</v>
      </c>
    </row>
    <row r="226" spans="2:10" x14ac:dyDescent="0.2">
      <c r="B226" s="1396" t="s">
        <v>684</v>
      </c>
      <c r="C226" s="1397">
        <v>2020</v>
      </c>
      <c r="D226" s="1396">
        <v>1866000</v>
      </c>
      <c r="E226" s="1398">
        <v>1484000</v>
      </c>
      <c r="F226" s="1399">
        <v>26490</v>
      </c>
      <c r="G226" s="1396">
        <v>161.61000000000001</v>
      </c>
      <c r="H226" s="1398">
        <v>0.22423899999999999</v>
      </c>
      <c r="I226" s="1398">
        <v>2.4153E-3</v>
      </c>
      <c r="J226" s="1399">
        <v>168.06</v>
      </c>
    </row>
    <row r="227" spans="2:10" x14ac:dyDescent="0.2">
      <c r="B227" s="1396" t="s">
        <v>1088</v>
      </c>
      <c r="C227" s="1397">
        <v>2020</v>
      </c>
      <c r="D227" s="1396">
        <v>1022000</v>
      </c>
      <c r="E227" s="1398">
        <v>1021000</v>
      </c>
      <c r="F227" s="1399">
        <v>15530</v>
      </c>
      <c r="G227" s="1396">
        <v>1.7706</v>
      </c>
      <c r="H227" s="1398">
        <v>0.14096106</v>
      </c>
      <c r="I227" s="1398">
        <v>3.4058000000000005E-5</v>
      </c>
      <c r="J227" s="1399">
        <v>6.0322999999999993</v>
      </c>
    </row>
    <row r="228" spans="2:10" x14ac:dyDescent="0.2">
      <c r="B228" s="1396" t="s">
        <v>716</v>
      </c>
      <c r="C228" s="1397">
        <v>2020</v>
      </c>
      <c r="D228" s="1396">
        <v>1022000</v>
      </c>
      <c r="E228" s="1398">
        <v>1021000</v>
      </c>
      <c r="F228" s="1399">
        <v>15530</v>
      </c>
      <c r="G228" s="1396">
        <v>1.7706</v>
      </c>
      <c r="H228" s="1398">
        <v>0.14096106</v>
      </c>
      <c r="I228" s="1398">
        <v>3.4058000000000005E-5</v>
      </c>
      <c r="J228" s="1399">
        <v>6.0322999999999993</v>
      </c>
    </row>
    <row r="229" spans="2:10" x14ac:dyDescent="0.2">
      <c r="B229" s="1396" t="s">
        <v>717</v>
      </c>
      <c r="C229" s="1397">
        <v>2020</v>
      </c>
      <c r="D229" s="1396">
        <v>1022000</v>
      </c>
      <c r="E229" s="1398">
        <v>1021000</v>
      </c>
      <c r="F229" s="1399">
        <v>15530</v>
      </c>
      <c r="G229" s="1396">
        <v>1.7706</v>
      </c>
      <c r="H229" s="1398">
        <v>0.14096106</v>
      </c>
      <c r="I229" s="1398">
        <v>3.4058000000000005E-5</v>
      </c>
      <c r="J229" s="1399">
        <v>6.0322999999999993</v>
      </c>
    </row>
    <row r="230" spans="2:10" x14ac:dyDescent="0.2">
      <c r="B230" s="1396" t="s">
        <v>913</v>
      </c>
      <c r="C230" s="1397">
        <v>2020</v>
      </c>
      <c r="D230" s="1396">
        <v>1211000</v>
      </c>
      <c r="E230" s="1398">
        <v>1205000</v>
      </c>
      <c r="F230" s="1399">
        <v>1052000</v>
      </c>
      <c r="G230" s="1396">
        <v>18.605999999999998</v>
      </c>
      <c r="H230" s="1398">
        <v>0.162991</v>
      </c>
      <c r="I230" s="1398">
        <v>3.0018999999999998E-4</v>
      </c>
      <c r="J230" s="1399">
        <v>23.607999999999997</v>
      </c>
    </row>
    <row r="231" spans="2:10" x14ac:dyDescent="0.2">
      <c r="B231" s="1396" t="s">
        <v>911</v>
      </c>
      <c r="C231" s="1397">
        <v>2020</v>
      </c>
      <c r="D231" s="1396">
        <v>1591000</v>
      </c>
      <c r="E231" s="1398">
        <v>703100</v>
      </c>
      <c r="F231" s="1399">
        <v>286400</v>
      </c>
      <c r="G231" s="1396">
        <v>39.366999999999997</v>
      </c>
      <c r="H231" s="1398">
        <v>0.11210000000000001</v>
      </c>
      <c r="I231" s="1398">
        <v>2.5360000000000001E-2</v>
      </c>
      <c r="J231" s="1399">
        <v>46.16</v>
      </c>
    </row>
    <row r="232" spans="2:10" x14ac:dyDescent="0.2">
      <c r="B232" s="1396" t="s">
        <v>914</v>
      </c>
      <c r="C232" s="1397">
        <v>2020</v>
      </c>
      <c r="D232" s="1396">
        <v>1252000</v>
      </c>
      <c r="E232" s="1398">
        <v>1245000</v>
      </c>
      <c r="F232" s="1399">
        <v>1078000</v>
      </c>
      <c r="G232" s="1396">
        <v>24.533999999999999</v>
      </c>
      <c r="H232" s="1398">
        <v>0.16861900000000002</v>
      </c>
      <c r="I232" s="1398">
        <v>3.8906999999999999E-4</v>
      </c>
      <c r="J232" s="1399">
        <v>29.833999999999996</v>
      </c>
    </row>
    <row r="233" spans="2:10" x14ac:dyDescent="0.2">
      <c r="B233" s="1396" t="s">
        <v>1082</v>
      </c>
      <c r="C233" s="1397">
        <v>2020</v>
      </c>
      <c r="D233" s="1396">
        <v>1190000</v>
      </c>
      <c r="E233" s="1398">
        <v>52190</v>
      </c>
      <c r="F233" s="1399">
        <v>29260</v>
      </c>
      <c r="G233" s="1396">
        <v>3.8701999999999996</v>
      </c>
      <c r="H233" s="1398">
        <v>8.4535000000000009E-3</v>
      </c>
      <c r="I233" s="1398">
        <v>-3.824488E-3</v>
      </c>
      <c r="J233" s="1399">
        <v>3.1251000000000002</v>
      </c>
    </row>
    <row r="234" spans="2:10" x14ac:dyDescent="0.2">
      <c r="B234" s="1396" t="s">
        <v>815</v>
      </c>
      <c r="C234" s="1397">
        <v>2020</v>
      </c>
      <c r="D234" s="1396">
        <v>1190000</v>
      </c>
      <c r="E234" s="1398">
        <v>52190</v>
      </c>
      <c r="F234" s="1399">
        <v>29260</v>
      </c>
      <c r="G234" s="1396">
        <v>3.8701999999999996</v>
      </c>
      <c r="H234" s="1398">
        <v>8.4535000000000009E-3</v>
      </c>
      <c r="I234" s="1398">
        <v>-3.824488E-3</v>
      </c>
      <c r="J234" s="1399">
        <v>3.1251000000000002</v>
      </c>
    </row>
    <row r="235" spans="2:10" x14ac:dyDescent="0.2">
      <c r="B235" s="1396" t="s">
        <v>824</v>
      </c>
      <c r="C235" s="1397">
        <v>2020</v>
      </c>
      <c r="D235" s="1396">
        <v>1190000</v>
      </c>
      <c r="E235" s="1398">
        <v>52190</v>
      </c>
      <c r="F235" s="1399">
        <v>29260</v>
      </c>
      <c r="G235" s="1396">
        <v>3.8701999999999996</v>
      </c>
      <c r="H235" s="1398">
        <v>8.4535000000000009E-3</v>
      </c>
      <c r="I235" s="1398">
        <v>-3.824488E-3</v>
      </c>
      <c r="J235" s="1399">
        <v>3.1251000000000002</v>
      </c>
    </row>
    <row r="236" spans="2:10" ht="13.5" thickBot="1" x14ac:dyDescent="0.25">
      <c r="B236" s="1400" t="s">
        <v>1089</v>
      </c>
      <c r="C236" s="1401">
        <v>2020</v>
      </c>
      <c r="D236" s="1400">
        <v>1384000</v>
      </c>
      <c r="E236" s="1402">
        <v>1384000</v>
      </c>
      <c r="F236" s="1403">
        <v>5066</v>
      </c>
      <c r="G236" s="1400">
        <v>78.656899999999993</v>
      </c>
      <c r="H236" s="1402">
        <v>0.27494000000000002</v>
      </c>
      <c r="I236" s="1402">
        <v>2.3319E-3</v>
      </c>
      <c r="J236" s="1403">
        <v>87.680599999999998</v>
      </c>
    </row>
    <row r="237" spans="2:10" x14ac:dyDescent="0.2">
      <c r="B237" s="1392" t="s">
        <v>1086</v>
      </c>
      <c r="C237" s="1393">
        <v>2025</v>
      </c>
      <c r="D237" s="1392">
        <v>1093000</v>
      </c>
      <c r="E237" s="1394">
        <v>1092000</v>
      </c>
      <c r="F237" s="1395">
        <v>3984</v>
      </c>
      <c r="G237" s="1392">
        <v>5.7702</v>
      </c>
      <c r="H237" s="1394">
        <v>0.18462100000000001</v>
      </c>
      <c r="I237" s="1394">
        <v>8.6159999999999991E-4</v>
      </c>
      <c r="J237" s="1395">
        <v>11.5953</v>
      </c>
    </row>
    <row r="238" spans="2:10" x14ac:dyDescent="0.2">
      <c r="B238" s="1396" t="s">
        <v>283</v>
      </c>
      <c r="C238" s="1397">
        <v>2025</v>
      </c>
      <c r="D238" s="1396">
        <v>1093000</v>
      </c>
      <c r="E238" s="1398">
        <v>1092000</v>
      </c>
      <c r="F238" s="1399">
        <v>3984</v>
      </c>
      <c r="G238" s="1396">
        <v>5.7702</v>
      </c>
      <c r="H238" s="1398">
        <v>0.18462100000000001</v>
      </c>
      <c r="I238" s="1398">
        <v>8.6159999999999991E-4</v>
      </c>
      <c r="J238" s="1399">
        <v>11.5953</v>
      </c>
    </row>
    <row r="239" spans="2:10" x14ac:dyDescent="0.2">
      <c r="B239" s="1396" t="s">
        <v>1087</v>
      </c>
      <c r="C239" s="1397">
        <v>2025</v>
      </c>
      <c r="D239" s="1396">
        <v>1093000</v>
      </c>
      <c r="E239" s="1398">
        <v>1092000</v>
      </c>
      <c r="F239" s="1399">
        <v>3984</v>
      </c>
      <c r="G239" s="1396">
        <v>5.7702</v>
      </c>
      <c r="H239" s="1398">
        <v>0.18462100000000001</v>
      </c>
      <c r="I239" s="1398">
        <v>8.6159999999999991E-4</v>
      </c>
      <c r="J239" s="1399">
        <v>11.5953</v>
      </c>
    </row>
    <row r="240" spans="2:10" x14ac:dyDescent="0.2">
      <c r="B240" s="1396" t="s">
        <v>681</v>
      </c>
      <c r="C240" s="1397">
        <v>2025</v>
      </c>
      <c r="D240" s="1396">
        <v>1093000</v>
      </c>
      <c r="E240" s="1398">
        <v>1092000</v>
      </c>
      <c r="F240" s="1399">
        <v>3984</v>
      </c>
      <c r="G240" s="1396">
        <v>5.7702</v>
      </c>
      <c r="H240" s="1398">
        <v>0.18462100000000001</v>
      </c>
      <c r="I240" s="1398">
        <v>8.6159999999999991E-4</v>
      </c>
      <c r="J240" s="1399">
        <v>11.5953</v>
      </c>
    </row>
    <row r="241" spans="2:10" x14ac:dyDescent="0.2">
      <c r="B241" s="1396" t="s">
        <v>682</v>
      </c>
      <c r="C241" s="1397">
        <v>2025</v>
      </c>
      <c r="D241" s="1396">
        <v>-1185000</v>
      </c>
      <c r="E241" s="1398">
        <v>0</v>
      </c>
      <c r="F241" s="1399">
        <v>0</v>
      </c>
      <c r="G241" s="1396">
        <v>-85.800000000000011</v>
      </c>
      <c r="H241" s="1398">
        <v>0.54700000000000004</v>
      </c>
      <c r="I241" s="1398">
        <v>-1.8286999999999999E-3</v>
      </c>
      <c r="J241" s="1399">
        <v>-70.08</v>
      </c>
    </row>
    <row r="242" spans="2:10" x14ac:dyDescent="0.2">
      <c r="B242" s="1396" t="s">
        <v>683</v>
      </c>
      <c r="C242" s="1397">
        <v>2025</v>
      </c>
      <c r="D242" s="1396">
        <v>1787000</v>
      </c>
      <c r="E242" s="1398">
        <v>1356000</v>
      </c>
      <c r="F242" s="1399">
        <v>23200</v>
      </c>
      <c r="G242" s="1396">
        <v>145.11000000000001</v>
      </c>
      <c r="H242" s="1398">
        <v>0.20658799999999999</v>
      </c>
      <c r="I242" s="1398">
        <v>2.1538999999999998E-3</v>
      </c>
      <c r="J242" s="1399">
        <v>150.89999999999998</v>
      </c>
    </row>
    <row r="243" spans="2:10" x14ac:dyDescent="0.2">
      <c r="B243" s="1396" t="s">
        <v>698</v>
      </c>
      <c r="C243" s="1397">
        <v>2025</v>
      </c>
      <c r="D243" s="1396">
        <v>1787000</v>
      </c>
      <c r="E243" s="1398">
        <v>1356000</v>
      </c>
      <c r="F243" s="1399">
        <v>23200</v>
      </c>
      <c r="G243" s="1396">
        <v>145.11000000000001</v>
      </c>
      <c r="H243" s="1398">
        <v>0.20658799999999999</v>
      </c>
      <c r="I243" s="1398">
        <v>2.1538999999999998E-3</v>
      </c>
      <c r="J243" s="1399">
        <v>150.89999999999998</v>
      </c>
    </row>
    <row r="244" spans="2:10" x14ac:dyDescent="0.2">
      <c r="B244" s="1396" t="s">
        <v>684</v>
      </c>
      <c r="C244" s="1397">
        <v>2025</v>
      </c>
      <c r="D244" s="1396">
        <v>1787000</v>
      </c>
      <c r="E244" s="1398">
        <v>1356000</v>
      </c>
      <c r="F244" s="1399">
        <v>23200</v>
      </c>
      <c r="G244" s="1396">
        <v>145.11000000000001</v>
      </c>
      <c r="H244" s="1398">
        <v>0.20658799999999999</v>
      </c>
      <c r="I244" s="1398">
        <v>2.1538999999999998E-3</v>
      </c>
      <c r="J244" s="1399">
        <v>150.89999999999998</v>
      </c>
    </row>
    <row r="245" spans="2:10" x14ac:dyDescent="0.2">
      <c r="B245" s="1396" t="s">
        <v>1088</v>
      </c>
      <c r="C245" s="1397">
        <v>2025</v>
      </c>
      <c r="D245" s="1396">
        <v>1022000</v>
      </c>
      <c r="E245" s="1398">
        <v>1021000</v>
      </c>
      <c r="F245" s="1399">
        <v>15530</v>
      </c>
      <c r="G245" s="1396">
        <v>1.7374000000000001</v>
      </c>
      <c r="H245" s="1398">
        <v>0.14096106999999999</v>
      </c>
      <c r="I245" s="1398">
        <v>3.3522000000000002E-5</v>
      </c>
      <c r="J245" s="1399">
        <v>5.9969999999999999</v>
      </c>
    </row>
    <row r="246" spans="2:10" x14ac:dyDescent="0.2">
      <c r="B246" s="1396" t="s">
        <v>716</v>
      </c>
      <c r="C246" s="1397">
        <v>2025</v>
      </c>
      <c r="D246" s="1396">
        <v>1022000</v>
      </c>
      <c r="E246" s="1398">
        <v>1021000</v>
      </c>
      <c r="F246" s="1399">
        <v>15530</v>
      </c>
      <c r="G246" s="1396">
        <v>1.7374000000000001</v>
      </c>
      <c r="H246" s="1398">
        <v>0.14096106999999999</v>
      </c>
      <c r="I246" s="1398">
        <v>3.3522000000000002E-5</v>
      </c>
      <c r="J246" s="1399">
        <v>5.9969999999999999</v>
      </c>
    </row>
    <row r="247" spans="2:10" x14ac:dyDescent="0.2">
      <c r="B247" s="1396" t="s">
        <v>717</v>
      </c>
      <c r="C247" s="1397">
        <v>2025</v>
      </c>
      <c r="D247" s="1396">
        <v>1022000</v>
      </c>
      <c r="E247" s="1398">
        <v>1021000</v>
      </c>
      <c r="F247" s="1399">
        <v>15530</v>
      </c>
      <c r="G247" s="1396">
        <v>1.7374000000000001</v>
      </c>
      <c r="H247" s="1398">
        <v>0.14096106999999999</v>
      </c>
      <c r="I247" s="1398">
        <v>3.3522000000000002E-5</v>
      </c>
      <c r="J247" s="1399">
        <v>5.9969999999999999</v>
      </c>
    </row>
    <row r="248" spans="2:10" x14ac:dyDescent="0.2">
      <c r="B248" s="1396" t="s">
        <v>913</v>
      </c>
      <c r="C248" s="1397">
        <v>2025</v>
      </c>
      <c r="D248" s="1396">
        <v>1210000</v>
      </c>
      <c r="E248" s="1398">
        <v>1203000</v>
      </c>
      <c r="F248" s="1399">
        <v>1052000</v>
      </c>
      <c r="G248" s="1396">
        <v>18.323</v>
      </c>
      <c r="H248" s="1398">
        <v>0.16309799999999999</v>
      </c>
      <c r="I248" s="1398">
        <v>2.9605000000000001E-4</v>
      </c>
      <c r="J248" s="1399">
        <v>23.334</v>
      </c>
    </row>
    <row r="249" spans="2:10" x14ac:dyDescent="0.2">
      <c r="B249" s="1396" t="s">
        <v>911</v>
      </c>
      <c r="C249" s="1397">
        <v>2025</v>
      </c>
      <c r="D249" s="1396">
        <v>1588000</v>
      </c>
      <c r="E249" s="1398">
        <v>698600</v>
      </c>
      <c r="F249" s="1399">
        <v>286300</v>
      </c>
      <c r="G249" s="1396">
        <v>38.775999999999996</v>
      </c>
      <c r="H249" s="1398">
        <v>0.1116</v>
      </c>
      <c r="I249" s="1398">
        <v>2.5360000000000001E-2</v>
      </c>
      <c r="J249" s="1399">
        <v>45.71</v>
      </c>
    </row>
    <row r="250" spans="2:10" x14ac:dyDescent="0.2">
      <c r="B250" s="1396" t="s">
        <v>914</v>
      </c>
      <c r="C250" s="1397">
        <v>2025</v>
      </c>
      <c r="D250" s="1396">
        <v>1251000</v>
      </c>
      <c r="E250" s="1398">
        <v>1243000</v>
      </c>
      <c r="F250" s="1399">
        <v>1078000</v>
      </c>
      <c r="G250" s="1396">
        <v>24.223999999999997</v>
      </c>
      <c r="H250" s="1398">
        <v>0.16872600000000001</v>
      </c>
      <c r="I250" s="1398">
        <v>3.8451000000000002E-4</v>
      </c>
      <c r="J250" s="1399">
        <v>29.523000000000003</v>
      </c>
    </row>
    <row r="251" spans="2:10" x14ac:dyDescent="0.2">
      <c r="B251" s="1396" t="s">
        <v>1082</v>
      </c>
      <c r="C251" s="1397">
        <v>2025</v>
      </c>
      <c r="D251" s="1396">
        <v>1190000</v>
      </c>
      <c r="E251" s="1398">
        <v>51790</v>
      </c>
      <c r="F251" s="1399">
        <v>29250</v>
      </c>
      <c r="G251" s="1396">
        <v>3.8201000000000001</v>
      </c>
      <c r="H251" s="1398">
        <v>8.410599999999999E-3</v>
      </c>
      <c r="I251" s="1398">
        <v>-3.8247120000000001E-3</v>
      </c>
      <c r="J251" s="1399">
        <v>3.0718000000000001</v>
      </c>
    </row>
    <row r="252" spans="2:10" x14ac:dyDescent="0.2">
      <c r="B252" s="1396" t="s">
        <v>815</v>
      </c>
      <c r="C252" s="1397">
        <v>2025</v>
      </c>
      <c r="D252" s="1396">
        <v>1190000</v>
      </c>
      <c r="E252" s="1398">
        <v>51790</v>
      </c>
      <c r="F252" s="1399">
        <v>29250</v>
      </c>
      <c r="G252" s="1396">
        <v>3.8201000000000001</v>
      </c>
      <c r="H252" s="1398">
        <v>8.410599999999999E-3</v>
      </c>
      <c r="I252" s="1398">
        <v>-3.8247120000000001E-3</v>
      </c>
      <c r="J252" s="1399">
        <v>3.0718000000000001</v>
      </c>
    </row>
    <row r="253" spans="2:10" x14ac:dyDescent="0.2">
      <c r="B253" s="1396" t="s">
        <v>824</v>
      </c>
      <c r="C253" s="1397">
        <v>2025</v>
      </c>
      <c r="D253" s="1396">
        <v>1190000</v>
      </c>
      <c r="E253" s="1398">
        <v>51790</v>
      </c>
      <c r="F253" s="1399">
        <v>29250</v>
      </c>
      <c r="G253" s="1396">
        <v>3.8201000000000001</v>
      </c>
      <c r="H253" s="1398">
        <v>8.410599999999999E-3</v>
      </c>
      <c r="I253" s="1398">
        <v>-3.8247120000000001E-3</v>
      </c>
      <c r="J253" s="1399">
        <v>3.0718000000000001</v>
      </c>
    </row>
    <row r="254" spans="2:10" ht="13.5" thickBot="1" x14ac:dyDescent="0.25">
      <c r="B254" s="1400" t="s">
        <v>1089</v>
      </c>
      <c r="C254" s="1401">
        <v>2025</v>
      </c>
      <c r="D254" s="1400">
        <v>1384000</v>
      </c>
      <c r="E254" s="1402">
        <v>1383000</v>
      </c>
      <c r="F254" s="1403">
        <v>5053</v>
      </c>
      <c r="G254" s="1400">
        <v>78.616100000000003</v>
      </c>
      <c r="H254" s="1402">
        <v>0.27494000000000002</v>
      </c>
      <c r="I254" s="1402">
        <v>2.3316999999999999E-3</v>
      </c>
      <c r="J254" s="1403">
        <v>87.639700000000005</v>
      </c>
    </row>
    <row r="255" spans="2:10" x14ac:dyDescent="0.2">
      <c r="B255" s="1392" t="s">
        <v>1086</v>
      </c>
      <c r="C255" s="1393">
        <v>2030</v>
      </c>
      <c r="D255" s="1392">
        <v>1092000</v>
      </c>
      <c r="E255" s="1394">
        <v>1092000</v>
      </c>
      <c r="F255" s="1395">
        <v>3981</v>
      </c>
      <c r="G255" s="1392">
        <v>5.7552000000000003</v>
      </c>
      <c r="H255" s="1394">
        <v>0.18462100000000001</v>
      </c>
      <c r="I255" s="1394">
        <v>8.6129999999999996E-4</v>
      </c>
      <c r="J255" s="1395">
        <v>11.5802</v>
      </c>
    </row>
    <row r="256" spans="2:10" x14ac:dyDescent="0.2">
      <c r="B256" s="1396" t="s">
        <v>283</v>
      </c>
      <c r="C256" s="1397">
        <v>2030</v>
      </c>
      <c r="D256" s="1396">
        <v>1092000</v>
      </c>
      <c r="E256" s="1398">
        <v>1092000</v>
      </c>
      <c r="F256" s="1399">
        <v>3981</v>
      </c>
      <c r="G256" s="1396">
        <v>5.7552000000000003</v>
      </c>
      <c r="H256" s="1398">
        <v>0.18462100000000001</v>
      </c>
      <c r="I256" s="1398">
        <v>8.6129999999999996E-4</v>
      </c>
      <c r="J256" s="1399">
        <v>11.5802</v>
      </c>
    </row>
    <row r="257" spans="2:10" x14ac:dyDescent="0.2">
      <c r="B257" s="1396" t="s">
        <v>1087</v>
      </c>
      <c r="C257" s="1397">
        <v>2030</v>
      </c>
      <c r="D257" s="1396">
        <v>1092000</v>
      </c>
      <c r="E257" s="1398">
        <v>1092000</v>
      </c>
      <c r="F257" s="1399">
        <v>3981</v>
      </c>
      <c r="G257" s="1396">
        <v>5.7552000000000003</v>
      </c>
      <c r="H257" s="1398">
        <v>0.18462100000000001</v>
      </c>
      <c r="I257" s="1398">
        <v>8.6129999999999996E-4</v>
      </c>
      <c r="J257" s="1399">
        <v>11.5802</v>
      </c>
    </row>
    <row r="258" spans="2:10" x14ac:dyDescent="0.2">
      <c r="B258" s="1396" t="s">
        <v>681</v>
      </c>
      <c r="C258" s="1397">
        <v>2030</v>
      </c>
      <c r="D258" s="1396">
        <v>1092000</v>
      </c>
      <c r="E258" s="1398">
        <v>1092000</v>
      </c>
      <c r="F258" s="1399">
        <v>3981</v>
      </c>
      <c r="G258" s="1396">
        <v>5.7552000000000003</v>
      </c>
      <c r="H258" s="1398">
        <v>0.18462100000000001</v>
      </c>
      <c r="I258" s="1398">
        <v>8.6129999999999996E-4</v>
      </c>
      <c r="J258" s="1399">
        <v>11.5802</v>
      </c>
    </row>
    <row r="259" spans="2:10" x14ac:dyDescent="0.2">
      <c r="B259" s="1396" t="s">
        <v>682</v>
      </c>
      <c r="C259" s="1397">
        <v>2030</v>
      </c>
      <c r="D259" s="1396">
        <v>-1185000</v>
      </c>
      <c r="E259" s="1398">
        <v>0</v>
      </c>
      <c r="F259" s="1399">
        <v>0</v>
      </c>
      <c r="G259" s="1396">
        <v>-85.800000000000011</v>
      </c>
      <c r="H259" s="1398">
        <v>0.54700000000000004</v>
      </c>
      <c r="I259" s="1398">
        <v>-1.8286999999999999E-3</v>
      </c>
      <c r="J259" s="1399">
        <v>-70.08</v>
      </c>
    </row>
    <row r="260" spans="2:10" x14ac:dyDescent="0.2">
      <c r="B260" s="1396" t="s">
        <v>683</v>
      </c>
      <c r="C260" s="1397">
        <v>2030</v>
      </c>
      <c r="D260" s="1396">
        <v>1749000</v>
      </c>
      <c r="E260" s="1398">
        <v>1310000</v>
      </c>
      <c r="F260" s="1399">
        <v>19790</v>
      </c>
      <c r="G260" s="1396">
        <v>134.88</v>
      </c>
      <c r="H260" s="1398">
        <v>0.20275799999999999</v>
      </c>
      <c r="I260" s="1398">
        <v>1.9713E-3</v>
      </c>
      <c r="J260" s="1399">
        <v>140.09</v>
      </c>
    </row>
    <row r="261" spans="2:10" x14ac:dyDescent="0.2">
      <c r="B261" s="1396" t="s">
        <v>698</v>
      </c>
      <c r="C261" s="1397">
        <v>2030</v>
      </c>
      <c r="D261" s="1396">
        <v>1749000</v>
      </c>
      <c r="E261" s="1398">
        <v>1310000</v>
      </c>
      <c r="F261" s="1399">
        <v>19790</v>
      </c>
      <c r="G261" s="1396">
        <v>134.88</v>
      </c>
      <c r="H261" s="1398">
        <v>0.20275799999999999</v>
      </c>
      <c r="I261" s="1398">
        <v>1.9713E-3</v>
      </c>
      <c r="J261" s="1399">
        <v>140.09</v>
      </c>
    </row>
    <row r="262" spans="2:10" x14ac:dyDescent="0.2">
      <c r="B262" s="1396" t="s">
        <v>684</v>
      </c>
      <c r="C262" s="1397">
        <v>2030</v>
      </c>
      <c r="D262" s="1396">
        <v>1749000</v>
      </c>
      <c r="E262" s="1398">
        <v>1310000</v>
      </c>
      <c r="F262" s="1399">
        <v>19790</v>
      </c>
      <c r="G262" s="1396">
        <v>134.88</v>
      </c>
      <c r="H262" s="1398">
        <v>0.20275799999999999</v>
      </c>
      <c r="I262" s="1398">
        <v>1.9713E-3</v>
      </c>
      <c r="J262" s="1399">
        <v>140.09</v>
      </c>
    </row>
    <row r="263" spans="2:10" x14ac:dyDescent="0.2">
      <c r="B263" s="1396" t="s">
        <v>1088</v>
      </c>
      <c r="C263" s="1397">
        <v>2030</v>
      </c>
      <c r="D263" s="1396">
        <v>1022000</v>
      </c>
      <c r="E263" s="1398">
        <v>1021000</v>
      </c>
      <c r="F263" s="1399">
        <v>15520</v>
      </c>
      <c r="G263" s="1396">
        <v>1.716</v>
      </c>
      <c r="H263" s="1398">
        <v>0.14096175</v>
      </c>
      <c r="I263" s="1398">
        <v>3.3149000000000004E-5</v>
      </c>
      <c r="J263" s="1399">
        <v>5.9754000000000005</v>
      </c>
    </row>
    <row r="264" spans="2:10" x14ac:dyDescent="0.2">
      <c r="B264" s="1396" t="s">
        <v>716</v>
      </c>
      <c r="C264" s="1397">
        <v>2030</v>
      </c>
      <c r="D264" s="1396">
        <v>1022000</v>
      </c>
      <c r="E264" s="1398">
        <v>1021000</v>
      </c>
      <c r="F264" s="1399">
        <v>15520</v>
      </c>
      <c r="G264" s="1396">
        <v>1.716</v>
      </c>
      <c r="H264" s="1398">
        <v>0.14096175</v>
      </c>
      <c r="I264" s="1398">
        <v>3.3149000000000004E-5</v>
      </c>
      <c r="J264" s="1399">
        <v>5.9754000000000005</v>
      </c>
    </row>
    <row r="265" spans="2:10" x14ac:dyDescent="0.2">
      <c r="B265" s="1396" t="s">
        <v>717</v>
      </c>
      <c r="C265" s="1397">
        <v>2030</v>
      </c>
      <c r="D265" s="1396">
        <v>1022000</v>
      </c>
      <c r="E265" s="1398">
        <v>1021000</v>
      </c>
      <c r="F265" s="1399">
        <v>15520</v>
      </c>
      <c r="G265" s="1396">
        <v>1.716</v>
      </c>
      <c r="H265" s="1398">
        <v>0.14096175</v>
      </c>
      <c r="I265" s="1398">
        <v>3.3149000000000004E-5</v>
      </c>
      <c r="J265" s="1399">
        <v>5.9754000000000005</v>
      </c>
    </row>
    <row r="266" spans="2:10" x14ac:dyDescent="0.2">
      <c r="B266" s="1396" t="s">
        <v>913</v>
      </c>
      <c r="C266" s="1397">
        <v>2030</v>
      </c>
      <c r="D266" s="1396">
        <v>1209000</v>
      </c>
      <c r="E266" s="1398">
        <v>1202000</v>
      </c>
      <c r="F266" s="1399">
        <v>1052000</v>
      </c>
      <c r="G266" s="1396">
        <v>18.120999999999999</v>
      </c>
      <c r="H266" s="1398">
        <v>0.16412299999999999</v>
      </c>
      <c r="I266" s="1398">
        <v>2.9339999999999998E-4</v>
      </c>
      <c r="J266" s="1399">
        <v>23.162000000000003</v>
      </c>
    </row>
    <row r="267" spans="2:10" x14ac:dyDescent="0.2">
      <c r="B267" s="1396" t="s">
        <v>911</v>
      </c>
      <c r="C267" s="1397">
        <v>2030</v>
      </c>
      <c r="D267" s="1396">
        <v>1586000</v>
      </c>
      <c r="E267" s="1398">
        <v>697000</v>
      </c>
      <c r="F267" s="1399">
        <v>286200</v>
      </c>
      <c r="G267" s="1396">
        <v>38.404000000000003</v>
      </c>
      <c r="H267" s="1398">
        <v>0.1118</v>
      </c>
      <c r="I267" s="1398">
        <v>2.5350000000000001E-2</v>
      </c>
      <c r="J267" s="1399">
        <v>45.44</v>
      </c>
    </row>
    <row r="268" spans="2:10" x14ac:dyDescent="0.2">
      <c r="B268" s="1396" t="s">
        <v>914</v>
      </c>
      <c r="C268" s="1397">
        <v>2030</v>
      </c>
      <c r="D268" s="1396">
        <v>1250000</v>
      </c>
      <c r="E268" s="1398">
        <v>1242000</v>
      </c>
      <c r="F268" s="1399">
        <v>1078000</v>
      </c>
      <c r="G268" s="1396">
        <v>24.006999999999998</v>
      </c>
      <c r="H268" s="1398">
        <v>0.16975200000000001</v>
      </c>
      <c r="I268" s="1398">
        <v>3.8147000000000002E-4</v>
      </c>
      <c r="J268" s="1399">
        <v>29.335999999999999</v>
      </c>
    </row>
    <row r="269" spans="2:10" x14ac:dyDescent="0.2">
      <c r="B269" s="1396" t="s">
        <v>1082</v>
      </c>
      <c r="C269" s="1397">
        <v>2030</v>
      </c>
      <c r="D269" s="1396">
        <v>1190000</v>
      </c>
      <c r="E269" s="1398">
        <v>51650</v>
      </c>
      <c r="F269" s="1399">
        <v>29230</v>
      </c>
      <c r="G269" s="1396">
        <v>3.7881999999999998</v>
      </c>
      <c r="H269" s="1398">
        <v>8.4297E-3</v>
      </c>
      <c r="I269" s="1398">
        <v>-3.825901E-3</v>
      </c>
      <c r="J269" s="1399">
        <v>3.0377000000000001</v>
      </c>
    </row>
    <row r="270" spans="2:10" x14ac:dyDescent="0.2">
      <c r="B270" s="1396" t="s">
        <v>815</v>
      </c>
      <c r="C270" s="1397">
        <v>2030</v>
      </c>
      <c r="D270" s="1396">
        <v>1190000</v>
      </c>
      <c r="E270" s="1398">
        <v>51650</v>
      </c>
      <c r="F270" s="1399">
        <v>29230</v>
      </c>
      <c r="G270" s="1396">
        <v>3.7881999999999998</v>
      </c>
      <c r="H270" s="1398">
        <v>8.4297E-3</v>
      </c>
      <c r="I270" s="1398">
        <v>-3.825901E-3</v>
      </c>
      <c r="J270" s="1399">
        <v>3.0377000000000001</v>
      </c>
    </row>
    <row r="271" spans="2:10" x14ac:dyDescent="0.2">
      <c r="B271" s="1396" t="s">
        <v>824</v>
      </c>
      <c r="C271" s="1397">
        <v>2030</v>
      </c>
      <c r="D271" s="1396">
        <v>1190000</v>
      </c>
      <c r="E271" s="1398">
        <v>51650</v>
      </c>
      <c r="F271" s="1399">
        <v>29230</v>
      </c>
      <c r="G271" s="1396">
        <v>3.7881999999999998</v>
      </c>
      <c r="H271" s="1398">
        <v>8.4297E-3</v>
      </c>
      <c r="I271" s="1398">
        <v>-3.825901E-3</v>
      </c>
      <c r="J271" s="1399">
        <v>3.0377000000000001</v>
      </c>
    </row>
    <row r="272" spans="2:10" ht="13.5" thickBot="1" x14ac:dyDescent="0.25">
      <c r="B272" s="1400" t="s">
        <v>1089</v>
      </c>
      <c r="C272" s="1401">
        <v>2030</v>
      </c>
      <c r="D272" s="1400">
        <v>1384000</v>
      </c>
      <c r="E272" s="1402">
        <v>1383000</v>
      </c>
      <c r="F272" s="1403">
        <v>5048</v>
      </c>
      <c r="G272" s="1400">
        <v>78.598700000000008</v>
      </c>
      <c r="H272" s="1402">
        <v>0.27484000000000003</v>
      </c>
      <c r="I272" s="1402">
        <v>2.3306000000000004E-3</v>
      </c>
      <c r="J272" s="1403">
        <v>87.622100000000003</v>
      </c>
    </row>
    <row r="273" spans="2:10" x14ac:dyDescent="0.2">
      <c r="B273" s="1392" t="s">
        <v>1086</v>
      </c>
      <c r="C273" s="1393">
        <v>2035</v>
      </c>
      <c r="D273" s="1392">
        <v>1092000</v>
      </c>
      <c r="E273" s="1394">
        <v>1092000</v>
      </c>
      <c r="F273" s="1395">
        <v>3981</v>
      </c>
      <c r="G273" s="1392">
        <v>5.7552000000000003</v>
      </c>
      <c r="H273" s="1394">
        <v>0.18462100000000001</v>
      </c>
      <c r="I273" s="1394">
        <v>8.6129999999999996E-4</v>
      </c>
      <c r="J273" s="1395">
        <v>11.5802</v>
      </c>
    </row>
    <row r="274" spans="2:10" x14ac:dyDescent="0.2">
      <c r="B274" s="1396" t="s">
        <v>283</v>
      </c>
      <c r="C274" s="1397">
        <v>2035</v>
      </c>
      <c r="D274" s="1396">
        <v>1092000</v>
      </c>
      <c r="E274" s="1398">
        <v>1092000</v>
      </c>
      <c r="F274" s="1399">
        <v>3981</v>
      </c>
      <c r="G274" s="1396">
        <v>5.7552000000000003</v>
      </c>
      <c r="H274" s="1398">
        <v>0.18462100000000001</v>
      </c>
      <c r="I274" s="1398">
        <v>8.6129999999999996E-4</v>
      </c>
      <c r="J274" s="1399">
        <v>11.5802</v>
      </c>
    </row>
    <row r="275" spans="2:10" x14ac:dyDescent="0.2">
      <c r="B275" s="1396" t="s">
        <v>1087</v>
      </c>
      <c r="C275" s="1397">
        <v>2035</v>
      </c>
      <c r="D275" s="1396">
        <v>1092000</v>
      </c>
      <c r="E275" s="1398">
        <v>1092000</v>
      </c>
      <c r="F275" s="1399">
        <v>3981</v>
      </c>
      <c r="G275" s="1396">
        <v>5.7552000000000003</v>
      </c>
      <c r="H275" s="1398">
        <v>0.18462100000000001</v>
      </c>
      <c r="I275" s="1398">
        <v>8.6129999999999996E-4</v>
      </c>
      <c r="J275" s="1399">
        <v>11.5802</v>
      </c>
    </row>
    <row r="276" spans="2:10" x14ac:dyDescent="0.2">
      <c r="B276" s="1396" t="s">
        <v>681</v>
      </c>
      <c r="C276" s="1397">
        <v>2035</v>
      </c>
      <c r="D276" s="1396">
        <v>1092000</v>
      </c>
      <c r="E276" s="1398">
        <v>1092000</v>
      </c>
      <c r="F276" s="1399">
        <v>3981</v>
      </c>
      <c r="G276" s="1396">
        <v>5.7552000000000003</v>
      </c>
      <c r="H276" s="1398">
        <v>0.18462100000000001</v>
      </c>
      <c r="I276" s="1398">
        <v>8.6129999999999996E-4</v>
      </c>
      <c r="J276" s="1399">
        <v>11.5802</v>
      </c>
    </row>
    <row r="277" spans="2:10" x14ac:dyDescent="0.2">
      <c r="B277" s="1396" t="s">
        <v>682</v>
      </c>
      <c r="C277" s="1397">
        <v>2035</v>
      </c>
      <c r="D277" s="1396">
        <v>-1185000</v>
      </c>
      <c r="E277" s="1398">
        <v>0</v>
      </c>
      <c r="F277" s="1399">
        <v>0</v>
      </c>
      <c r="G277" s="1396">
        <v>-85.800000000000011</v>
      </c>
      <c r="H277" s="1398">
        <v>0.54700000000000004</v>
      </c>
      <c r="I277" s="1398">
        <v>-1.8286999999999999E-3</v>
      </c>
      <c r="J277" s="1399">
        <v>-70.08</v>
      </c>
    </row>
    <row r="278" spans="2:10" x14ac:dyDescent="0.2">
      <c r="B278" s="1396" t="s">
        <v>683</v>
      </c>
      <c r="C278" s="1397">
        <v>2035</v>
      </c>
      <c r="D278" s="1396">
        <v>1745000</v>
      </c>
      <c r="E278" s="1398">
        <v>1314000</v>
      </c>
      <c r="F278" s="1399">
        <v>18650</v>
      </c>
      <c r="G278" s="1396">
        <v>132.69</v>
      </c>
      <c r="H278" s="1398">
        <v>0.204869</v>
      </c>
      <c r="I278" s="1398">
        <v>1.9257999999999999E-3</v>
      </c>
      <c r="J278" s="1399">
        <v>137.91999999999999</v>
      </c>
    </row>
    <row r="279" spans="2:10" x14ac:dyDescent="0.2">
      <c r="B279" s="1396" t="s">
        <v>698</v>
      </c>
      <c r="C279" s="1397">
        <v>2035</v>
      </c>
      <c r="D279" s="1396">
        <v>1745000</v>
      </c>
      <c r="E279" s="1398">
        <v>1314000</v>
      </c>
      <c r="F279" s="1399">
        <v>18650</v>
      </c>
      <c r="G279" s="1396">
        <v>132.69</v>
      </c>
      <c r="H279" s="1398">
        <v>0.204869</v>
      </c>
      <c r="I279" s="1398">
        <v>1.9257999999999999E-3</v>
      </c>
      <c r="J279" s="1399">
        <v>137.91999999999999</v>
      </c>
    </row>
    <row r="280" spans="2:10" x14ac:dyDescent="0.2">
      <c r="B280" s="1396" t="s">
        <v>684</v>
      </c>
      <c r="C280" s="1397">
        <v>2035</v>
      </c>
      <c r="D280" s="1396">
        <v>1745000</v>
      </c>
      <c r="E280" s="1398">
        <v>1314000</v>
      </c>
      <c r="F280" s="1399">
        <v>18650</v>
      </c>
      <c r="G280" s="1396">
        <v>132.69</v>
      </c>
      <c r="H280" s="1398">
        <v>0.204869</v>
      </c>
      <c r="I280" s="1398">
        <v>1.9257999999999999E-3</v>
      </c>
      <c r="J280" s="1399">
        <v>137.91999999999999</v>
      </c>
    </row>
    <row r="281" spans="2:10" x14ac:dyDescent="0.2">
      <c r="B281" s="1396" t="s">
        <v>1088</v>
      </c>
      <c r="C281" s="1397">
        <v>2035</v>
      </c>
      <c r="D281" s="1396">
        <v>1022000</v>
      </c>
      <c r="E281" s="1398">
        <v>1021000</v>
      </c>
      <c r="F281" s="1399">
        <v>15520</v>
      </c>
      <c r="G281" s="1396">
        <v>1.7124999999999999</v>
      </c>
      <c r="H281" s="1398">
        <v>0.14096197999999999</v>
      </c>
      <c r="I281" s="1398">
        <v>3.3061000000000001E-5</v>
      </c>
      <c r="J281" s="1399">
        <v>5.9708000000000006</v>
      </c>
    </row>
    <row r="282" spans="2:10" x14ac:dyDescent="0.2">
      <c r="B282" s="1396" t="s">
        <v>716</v>
      </c>
      <c r="C282" s="1397">
        <v>2035</v>
      </c>
      <c r="D282" s="1396">
        <v>1022000</v>
      </c>
      <c r="E282" s="1398">
        <v>1021000</v>
      </c>
      <c r="F282" s="1399">
        <v>15520</v>
      </c>
      <c r="G282" s="1396">
        <v>1.7124999999999999</v>
      </c>
      <c r="H282" s="1398">
        <v>0.14096197999999999</v>
      </c>
      <c r="I282" s="1398">
        <v>3.3061000000000001E-5</v>
      </c>
      <c r="J282" s="1399">
        <v>5.9708000000000006</v>
      </c>
    </row>
    <row r="283" spans="2:10" x14ac:dyDescent="0.2">
      <c r="B283" s="1396" t="s">
        <v>717</v>
      </c>
      <c r="C283" s="1397">
        <v>2035</v>
      </c>
      <c r="D283" s="1396">
        <v>1022000</v>
      </c>
      <c r="E283" s="1398">
        <v>1021000</v>
      </c>
      <c r="F283" s="1399">
        <v>15520</v>
      </c>
      <c r="G283" s="1396">
        <v>1.7124999999999999</v>
      </c>
      <c r="H283" s="1398">
        <v>0.14096197999999999</v>
      </c>
      <c r="I283" s="1398">
        <v>3.3061000000000001E-5</v>
      </c>
      <c r="J283" s="1399">
        <v>5.9708000000000006</v>
      </c>
    </row>
    <row r="284" spans="2:10" x14ac:dyDescent="0.2">
      <c r="B284" s="1396" t="s">
        <v>913</v>
      </c>
      <c r="C284" s="1397">
        <v>2035</v>
      </c>
      <c r="D284" s="1396">
        <v>1209000</v>
      </c>
      <c r="E284" s="1398">
        <v>1202000</v>
      </c>
      <c r="F284" s="1399">
        <v>1052000</v>
      </c>
      <c r="G284" s="1396">
        <v>18.088999999999999</v>
      </c>
      <c r="H284" s="1398">
        <v>0.16412499999999999</v>
      </c>
      <c r="I284" s="1398">
        <v>2.9260000000000001E-4</v>
      </c>
      <c r="J284" s="1399">
        <v>23.119</v>
      </c>
    </row>
    <row r="285" spans="2:10" x14ac:dyDescent="0.2">
      <c r="B285" s="1396" t="s">
        <v>911</v>
      </c>
      <c r="C285" s="1397">
        <v>2035</v>
      </c>
      <c r="D285" s="1396">
        <v>1586000</v>
      </c>
      <c r="E285" s="1398">
        <v>697100</v>
      </c>
      <c r="F285" s="1399">
        <v>286100</v>
      </c>
      <c r="G285" s="1396">
        <v>38.326999999999998</v>
      </c>
      <c r="H285" s="1398">
        <v>0.1118</v>
      </c>
      <c r="I285" s="1398">
        <v>2.5350000000000001E-2</v>
      </c>
      <c r="J285" s="1399">
        <v>45.39</v>
      </c>
    </row>
    <row r="286" spans="2:10" x14ac:dyDescent="0.2">
      <c r="B286" s="1396" t="s">
        <v>914</v>
      </c>
      <c r="C286" s="1397">
        <v>2035</v>
      </c>
      <c r="D286" s="1396">
        <v>1250000</v>
      </c>
      <c r="E286" s="1398">
        <v>1242000</v>
      </c>
      <c r="F286" s="1399">
        <v>1078000</v>
      </c>
      <c r="G286" s="1396">
        <v>23.973999999999997</v>
      </c>
      <c r="H286" s="1398">
        <v>0.169854</v>
      </c>
      <c r="I286" s="1398">
        <v>3.8064000000000001E-4</v>
      </c>
      <c r="J286" s="1399">
        <v>29.302</v>
      </c>
    </row>
    <row r="287" spans="2:10" x14ac:dyDescent="0.2">
      <c r="B287" s="1396" t="s">
        <v>1082</v>
      </c>
      <c r="C287" s="1397">
        <v>2035</v>
      </c>
      <c r="D287" s="1396">
        <v>1190000</v>
      </c>
      <c r="E287" s="1398">
        <v>51660</v>
      </c>
      <c r="F287" s="1399">
        <v>29230</v>
      </c>
      <c r="G287" s="1396">
        <v>3.7818000000000001</v>
      </c>
      <c r="H287" s="1398">
        <v>8.4370999999999995E-3</v>
      </c>
      <c r="I287" s="1398">
        <v>-3.8259590000000003E-3</v>
      </c>
      <c r="J287" s="1399">
        <v>3.0312999999999999</v>
      </c>
    </row>
    <row r="288" spans="2:10" x14ac:dyDescent="0.2">
      <c r="B288" s="1396" t="s">
        <v>815</v>
      </c>
      <c r="C288" s="1397">
        <v>2035</v>
      </c>
      <c r="D288" s="1396">
        <v>1190000</v>
      </c>
      <c r="E288" s="1398">
        <v>51660</v>
      </c>
      <c r="F288" s="1399">
        <v>29230</v>
      </c>
      <c r="G288" s="1396">
        <v>3.7818000000000001</v>
      </c>
      <c r="H288" s="1398">
        <v>8.4370999999999995E-3</v>
      </c>
      <c r="I288" s="1398">
        <v>-3.8259590000000003E-3</v>
      </c>
      <c r="J288" s="1399">
        <v>3.0312999999999999</v>
      </c>
    </row>
    <row r="289" spans="2:10" x14ac:dyDescent="0.2">
      <c r="B289" s="1396" t="s">
        <v>824</v>
      </c>
      <c r="C289" s="1397">
        <v>2035</v>
      </c>
      <c r="D289" s="1396">
        <v>1190000</v>
      </c>
      <c r="E289" s="1398">
        <v>51660</v>
      </c>
      <c r="F289" s="1399">
        <v>29230</v>
      </c>
      <c r="G289" s="1396">
        <v>3.7818000000000001</v>
      </c>
      <c r="H289" s="1398">
        <v>8.4370999999999995E-3</v>
      </c>
      <c r="I289" s="1398">
        <v>-3.8259590000000003E-3</v>
      </c>
      <c r="J289" s="1399">
        <v>3.0312999999999999</v>
      </c>
    </row>
    <row r="290" spans="2:10" ht="13.5" thickBot="1" x14ac:dyDescent="0.25">
      <c r="B290" s="1400" t="s">
        <v>1089</v>
      </c>
      <c r="C290" s="1401">
        <v>2035</v>
      </c>
      <c r="D290" s="1400">
        <v>1384000</v>
      </c>
      <c r="E290" s="1402">
        <v>1383000</v>
      </c>
      <c r="F290" s="1403">
        <v>5034</v>
      </c>
      <c r="G290" s="1400">
        <v>78.571100000000001</v>
      </c>
      <c r="H290" s="1402">
        <v>0.27494000000000002</v>
      </c>
      <c r="I290" s="1402">
        <v>2.3304000000000003E-3</v>
      </c>
      <c r="J290" s="1403">
        <v>87.594300000000004</v>
      </c>
    </row>
    <row r="291" spans="2:10" x14ac:dyDescent="0.2">
      <c r="B291" s="1392" t="s">
        <v>1086</v>
      </c>
      <c r="C291" s="1393">
        <v>2040</v>
      </c>
      <c r="D291" s="1392">
        <v>1092000</v>
      </c>
      <c r="E291" s="1394">
        <v>1092000</v>
      </c>
      <c r="F291" s="1395">
        <v>3975</v>
      </c>
      <c r="G291" s="1392">
        <v>5.7453000000000003</v>
      </c>
      <c r="H291" s="1394">
        <v>0.18462200000000001</v>
      </c>
      <c r="I291" s="1394">
        <v>8.6110000000000006E-4</v>
      </c>
      <c r="J291" s="1395">
        <v>11.577199999999999</v>
      </c>
    </row>
    <row r="292" spans="2:10" x14ac:dyDescent="0.2">
      <c r="B292" s="1396" t="s">
        <v>283</v>
      </c>
      <c r="C292" s="1397">
        <v>2040</v>
      </c>
      <c r="D292" s="1396">
        <v>1092000</v>
      </c>
      <c r="E292" s="1398">
        <v>1092000</v>
      </c>
      <c r="F292" s="1399">
        <v>3975</v>
      </c>
      <c r="G292" s="1396">
        <v>5.7453000000000003</v>
      </c>
      <c r="H292" s="1398">
        <v>0.18462200000000001</v>
      </c>
      <c r="I292" s="1398">
        <v>8.6110000000000006E-4</v>
      </c>
      <c r="J292" s="1399">
        <v>11.577199999999999</v>
      </c>
    </row>
    <row r="293" spans="2:10" x14ac:dyDescent="0.2">
      <c r="B293" s="1396" t="s">
        <v>1087</v>
      </c>
      <c r="C293" s="1397">
        <v>2040</v>
      </c>
      <c r="D293" s="1396">
        <v>1092000</v>
      </c>
      <c r="E293" s="1398">
        <v>1092000</v>
      </c>
      <c r="F293" s="1399">
        <v>3975</v>
      </c>
      <c r="G293" s="1396">
        <v>5.7453000000000003</v>
      </c>
      <c r="H293" s="1398">
        <v>0.18462200000000001</v>
      </c>
      <c r="I293" s="1398">
        <v>8.6110000000000006E-4</v>
      </c>
      <c r="J293" s="1399">
        <v>11.577199999999999</v>
      </c>
    </row>
    <row r="294" spans="2:10" x14ac:dyDescent="0.2">
      <c r="B294" s="1396" t="s">
        <v>681</v>
      </c>
      <c r="C294" s="1397">
        <v>2040</v>
      </c>
      <c r="D294" s="1396">
        <v>1092000</v>
      </c>
      <c r="E294" s="1398">
        <v>1092000</v>
      </c>
      <c r="F294" s="1399">
        <v>3975</v>
      </c>
      <c r="G294" s="1396">
        <v>5.7453000000000003</v>
      </c>
      <c r="H294" s="1398">
        <v>0.18462200000000001</v>
      </c>
      <c r="I294" s="1398">
        <v>8.6110000000000006E-4</v>
      </c>
      <c r="J294" s="1399">
        <v>11.577199999999999</v>
      </c>
    </row>
    <row r="295" spans="2:10" x14ac:dyDescent="0.2">
      <c r="B295" s="1396" t="s">
        <v>682</v>
      </c>
      <c r="C295" s="1397">
        <v>2040</v>
      </c>
      <c r="D295" s="1396">
        <v>-1185000</v>
      </c>
      <c r="E295" s="1398">
        <v>0</v>
      </c>
      <c r="F295" s="1399">
        <v>0</v>
      </c>
      <c r="G295" s="1396">
        <v>-85.800000000000011</v>
      </c>
      <c r="H295" s="1398">
        <v>0.54700000000000004</v>
      </c>
      <c r="I295" s="1398">
        <v>-1.8286999999999999E-3</v>
      </c>
      <c r="J295" s="1399">
        <v>-70.08</v>
      </c>
    </row>
    <row r="296" spans="2:10" x14ac:dyDescent="0.2">
      <c r="B296" s="1396" t="s">
        <v>683</v>
      </c>
      <c r="C296" s="1397">
        <v>2040</v>
      </c>
      <c r="D296" s="1396">
        <v>1732000</v>
      </c>
      <c r="E296" s="1398">
        <v>1300000</v>
      </c>
      <c r="F296" s="1399">
        <v>17320</v>
      </c>
      <c r="G296" s="1396">
        <v>129.32</v>
      </c>
      <c r="H296" s="1398">
        <v>0.20383000000000001</v>
      </c>
      <c r="I296" s="1398">
        <v>1.8644999999999998E-3</v>
      </c>
      <c r="J296" s="1399">
        <v>134.37</v>
      </c>
    </row>
    <row r="297" spans="2:10" x14ac:dyDescent="0.2">
      <c r="B297" s="1396" t="s">
        <v>698</v>
      </c>
      <c r="C297" s="1397">
        <v>2040</v>
      </c>
      <c r="D297" s="1396">
        <v>1732000</v>
      </c>
      <c r="E297" s="1398">
        <v>1300000</v>
      </c>
      <c r="F297" s="1399">
        <v>17320</v>
      </c>
      <c r="G297" s="1396">
        <v>129.32</v>
      </c>
      <c r="H297" s="1398">
        <v>0.20383000000000001</v>
      </c>
      <c r="I297" s="1398">
        <v>1.8644999999999998E-3</v>
      </c>
      <c r="J297" s="1399">
        <v>134.37</v>
      </c>
    </row>
    <row r="298" spans="2:10" x14ac:dyDescent="0.2">
      <c r="B298" s="1396" t="s">
        <v>684</v>
      </c>
      <c r="C298" s="1397">
        <v>2040</v>
      </c>
      <c r="D298" s="1396">
        <v>1732000</v>
      </c>
      <c r="E298" s="1398">
        <v>1300000</v>
      </c>
      <c r="F298" s="1399">
        <v>17320</v>
      </c>
      <c r="G298" s="1396">
        <v>129.32</v>
      </c>
      <c r="H298" s="1398">
        <v>0.20383000000000001</v>
      </c>
      <c r="I298" s="1398">
        <v>1.8644999999999998E-3</v>
      </c>
      <c r="J298" s="1399">
        <v>134.37</v>
      </c>
    </row>
    <row r="299" spans="2:10" x14ac:dyDescent="0.2">
      <c r="B299" s="1396" t="s">
        <v>1088</v>
      </c>
      <c r="C299" s="1397">
        <v>2040</v>
      </c>
      <c r="D299" s="1396">
        <v>1022000</v>
      </c>
      <c r="E299" s="1398">
        <v>1021000</v>
      </c>
      <c r="F299" s="1399">
        <v>15510</v>
      </c>
      <c r="G299" s="1396">
        <v>1.7054</v>
      </c>
      <c r="H299" s="1398">
        <v>0.14096210000000001</v>
      </c>
      <c r="I299" s="1398">
        <v>3.2928999999999996E-5</v>
      </c>
      <c r="J299" s="1399">
        <v>5.9637000000000002</v>
      </c>
    </row>
    <row r="300" spans="2:10" x14ac:dyDescent="0.2">
      <c r="B300" s="1396" t="s">
        <v>716</v>
      </c>
      <c r="C300" s="1397">
        <v>2040</v>
      </c>
      <c r="D300" s="1396">
        <v>1022000</v>
      </c>
      <c r="E300" s="1398">
        <v>1021000</v>
      </c>
      <c r="F300" s="1399">
        <v>15510</v>
      </c>
      <c r="G300" s="1396">
        <v>1.7054</v>
      </c>
      <c r="H300" s="1398">
        <v>0.14096210000000001</v>
      </c>
      <c r="I300" s="1398">
        <v>3.2928999999999996E-5</v>
      </c>
      <c r="J300" s="1399">
        <v>5.9637000000000002</v>
      </c>
    </row>
    <row r="301" spans="2:10" x14ac:dyDescent="0.2">
      <c r="B301" s="1396" t="s">
        <v>717</v>
      </c>
      <c r="C301" s="1397">
        <v>2040</v>
      </c>
      <c r="D301" s="1396">
        <v>1022000</v>
      </c>
      <c r="E301" s="1398">
        <v>1021000</v>
      </c>
      <c r="F301" s="1399">
        <v>15510</v>
      </c>
      <c r="G301" s="1396">
        <v>1.7054</v>
      </c>
      <c r="H301" s="1398">
        <v>0.14096210000000001</v>
      </c>
      <c r="I301" s="1398">
        <v>3.2928999999999996E-5</v>
      </c>
      <c r="J301" s="1399">
        <v>5.9637000000000002</v>
      </c>
    </row>
    <row r="302" spans="2:10" x14ac:dyDescent="0.2">
      <c r="B302" s="1396" t="s">
        <v>913</v>
      </c>
      <c r="C302" s="1397">
        <v>2040</v>
      </c>
      <c r="D302" s="1396">
        <v>1209000</v>
      </c>
      <c r="E302" s="1398">
        <v>1202000</v>
      </c>
      <c r="F302" s="1399">
        <v>1052000</v>
      </c>
      <c r="G302" s="1396">
        <v>18.032</v>
      </c>
      <c r="H302" s="1398">
        <v>0.16412599999999999</v>
      </c>
      <c r="I302" s="1398">
        <v>2.9167E-4</v>
      </c>
      <c r="J302" s="1399">
        <v>23.062000000000001</v>
      </c>
    </row>
    <row r="303" spans="2:10" x14ac:dyDescent="0.2">
      <c r="B303" s="1396" t="s">
        <v>911</v>
      </c>
      <c r="C303" s="1397">
        <v>2040</v>
      </c>
      <c r="D303" s="1396">
        <v>1586000</v>
      </c>
      <c r="E303" s="1398">
        <v>696600</v>
      </c>
      <c r="F303" s="1399">
        <v>286100</v>
      </c>
      <c r="G303" s="1396">
        <v>38.200000000000003</v>
      </c>
      <c r="H303" s="1398">
        <v>0.1118</v>
      </c>
      <c r="I303" s="1398">
        <v>2.5350000000000001E-2</v>
      </c>
      <c r="J303" s="1399">
        <v>45.3</v>
      </c>
    </row>
    <row r="304" spans="2:10" x14ac:dyDescent="0.2">
      <c r="B304" s="1396" t="s">
        <v>914</v>
      </c>
      <c r="C304" s="1397">
        <v>2040</v>
      </c>
      <c r="D304" s="1396">
        <v>1250000</v>
      </c>
      <c r="E304" s="1398">
        <v>1242000</v>
      </c>
      <c r="F304" s="1399">
        <v>1078000</v>
      </c>
      <c r="G304" s="1396">
        <v>23.914999999999999</v>
      </c>
      <c r="H304" s="1398">
        <v>0.16985499999999998</v>
      </c>
      <c r="I304" s="1398">
        <v>3.7957999999999997E-4</v>
      </c>
      <c r="J304" s="1399">
        <v>29.232999999999997</v>
      </c>
    </row>
    <row r="305" spans="2:10" x14ac:dyDescent="0.2">
      <c r="B305" s="1396" t="s">
        <v>1082</v>
      </c>
      <c r="C305" s="1397">
        <v>2040</v>
      </c>
      <c r="D305" s="1396">
        <v>1190000</v>
      </c>
      <c r="E305" s="1398">
        <v>51610</v>
      </c>
      <c r="F305" s="1399">
        <v>29220</v>
      </c>
      <c r="G305" s="1396">
        <v>3.7715999999999998</v>
      </c>
      <c r="H305" s="1398">
        <v>8.4332999999999995E-3</v>
      </c>
      <c r="I305" s="1398">
        <v>-3.8260220000000001E-3</v>
      </c>
      <c r="J305" s="1399">
        <v>3.02</v>
      </c>
    </row>
    <row r="306" spans="2:10" x14ac:dyDescent="0.2">
      <c r="B306" s="1396" t="s">
        <v>815</v>
      </c>
      <c r="C306" s="1397">
        <v>2040</v>
      </c>
      <c r="D306" s="1396">
        <v>1190000</v>
      </c>
      <c r="E306" s="1398">
        <v>51610</v>
      </c>
      <c r="F306" s="1399">
        <v>29220</v>
      </c>
      <c r="G306" s="1396">
        <v>3.7715999999999998</v>
      </c>
      <c r="H306" s="1398">
        <v>8.4332999999999995E-3</v>
      </c>
      <c r="I306" s="1398">
        <v>-3.8260220000000001E-3</v>
      </c>
      <c r="J306" s="1399">
        <v>3.02</v>
      </c>
    </row>
    <row r="307" spans="2:10" x14ac:dyDescent="0.2">
      <c r="B307" s="1396" t="s">
        <v>824</v>
      </c>
      <c r="C307" s="1397">
        <v>2040</v>
      </c>
      <c r="D307" s="1396">
        <v>1190000</v>
      </c>
      <c r="E307" s="1398">
        <v>51610</v>
      </c>
      <c r="F307" s="1399">
        <v>29220</v>
      </c>
      <c r="G307" s="1396">
        <v>3.7715999999999998</v>
      </c>
      <c r="H307" s="1398">
        <v>8.4332999999999995E-3</v>
      </c>
      <c r="I307" s="1398">
        <v>-3.8260220000000001E-3</v>
      </c>
      <c r="J307" s="1399">
        <v>3.02</v>
      </c>
    </row>
    <row r="308" spans="2:10" ht="13.5" thickBot="1" x14ac:dyDescent="0.25">
      <c r="B308" s="1400" t="s">
        <v>1089</v>
      </c>
      <c r="C308" s="1401">
        <v>2040</v>
      </c>
      <c r="D308" s="1400">
        <v>1384000</v>
      </c>
      <c r="E308" s="1402">
        <v>1383000</v>
      </c>
      <c r="F308" s="1403">
        <v>5034</v>
      </c>
      <c r="G308" s="1400">
        <v>78.571100000000001</v>
      </c>
      <c r="H308" s="1402">
        <v>0.27494000000000002</v>
      </c>
      <c r="I308" s="1402">
        <v>2.3304000000000003E-3</v>
      </c>
      <c r="J308" s="1403">
        <v>87.594300000000004</v>
      </c>
    </row>
    <row r="309" spans="2:10" x14ac:dyDescent="0.2">
      <c r="B309" s="1392" t="s">
        <v>1086</v>
      </c>
      <c r="C309" s="1393">
        <v>2045</v>
      </c>
      <c r="D309" s="1392">
        <v>1092000</v>
      </c>
      <c r="E309" s="1394">
        <v>1092000</v>
      </c>
      <c r="F309" s="1395">
        <v>3972</v>
      </c>
      <c r="G309" s="1392">
        <v>5.7410000000000005</v>
      </c>
      <c r="H309" s="1394">
        <v>0.18462200000000001</v>
      </c>
      <c r="I309" s="1394">
        <v>8.6110000000000006E-4</v>
      </c>
      <c r="J309" s="1395">
        <v>11.565900000000001</v>
      </c>
    </row>
    <row r="310" spans="2:10" x14ac:dyDescent="0.2">
      <c r="B310" s="1396" t="s">
        <v>283</v>
      </c>
      <c r="C310" s="1397">
        <v>2045</v>
      </c>
      <c r="D310" s="1396">
        <v>1092000</v>
      </c>
      <c r="E310" s="1398">
        <v>1092000</v>
      </c>
      <c r="F310" s="1399">
        <v>3972</v>
      </c>
      <c r="G310" s="1396">
        <v>5.7410000000000005</v>
      </c>
      <c r="H310" s="1398">
        <v>0.18462200000000001</v>
      </c>
      <c r="I310" s="1398">
        <v>8.6110000000000006E-4</v>
      </c>
      <c r="J310" s="1399">
        <v>11.565900000000001</v>
      </c>
    </row>
    <row r="311" spans="2:10" x14ac:dyDescent="0.2">
      <c r="B311" s="1396" t="s">
        <v>1087</v>
      </c>
      <c r="C311" s="1397">
        <v>2045</v>
      </c>
      <c r="D311" s="1396">
        <v>1092000</v>
      </c>
      <c r="E311" s="1398">
        <v>1092000</v>
      </c>
      <c r="F311" s="1399">
        <v>3972</v>
      </c>
      <c r="G311" s="1396">
        <v>5.7410000000000005</v>
      </c>
      <c r="H311" s="1398">
        <v>0.18462200000000001</v>
      </c>
      <c r="I311" s="1398">
        <v>8.6110000000000006E-4</v>
      </c>
      <c r="J311" s="1399">
        <v>11.565900000000001</v>
      </c>
    </row>
    <row r="312" spans="2:10" x14ac:dyDescent="0.2">
      <c r="B312" s="1396" t="s">
        <v>681</v>
      </c>
      <c r="C312" s="1397">
        <v>2045</v>
      </c>
      <c r="D312" s="1396">
        <v>1092000</v>
      </c>
      <c r="E312" s="1398">
        <v>1092000</v>
      </c>
      <c r="F312" s="1399">
        <v>3972</v>
      </c>
      <c r="G312" s="1396">
        <v>5.7410000000000005</v>
      </c>
      <c r="H312" s="1398">
        <v>0.18462200000000001</v>
      </c>
      <c r="I312" s="1398">
        <v>8.6110000000000006E-4</v>
      </c>
      <c r="J312" s="1399">
        <v>11.565900000000001</v>
      </c>
    </row>
    <row r="313" spans="2:10" x14ac:dyDescent="0.2">
      <c r="B313" s="1396" t="s">
        <v>682</v>
      </c>
      <c r="C313" s="1397">
        <v>2045</v>
      </c>
      <c r="D313" s="1396">
        <v>-1185000</v>
      </c>
      <c r="E313" s="1398">
        <v>0</v>
      </c>
      <c r="F313" s="1399">
        <v>0</v>
      </c>
      <c r="G313" s="1396">
        <v>-85.800000000000011</v>
      </c>
      <c r="H313" s="1398">
        <v>0.54700000000000004</v>
      </c>
      <c r="I313" s="1398">
        <v>-1.8286999999999999E-3</v>
      </c>
      <c r="J313" s="1399">
        <v>-70.08</v>
      </c>
    </row>
    <row r="314" spans="2:10" x14ac:dyDescent="0.2">
      <c r="B314" s="1396" t="s">
        <v>683</v>
      </c>
      <c r="C314" s="1397">
        <v>2045</v>
      </c>
      <c r="D314" s="1396">
        <v>1724000</v>
      </c>
      <c r="E314" s="1398">
        <v>1293000</v>
      </c>
      <c r="F314" s="1399">
        <v>15580</v>
      </c>
      <c r="G314" s="1396">
        <v>126.71000000000001</v>
      </c>
      <c r="H314" s="1398">
        <v>0.203795</v>
      </c>
      <c r="I314" s="1398">
        <v>1.8165E-3</v>
      </c>
      <c r="J314" s="1399">
        <v>131.63</v>
      </c>
    </row>
    <row r="315" spans="2:10" x14ac:dyDescent="0.2">
      <c r="B315" s="1396" t="s">
        <v>698</v>
      </c>
      <c r="C315" s="1397">
        <v>2045</v>
      </c>
      <c r="D315" s="1396">
        <v>1724000</v>
      </c>
      <c r="E315" s="1398">
        <v>1293000</v>
      </c>
      <c r="F315" s="1399">
        <v>15580</v>
      </c>
      <c r="G315" s="1396">
        <v>126.71000000000001</v>
      </c>
      <c r="H315" s="1398">
        <v>0.203795</v>
      </c>
      <c r="I315" s="1398">
        <v>1.8165E-3</v>
      </c>
      <c r="J315" s="1399">
        <v>131.63</v>
      </c>
    </row>
    <row r="316" spans="2:10" x14ac:dyDescent="0.2">
      <c r="B316" s="1396" t="s">
        <v>684</v>
      </c>
      <c r="C316" s="1397">
        <v>2045</v>
      </c>
      <c r="D316" s="1396">
        <v>1724000</v>
      </c>
      <c r="E316" s="1398">
        <v>1293000</v>
      </c>
      <c r="F316" s="1399">
        <v>15580</v>
      </c>
      <c r="G316" s="1396">
        <v>126.71000000000001</v>
      </c>
      <c r="H316" s="1398">
        <v>0.203795</v>
      </c>
      <c r="I316" s="1398">
        <v>1.8165E-3</v>
      </c>
      <c r="J316" s="1399">
        <v>131.63</v>
      </c>
    </row>
    <row r="317" spans="2:10" x14ac:dyDescent="0.2">
      <c r="B317" s="1396" t="s">
        <v>1088</v>
      </c>
      <c r="C317" s="1397">
        <v>2045</v>
      </c>
      <c r="D317" s="1396">
        <v>1022000</v>
      </c>
      <c r="E317" s="1398">
        <v>1021000</v>
      </c>
      <c r="F317" s="1399">
        <v>15510</v>
      </c>
      <c r="G317" s="1396">
        <v>1.6997</v>
      </c>
      <c r="H317" s="1398">
        <v>0.14096223999999999</v>
      </c>
      <c r="I317" s="1398">
        <v>3.2833999999999998E-5</v>
      </c>
      <c r="J317" s="1399">
        <v>5.9580000000000002</v>
      </c>
    </row>
    <row r="318" spans="2:10" x14ac:dyDescent="0.2">
      <c r="B318" s="1396" t="s">
        <v>716</v>
      </c>
      <c r="C318" s="1397">
        <v>2045</v>
      </c>
      <c r="D318" s="1396">
        <v>1022000</v>
      </c>
      <c r="E318" s="1398">
        <v>1021000</v>
      </c>
      <c r="F318" s="1399">
        <v>15510</v>
      </c>
      <c r="G318" s="1396">
        <v>1.6997</v>
      </c>
      <c r="H318" s="1398">
        <v>0.14096223999999999</v>
      </c>
      <c r="I318" s="1398">
        <v>3.2833999999999998E-5</v>
      </c>
      <c r="J318" s="1399">
        <v>5.9580000000000002</v>
      </c>
    </row>
    <row r="319" spans="2:10" x14ac:dyDescent="0.2">
      <c r="B319" s="1396" t="s">
        <v>717</v>
      </c>
      <c r="C319" s="1397">
        <v>2045</v>
      </c>
      <c r="D319" s="1396">
        <v>1022000</v>
      </c>
      <c r="E319" s="1398">
        <v>1021000</v>
      </c>
      <c r="F319" s="1399">
        <v>15510</v>
      </c>
      <c r="G319" s="1396">
        <v>1.6997</v>
      </c>
      <c r="H319" s="1398">
        <v>0.14096223999999999</v>
      </c>
      <c r="I319" s="1398">
        <v>3.2833999999999998E-5</v>
      </c>
      <c r="J319" s="1399">
        <v>5.9580000000000002</v>
      </c>
    </row>
    <row r="320" spans="2:10" x14ac:dyDescent="0.2">
      <c r="B320" s="1396" t="s">
        <v>913</v>
      </c>
      <c r="C320" s="1397">
        <v>2045</v>
      </c>
      <c r="D320" s="1396">
        <v>1209000</v>
      </c>
      <c r="E320" s="1398">
        <v>1202000</v>
      </c>
      <c r="F320" s="1399">
        <v>1052000</v>
      </c>
      <c r="G320" s="1396">
        <v>17.989000000000001</v>
      </c>
      <c r="H320" s="1398">
        <v>0.164127</v>
      </c>
      <c r="I320" s="1398">
        <v>2.9079000000000003E-4</v>
      </c>
      <c r="J320" s="1399">
        <v>23.018999999999998</v>
      </c>
    </row>
    <row r="321" spans="2:10" x14ac:dyDescent="0.2">
      <c r="B321" s="1396" t="s">
        <v>911</v>
      </c>
      <c r="C321" s="1397">
        <v>2045</v>
      </c>
      <c r="D321" s="1396">
        <v>1586000</v>
      </c>
      <c r="E321" s="1398">
        <v>696300</v>
      </c>
      <c r="F321" s="1399">
        <v>286000</v>
      </c>
      <c r="G321" s="1396">
        <v>38.110999999999997</v>
      </c>
      <c r="H321" s="1398">
        <v>0.1118</v>
      </c>
      <c r="I321" s="1398">
        <v>2.5350000000000001E-2</v>
      </c>
      <c r="J321" s="1399">
        <v>45.23</v>
      </c>
    </row>
    <row r="322" spans="2:10" x14ac:dyDescent="0.2">
      <c r="B322" s="1396" t="s">
        <v>914</v>
      </c>
      <c r="C322" s="1397">
        <v>2045</v>
      </c>
      <c r="D322" s="1396">
        <v>1249000</v>
      </c>
      <c r="E322" s="1398">
        <v>1242000</v>
      </c>
      <c r="F322" s="1399">
        <v>1078000</v>
      </c>
      <c r="G322" s="1396">
        <v>23.861000000000001</v>
      </c>
      <c r="H322" s="1398">
        <v>0.16985599999999998</v>
      </c>
      <c r="I322" s="1398">
        <v>3.7867E-4</v>
      </c>
      <c r="J322" s="1399">
        <v>29.189</v>
      </c>
    </row>
    <row r="323" spans="2:10" x14ac:dyDescent="0.2">
      <c r="B323" s="1396" t="s">
        <v>1082</v>
      </c>
      <c r="C323" s="1397">
        <v>2045</v>
      </c>
      <c r="D323" s="1396">
        <v>1190000</v>
      </c>
      <c r="E323" s="1398">
        <v>51590</v>
      </c>
      <c r="F323" s="1399">
        <v>29220</v>
      </c>
      <c r="G323" s="1396">
        <v>3.7631000000000001</v>
      </c>
      <c r="H323" s="1398">
        <v>8.4335E-3</v>
      </c>
      <c r="I323" s="1398">
        <v>-3.8260760000000003E-3</v>
      </c>
      <c r="J323" s="1399">
        <v>3.0114000000000001</v>
      </c>
    </row>
    <row r="324" spans="2:10" x14ac:dyDescent="0.2">
      <c r="B324" s="1396" t="s">
        <v>815</v>
      </c>
      <c r="C324" s="1397">
        <v>2045</v>
      </c>
      <c r="D324" s="1396">
        <v>1190000</v>
      </c>
      <c r="E324" s="1398">
        <v>51590</v>
      </c>
      <c r="F324" s="1399">
        <v>29220</v>
      </c>
      <c r="G324" s="1396">
        <v>3.7631000000000001</v>
      </c>
      <c r="H324" s="1398">
        <v>8.4335E-3</v>
      </c>
      <c r="I324" s="1398">
        <v>-3.8260760000000003E-3</v>
      </c>
      <c r="J324" s="1399">
        <v>3.0114000000000001</v>
      </c>
    </row>
    <row r="325" spans="2:10" x14ac:dyDescent="0.2">
      <c r="B325" s="1396" t="s">
        <v>824</v>
      </c>
      <c r="C325" s="1397">
        <v>2045</v>
      </c>
      <c r="D325" s="1396">
        <v>1190000</v>
      </c>
      <c r="E325" s="1398">
        <v>51590</v>
      </c>
      <c r="F325" s="1399">
        <v>29220</v>
      </c>
      <c r="G325" s="1396">
        <v>3.7631000000000001</v>
      </c>
      <c r="H325" s="1398">
        <v>8.4335E-3</v>
      </c>
      <c r="I325" s="1398">
        <v>-3.8260760000000003E-3</v>
      </c>
      <c r="J325" s="1399">
        <v>3.0114000000000001</v>
      </c>
    </row>
    <row r="326" spans="2:10" ht="13.5" thickBot="1" x14ac:dyDescent="0.25">
      <c r="B326" s="1400" t="s">
        <v>1089</v>
      </c>
      <c r="C326" s="1401">
        <v>2045</v>
      </c>
      <c r="D326" s="1400">
        <v>1384000</v>
      </c>
      <c r="E326" s="1402">
        <v>1383000</v>
      </c>
      <c r="F326" s="1403">
        <v>5034</v>
      </c>
      <c r="G326" s="1400">
        <v>78.571100000000001</v>
      </c>
      <c r="H326" s="1402">
        <v>0.27494000000000002</v>
      </c>
      <c r="I326" s="1402">
        <v>2.3304000000000003E-3</v>
      </c>
      <c r="J326" s="1403">
        <v>87.594300000000004</v>
      </c>
    </row>
    <row r="327" spans="2:10" x14ac:dyDescent="0.2">
      <c r="B327" s="1392" t="s">
        <v>1086</v>
      </c>
      <c r="C327" s="1393">
        <v>2050</v>
      </c>
      <c r="D327" s="1392">
        <v>1092000</v>
      </c>
      <c r="E327" s="1394">
        <v>1092000</v>
      </c>
      <c r="F327" s="1395">
        <v>3971</v>
      </c>
      <c r="G327" s="1392">
        <v>5.7390999999999996</v>
      </c>
      <c r="H327" s="1394">
        <v>0.18462200000000001</v>
      </c>
      <c r="I327" s="1394">
        <v>8.61E-4</v>
      </c>
      <c r="J327" s="1395">
        <v>11.5648</v>
      </c>
    </row>
    <row r="328" spans="2:10" x14ac:dyDescent="0.2">
      <c r="B328" s="1396" t="s">
        <v>283</v>
      </c>
      <c r="C328" s="1397">
        <v>2050</v>
      </c>
      <c r="D328" s="1396">
        <v>1092000</v>
      </c>
      <c r="E328" s="1398">
        <v>1092000</v>
      </c>
      <c r="F328" s="1399">
        <v>3971</v>
      </c>
      <c r="G328" s="1396">
        <v>5.7390999999999996</v>
      </c>
      <c r="H328" s="1398">
        <v>0.18462200000000001</v>
      </c>
      <c r="I328" s="1398">
        <v>8.61E-4</v>
      </c>
      <c r="J328" s="1399">
        <v>11.5648</v>
      </c>
    </row>
    <row r="329" spans="2:10" x14ac:dyDescent="0.2">
      <c r="B329" s="1396" t="s">
        <v>1087</v>
      </c>
      <c r="C329" s="1397">
        <v>2050</v>
      </c>
      <c r="D329" s="1396">
        <v>1092000</v>
      </c>
      <c r="E329" s="1398">
        <v>1092000</v>
      </c>
      <c r="F329" s="1399">
        <v>3971</v>
      </c>
      <c r="G329" s="1396">
        <v>5.7390999999999996</v>
      </c>
      <c r="H329" s="1398">
        <v>0.18462200000000001</v>
      </c>
      <c r="I329" s="1398">
        <v>8.61E-4</v>
      </c>
      <c r="J329" s="1399">
        <v>11.5648</v>
      </c>
    </row>
    <row r="330" spans="2:10" x14ac:dyDescent="0.2">
      <c r="B330" s="1396" t="s">
        <v>681</v>
      </c>
      <c r="C330" s="1397">
        <v>2050</v>
      </c>
      <c r="D330" s="1396">
        <v>1092000</v>
      </c>
      <c r="E330" s="1398">
        <v>1092000</v>
      </c>
      <c r="F330" s="1399">
        <v>3971</v>
      </c>
      <c r="G330" s="1396">
        <v>5.7390999999999996</v>
      </c>
      <c r="H330" s="1398">
        <v>0.18462200000000001</v>
      </c>
      <c r="I330" s="1398">
        <v>8.61E-4</v>
      </c>
      <c r="J330" s="1399">
        <v>11.5648</v>
      </c>
    </row>
    <row r="331" spans="2:10" x14ac:dyDescent="0.2">
      <c r="B331" s="1396" t="s">
        <v>682</v>
      </c>
      <c r="C331" s="1397">
        <v>2050</v>
      </c>
      <c r="D331" s="1396">
        <v>-1185000</v>
      </c>
      <c r="E331" s="1398">
        <v>0</v>
      </c>
      <c r="F331" s="1399">
        <v>0</v>
      </c>
      <c r="G331" s="1396">
        <v>-85.800000000000011</v>
      </c>
      <c r="H331" s="1398">
        <v>0.54700000000000004</v>
      </c>
      <c r="I331" s="1398">
        <v>-1.8286999999999999E-3</v>
      </c>
      <c r="J331" s="1399">
        <v>-70.08</v>
      </c>
    </row>
    <row r="332" spans="2:10" x14ac:dyDescent="0.2">
      <c r="B332" s="1396" t="s">
        <v>683</v>
      </c>
      <c r="C332" s="1397">
        <v>2050</v>
      </c>
      <c r="D332" s="1396">
        <v>1721000</v>
      </c>
      <c r="E332" s="1398">
        <v>1293000</v>
      </c>
      <c r="F332" s="1399">
        <v>15050</v>
      </c>
      <c r="G332" s="1396">
        <v>125.08</v>
      </c>
      <c r="H332" s="1398">
        <v>0.20477100000000001</v>
      </c>
      <c r="I332" s="1398">
        <v>1.7827000000000001E-3</v>
      </c>
      <c r="J332" s="1399">
        <v>129.82</v>
      </c>
    </row>
    <row r="333" spans="2:10" x14ac:dyDescent="0.2">
      <c r="B333" s="1396" t="s">
        <v>698</v>
      </c>
      <c r="C333" s="1397">
        <v>2050</v>
      </c>
      <c r="D333" s="1396">
        <v>1721000</v>
      </c>
      <c r="E333" s="1398">
        <v>1293000</v>
      </c>
      <c r="F333" s="1399">
        <v>15050</v>
      </c>
      <c r="G333" s="1396">
        <v>125.08</v>
      </c>
      <c r="H333" s="1398">
        <v>0.20477100000000001</v>
      </c>
      <c r="I333" s="1398">
        <v>1.7827000000000001E-3</v>
      </c>
      <c r="J333" s="1399">
        <v>129.82</v>
      </c>
    </row>
    <row r="334" spans="2:10" x14ac:dyDescent="0.2">
      <c r="B334" s="1396" t="s">
        <v>684</v>
      </c>
      <c r="C334" s="1397">
        <v>2050</v>
      </c>
      <c r="D334" s="1396">
        <v>1721000</v>
      </c>
      <c r="E334" s="1398">
        <v>1293000</v>
      </c>
      <c r="F334" s="1399">
        <v>15050</v>
      </c>
      <c r="G334" s="1396">
        <v>125.08</v>
      </c>
      <c r="H334" s="1398">
        <v>0.20477100000000001</v>
      </c>
      <c r="I334" s="1398">
        <v>1.7827000000000001E-3</v>
      </c>
      <c r="J334" s="1399">
        <v>129.82</v>
      </c>
    </row>
    <row r="335" spans="2:10" x14ac:dyDescent="0.2">
      <c r="B335" s="1396" t="s">
        <v>1088</v>
      </c>
      <c r="C335" s="1397">
        <v>2050</v>
      </c>
      <c r="D335" s="1396">
        <v>1022000</v>
      </c>
      <c r="E335" s="1398">
        <v>1021000</v>
      </c>
      <c r="F335" s="1399">
        <v>15510</v>
      </c>
      <c r="G335" s="1396">
        <v>1.6964999999999999</v>
      </c>
      <c r="H335" s="1398">
        <v>0.14096238999999999</v>
      </c>
      <c r="I335" s="1398">
        <v>3.2765999999999998E-5</v>
      </c>
      <c r="J335" s="1399">
        <v>5.9536999999999995</v>
      </c>
    </row>
    <row r="336" spans="2:10" x14ac:dyDescent="0.2">
      <c r="B336" s="1396" t="s">
        <v>716</v>
      </c>
      <c r="C336" s="1397">
        <v>2050</v>
      </c>
      <c r="D336" s="1396">
        <v>1022000</v>
      </c>
      <c r="E336" s="1398">
        <v>1021000</v>
      </c>
      <c r="F336" s="1399">
        <v>15510</v>
      </c>
      <c r="G336" s="1396">
        <v>1.6964999999999999</v>
      </c>
      <c r="H336" s="1398">
        <v>0.14096238999999999</v>
      </c>
      <c r="I336" s="1398">
        <v>3.2765999999999998E-5</v>
      </c>
      <c r="J336" s="1399">
        <v>5.9536999999999995</v>
      </c>
    </row>
    <row r="337" spans="2:10" x14ac:dyDescent="0.2">
      <c r="B337" s="1396" t="s">
        <v>717</v>
      </c>
      <c r="C337" s="1397">
        <v>2050</v>
      </c>
      <c r="D337" s="1396">
        <v>1022000</v>
      </c>
      <c r="E337" s="1398">
        <v>1021000</v>
      </c>
      <c r="F337" s="1399">
        <v>15510</v>
      </c>
      <c r="G337" s="1396">
        <v>1.6964999999999999</v>
      </c>
      <c r="H337" s="1398">
        <v>0.14096238999999999</v>
      </c>
      <c r="I337" s="1398">
        <v>3.2765999999999998E-5</v>
      </c>
      <c r="J337" s="1399">
        <v>5.9536999999999995</v>
      </c>
    </row>
    <row r="338" spans="2:10" x14ac:dyDescent="0.2">
      <c r="B338" s="1396" t="s">
        <v>913</v>
      </c>
      <c r="C338" s="1397">
        <v>2050</v>
      </c>
      <c r="D338" s="1396">
        <v>1209000</v>
      </c>
      <c r="E338" s="1398">
        <v>1202000</v>
      </c>
      <c r="F338" s="1399">
        <v>1052000</v>
      </c>
      <c r="G338" s="1396">
        <v>17.969000000000001</v>
      </c>
      <c r="H338" s="1398">
        <v>0.164128</v>
      </c>
      <c r="I338" s="1398">
        <v>2.9025999999999998E-4</v>
      </c>
      <c r="J338" s="1399">
        <v>22.988</v>
      </c>
    </row>
    <row r="339" spans="2:10" x14ac:dyDescent="0.2">
      <c r="B339" s="1396" t="s">
        <v>911</v>
      </c>
      <c r="C339" s="1397">
        <v>2050</v>
      </c>
      <c r="D339" s="1396">
        <v>1585000</v>
      </c>
      <c r="E339" s="1398">
        <v>696300</v>
      </c>
      <c r="F339" s="1399">
        <v>286000</v>
      </c>
      <c r="G339" s="1396">
        <v>38.049999999999997</v>
      </c>
      <c r="H339" s="1398">
        <v>0.1118</v>
      </c>
      <c r="I339" s="1398">
        <v>2.5350000000000001E-2</v>
      </c>
      <c r="J339" s="1399">
        <v>45.19</v>
      </c>
    </row>
    <row r="340" spans="2:10" x14ac:dyDescent="0.2">
      <c r="B340" s="1396" t="s">
        <v>914</v>
      </c>
      <c r="C340" s="1397">
        <v>2050</v>
      </c>
      <c r="D340" s="1396">
        <v>1249000</v>
      </c>
      <c r="E340" s="1398">
        <v>1242000</v>
      </c>
      <c r="F340" s="1399">
        <v>1078000</v>
      </c>
      <c r="G340" s="1396">
        <v>23.84</v>
      </c>
      <c r="H340" s="1398">
        <v>0.16985799999999998</v>
      </c>
      <c r="I340" s="1398">
        <v>3.7813000000000001E-4</v>
      </c>
      <c r="J340" s="1399">
        <v>29.157000000000004</v>
      </c>
    </row>
    <row r="341" spans="2:10" x14ac:dyDescent="0.2">
      <c r="B341" s="1396" t="s">
        <v>1082</v>
      </c>
      <c r="C341" s="1397">
        <v>2050</v>
      </c>
      <c r="D341" s="1396">
        <v>1190000</v>
      </c>
      <c r="E341" s="1398">
        <v>51590</v>
      </c>
      <c r="F341" s="1399">
        <v>29220</v>
      </c>
      <c r="G341" s="1396">
        <v>3.7582</v>
      </c>
      <c r="H341" s="1398">
        <v>8.4366999999999984E-3</v>
      </c>
      <c r="I341" s="1398">
        <v>-3.8261190000000002E-3</v>
      </c>
      <c r="J341" s="1399">
        <v>3.0054000000000003</v>
      </c>
    </row>
    <row r="342" spans="2:10" x14ac:dyDescent="0.2">
      <c r="B342" s="1396" t="s">
        <v>815</v>
      </c>
      <c r="C342" s="1397">
        <v>2050</v>
      </c>
      <c r="D342" s="1396">
        <v>1190000</v>
      </c>
      <c r="E342" s="1398">
        <v>51590</v>
      </c>
      <c r="F342" s="1399">
        <v>29220</v>
      </c>
      <c r="G342" s="1396">
        <v>3.7582</v>
      </c>
      <c r="H342" s="1398">
        <v>8.4366999999999984E-3</v>
      </c>
      <c r="I342" s="1398">
        <v>-3.8261190000000002E-3</v>
      </c>
      <c r="J342" s="1399">
        <v>3.0054000000000003</v>
      </c>
    </row>
    <row r="343" spans="2:10" x14ac:dyDescent="0.2">
      <c r="B343" s="1396" t="s">
        <v>824</v>
      </c>
      <c r="C343" s="1397">
        <v>2050</v>
      </c>
      <c r="D343" s="1396">
        <v>1190000</v>
      </c>
      <c r="E343" s="1398">
        <v>51590</v>
      </c>
      <c r="F343" s="1399">
        <v>29220</v>
      </c>
      <c r="G343" s="1396">
        <v>3.7582</v>
      </c>
      <c r="H343" s="1398">
        <v>8.4366999999999984E-3</v>
      </c>
      <c r="I343" s="1398">
        <v>-3.8261190000000002E-3</v>
      </c>
      <c r="J343" s="1399">
        <v>3.0054000000000003</v>
      </c>
    </row>
    <row r="344" spans="2:10" ht="13.5" thickBot="1" x14ac:dyDescent="0.25">
      <c r="B344" s="1400" t="s">
        <v>1089</v>
      </c>
      <c r="C344" s="1401">
        <v>2050</v>
      </c>
      <c r="D344" s="1400">
        <v>1384000</v>
      </c>
      <c r="E344" s="1402">
        <v>1383000</v>
      </c>
      <c r="F344" s="1403">
        <v>5034</v>
      </c>
      <c r="G344" s="1400">
        <v>78.571100000000001</v>
      </c>
      <c r="H344" s="1402">
        <v>0.27494000000000002</v>
      </c>
      <c r="I344" s="1402">
        <v>2.3304000000000003E-3</v>
      </c>
      <c r="J344" s="1403">
        <v>87.594300000000004</v>
      </c>
    </row>
    <row r="345" spans="2:10" x14ac:dyDescent="0.2">
      <c r="B345" s="1392" t="s">
        <v>1086</v>
      </c>
      <c r="C345" s="1393">
        <v>2055</v>
      </c>
      <c r="D345" s="1392">
        <v>1092000</v>
      </c>
      <c r="E345" s="1394">
        <v>1092000</v>
      </c>
      <c r="F345" s="1395">
        <v>3971</v>
      </c>
      <c r="G345" s="1392">
        <v>5.7390999999999996</v>
      </c>
      <c r="H345" s="1394">
        <v>0.18462200000000001</v>
      </c>
      <c r="I345" s="1394">
        <v>8.61E-4</v>
      </c>
      <c r="J345" s="1395">
        <v>11.5648</v>
      </c>
    </row>
    <row r="346" spans="2:10" x14ac:dyDescent="0.2">
      <c r="B346" s="1396" t="s">
        <v>283</v>
      </c>
      <c r="C346" s="1397">
        <v>2055</v>
      </c>
      <c r="D346" s="1396">
        <v>1092000</v>
      </c>
      <c r="E346" s="1398">
        <v>1092000</v>
      </c>
      <c r="F346" s="1399">
        <v>3971</v>
      </c>
      <c r="G346" s="1396">
        <v>5.7390999999999996</v>
      </c>
      <c r="H346" s="1398">
        <v>0.18462200000000001</v>
      </c>
      <c r="I346" s="1398">
        <v>8.61E-4</v>
      </c>
      <c r="J346" s="1399">
        <v>11.5648</v>
      </c>
    </row>
    <row r="347" spans="2:10" x14ac:dyDescent="0.2">
      <c r="B347" s="1396" t="s">
        <v>1087</v>
      </c>
      <c r="C347" s="1397">
        <v>2055</v>
      </c>
      <c r="D347" s="1396">
        <v>1092000</v>
      </c>
      <c r="E347" s="1398">
        <v>1092000</v>
      </c>
      <c r="F347" s="1399">
        <v>3971</v>
      </c>
      <c r="G347" s="1396">
        <v>5.7390999999999996</v>
      </c>
      <c r="H347" s="1398">
        <v>0.18462200000000001</v>
      </c>
      <c r="I347" s="1398">
        <v>8.61E-4</v>
      </c>
      <c r="J347" s="1399">
        <v>11.5648</v>
      </c>
    </row>
    <row r="348" spans="2:10" x14ac:dyDescent="0.2">
      <c r="B348" s="1396" t="s">
        <v>681</v>
      </c>
      <c r="C348" s="1397">
        <v>2055</v>
      </c>
      <c r="D348" s="1396">
        <v>1092000</v>
      </c>
      <c r="E348" s="1398">
        <v>1092000</v>
      </c>
      <c r="F348" s="1399">
        <v>3971</v>
      </c>
      <c r="G348" s="1396">
        <v>5.7390999999999996</v>
      </c>
      <c r="H348" s="1398">
        <v>0.18462200000000001</v>
      </c>
      <c r="I348" s="1398">
        <v>8.61E-4</v>
      </c>
      <c r="J348" s="1399">
        <v>11.5648</v>
      </c>
    </row>
    <row r="349" spans="2:10" x14ac:dyDescent="0.2">
      <c r="B349" s="1396" t="s">
        <v>682</v>
      </c>
      <c r="C349" s="1397">
        <v>2055</v>
      </c>
      <c r="D349" s="1396">
        <v>-1185000</v>
      </c>
      <c r="E349" s="1398">
        <v>0</v>
      </c>
      <c r="F349" s="1399">
        <v>0</v>
      </c>
      <c r="G349" s="1396">
        <v>-85.800000000000011</v>
      </c>
      <c r="H349" s="1398">
        <v>0.54700000000000004</v>
      </c>
      <c r="I349" s="1398">
        <v>-1.8286999999999999E-3</v>
      </c>
      <c r="J349" s="1399">
        <v>-70.08</v>
      </c>
    </row>
    <row r="350" spans="2:10" x14ac:dyDescent="0.2">
      <c r="B350" s="1396" t="s">
        <v>683</v>
      </c>
      <c r="C350" s="1397">
        <v>2055</v>
      </c>
      <c r="D350" s="1396">
        <v>1721000</v>
      </c>
      <c r="E350" s="1398">
        <v>1293000</v>
      </c>
      <c r="F350" s="1399">
        <v>15050</v>
      </c>
      <c r="G350" s="1396">
        <v>125.08</v>
      </c>
      <c r="H350" s="1398">
        <v>0.20477100000000001</v>
      </c>
      <c r="I350" s="1398">
        <v>1.7827000000000001E-3</v>
      </c>
      <c r="J350" s="1399">
        <v>129.82</v>
      </c>
    </row>
    <row r="351" spans="2:10" x14ac:dyDescent="0.2">
      <c r="B351" s="1396" t="s">
        <v>698</v>
      </c>
      <c r="C351" s="1397">
        <v>2055</v>
      </c>
      <c r="D351" s="1396">
        <v>1721000</v>
      </c>
      <c r="E351" s="1398">
        <v>1293000</v>
      </c>
      <c r="F351" s="1399">
        <v>15050</v>
      </c>
      <c r="G351" s="1396">
        <v>125.08</v>
      </c>
      <c r="H351" s="1398">
        <v>0.20477100000000001</v>
      </c>
      <c r="I351" s="1398">
        <v>1.7827000000000001E-3</v>
      </c>
      <c r="J351" s="1399">
        <v>129.82</v>
      </c>
    </row>
    <row r="352" spans="2:10" x14ac:dyDescent="0.2">
      <c r="B352" s="1396" t="s">
        <v>684</v>
      </c>
      <c r="C352" s="1397">
        <v>2055</v>
      </c>
      <c r="D352" s="1396">
        <v>1721000</v>
      </c>
      <c r="E352" s="1398">
        <v>1293000</v>
      </c>
      <c r="F352" s="1399">
        <v>15050</v>
      </c>
      <c r="G352" s="1396">
        <v>125.08</v>
      </c>
      <c r="H352" s="1398">
        <v>0.20477100000000001</v>
      </c>
      <c r="I352" s="1398">
        <v>1.7827000000000001E-3</v>
      </c>
      <c r="J352" s="1399">
        <v>129.82</v>
      </c>
    </row>
    <row r="353" spans="2:10" x14ac:dyDescent="0.2">
      <c r="B353" s="1396" t="s">
        <v>1088</v>
      </c>
      <c r="C353" s="1397">
        <v>2055</v>
      </c>
      <c r="D353" s="1396">
        <v>1022000</v>
      </c>
      <c r="E353" s="1398">
        <v>1021000</v>
      </c>
      <c r="F353" s="1399">
        <v>15510</v>
      </c>
      <c r="G353" s="1396">
        <v>1.6964999999999999</v>
      </c>
      <c r="H353" s="1398">
        <v>0.14096238999999999</v>
      </c>
      <c r="I353" s="1398">
        <v>3.2765999999999998E-5</v>
      </c>
      <c r="J353" s="1399">
        <v>5.9536999999999995</v>
      </c>
    </row>
    <row r="354" spans="2:10" x14ac:dyDescent="0.2">
      <c r="B354" s="1396" t="s">
        <v>716</v>
      </c>
      <c r="C354" s="1397">
        <v>2055</v>
      </c>
      <c r="D354" s="1396">
        <v>1022000</v>
      </c>
      <c r="E354" s="1398">
        <v>1021000</v>
      </c>
      <c r="F354" s="1399">
        <v>15510</v>
      </c>
      <c r="G354" s="1396">
        <v>1.6964999999999999</v>
      </c>
      <c r="H354" s="1398">
        <v>0.14096238999999999</v>
      </c>
      <c r="I354" s="1398">
        <v>3.2765999999999998E-5</v>
      </c>
      <c r="J354" s="1399">
        <v>5.9536999999999995</v>
      </c>
    </row>
    <row r="355" spans="2:10" x14ac:dyDescent="0.2">
      <c r="B355" s="1396" t="s">
        <v>717</v>
      </c>
      <c r="C355" s="1397">
        <v>2055</v>
      </c>
      <c r="D355" s="1396">
        <v>1022000</v>
      </c>
      <c r="E355" s="1398">
        <v>1021000</v>
      </c>
      <c r="F355" s="1399">
        <v>15510</v>
      </c>
      <c r="G355" s="1396">
        <v>1.6964999999999999</v>
      </c>
      <c r="H355" s="1398">
        <v>0.14096238999999999</v>
      </c>
      <c r="I355" s="1398">
        <v>3.2765999999999998E-5</v>
      </c>
      <c r="J355" s="1399">
        <v>5.9536999999999995</v>
      </c>
    </row>
    <row r="356" spans="2:10" x14ac:dyDescent="0.2">
      <c r="B356" s="1396" t="s">
        <v>913</v>
      </c>
      <c r="C356" s="1397">
        <v>2055</v>
      </c>
      <c r="D356" s="1396">
        <v>1209000</v>
      </c>
      <c r="E356" s="1398">
        <v>1202000</v>
      </c>
      <c r="F356" s="1399">
        <v>1052000</v>
      </c>
      <c r="G356" s="1396">
        <v>17.969000000000001</v>
      </c>
      <c r="H356" s="1398">
        <v>0.164128</v>
      </c>
      <c r="I356" s="1398">
        <v>2.9025999999999998E-4</v>
      </c>
      <c r="J356" s="1399">
        <v>22.988</v>
      </c>
    </row>
    <row r="357" spans="2:10" x14ac:dyDescent="0.2">
      <c r="B357" s="1396" t="s">
        <v>911</v>
      </c>
      <c r="C357" s="1397">
        <v>2055</v>
      </c>
      <c r="D357" s="1396">
        <v>1585000</v>
      </c>
      <c r="E357" s="1398">
        <v>696300</v>
      </c>
      <c r="F357" s="1399">
        <v>286000</v>
      </c>
      <c r="G357" s="1396">
        <v>38.049999999999997</v>
      </c>
      <c r="H357" s="1398">
        <v>0.1118</v>
      </c>
      <c r="I357" s="1398">
        <v>2.5350000000000001E-2</v>
      </c>
      <c r="J357" s="1399">
        <v>45.19</v>
      </c>
    </row>
    <row r="358" spans="2:10" x14ac:dyDescent="0.2">
      <c r="B358" s="1396" t="s">
        <v>914</v>
      </c>
      <c r="C358" s="1397">
        <v>2055</v>
      </c>
      <c r="D358" s="1396">
        <v>1249000</v>
      </c>
      <c r="E358" s="1398">
        <v>1242000</v>
      </c>
      <c r="F358" s="1399">
        <v>1078000</v>
      </c>
      <c r="G358" s="1396">
        <v>23.84</v>
      </c>
      <c r="H358" s="1398">
        <v>0.16985799999999998</v>
      </c>
      <c r="I358" s="1398">
        <v>3.7813000000000001E-4</v>
      </c>
      <c r="J358" s="1399">
        <v>29.157000000000004</v>
      </c>
    </row>
    <row r="359" spans="2:10" x14ac:dyDescent="0.2">
      <c r="B359" s="1396" t="s">
        <v>1082</v>
      </c>
      <c r="C359" s="1397">
        <v>2055</v>
      </c>
      <c r="D359" s="1396">
        <v>1190000</v>
      </c>
      <c r="E359" s="1398">
        <v>51590</v>
      </c>
      <c r="F359" s="1399">
        <v>29220</v>
      </c>
      <c r="G359" s="1396">
        <v>3.7582</v>
      </c>
      <c r="H359" s="1398">
        <v>8.4366999999999984E-3</v>
      </c>
      <c r="I359" s="1398">
        <v>-3.8261190000000002E-3</v>
      </c>
      <c r="J359" s="1399">
        <v>3.0054000000000003</v>
      </c>
    </row>
    <row r="360" spans="2:10" x14ac:dyDescent="0.2">
      <c r="B360" s="1396" t="s">
        <v>815</v>
      </c>
      <c r="C360" s="1397">
        <v>2055</v>
      </c>
      <c r="D360" s="1396">
        <v>1190000</v>
      </c>
      <c r="E360" s="1398">
        <v>51590</v>
      </c>
      <c r="F360" s="1399">
        <v>29220</v>
      </c>
      <c r="G360" s="1396">
        <v>3.7582</v>
      </c>
      <c r="H360" s="1398">
        <v>8.4366999999999984E-3</v>
      </c>
      <c r="I360" s="1398">
        <v>-3.8261190000000002E-3</v>
      </c>
      <c r="J360" s="1399">
        <v>3.0054000000000003</v>
      </c>
    </row>
    <row r="361" spans="2:10" x14ac:dyDescent="0.2">
      <c r="B361" s="1396" t="s">
        <v>824</v>
      </c>
      <c r="C361" s="1397">
        <v>2055</v>
      </c>
      <c r="D361" s="1396">
        <v>1190000</v>
      </c>
      <c r="E361" s="1398">
        <v>51590</v>
      </c>
      <c r="F361" s="1399">
        <v>29220</v>
      </c>
      <c r="G361" s="1396">
        <v>3.7582</v>
      </c>
      <c r="H361" s="1398">
        <v>8.4366999999999984E-3</v>
      </c>
      <c r="I361" s="1398">
        <v>-3.8261190000000002E-3</v>
      </c>
      <c r="J361" s="1399">
        <v>3.0054000000000003</v>
      </c>
    </row>
    <row r="362" spans="2:10" ht="13.5" thickBot="1" x14ac:dyDescent="0.25">
      <c r="B362" s="1400" t="s">
        <v>1089</v>
      </c>
      <c r="C362" s="1401">
        <v>2055</v>
      </c>
      <c r="D362" s="1400">
        <v>1384000</v>
      </c>
      <c r="E362" s="1402">
        <v>1383000</v>
      </c>
      <c r="F362" s="1403">
        <v>5034</v>
      </c>
      <c r="G362" s="1400">
        <v>78.571100000000001</v>
      </c>
      <c r="H362" s="1402">
        <v>0.27494000000000002</v>
      </c>
      <c r="I362" s="1402">
        <v>2.3304000000000003E-3</v>
      </c>
      <c r="J362" s="1403">
        <v>87.594300000000004</v>
      </c>
    </row>
    <row r="363" spans="2:10" x14ac:dyDescent="0.2">
      <c r="B363" s="1392" t="s">
        <v>1086</v>
      </c>
      <c r="C363" s="1393">
        <v>2060</v>
      </c>
      <c r="D363" s="1392">
        <v>1092000</v>
      </c>
      <c r="E363" s="1394">
        <v>1092000</v>
      </c>
      <c r="F363" s="1395">
        <v>3971</v>
      </c>
      <c r="G363" s="1392">
        <v>5.7390999999999996</v>
      </c>
      <c r="H363" s="1394">
        <v>0.18462200000000001</v>
      </c>
      <c r="I363" s="1394">
        <v>8.61E-4</v>
      </c>
      <c r="J363" s="1395">
        <v>11.5648</v>
      </c>
    </row>
    <row r="364" spans="2:10" x14ac:dyDescent="0.2">
      <c r="B364" s="1396" t="s">
        <v>283</v>
      </c>
      <c r="C364" s="1397">
        <v>2060</v>
      </c>
      <c r="D364" s="1396">
        <v>1092000</v>
      </c>
      <c r="E364" s="1398">
        <v>1092000</v>
      </c>
      <c r="F364" s="1399">
        <v>3971</v>
      </c>
      <c r="G364" s="1396">
        <v>5.7390999999999996</v>
      </c>
      <c r="H364" s="1398">
        <v>0.18462200000000001</v>
      </c>
      <c r="I364" s="1398">
        <v>8.61E-4</v>
      </c>
      <c r="J364" s="1399">
        <v>11.5648</v>
      </c>
    </row>
    <row r="365" spans="2:10" x14ac:dyDescent="0.2">
      <c r="B365" s="1396" t="s">
        <v>1087</v>
      </c>
      <c r="C365" s="1397">
        <v>2060</v>
      </c>
      <c r="D365" s="1396">
        <v>1092000</v>
      </c>
      <c r="E365" s="1398">
        <v>1092000</v>
      </c>
      <c r="F365" s="1399">
        <v>3971</v>
      </c>
      <c r="G365" s="1396">
        <v>5.7390999999999996</v>
      </c>
      <c r="H365" s="1398">
        <v>0.18462200000000001</v>
      </c>
      <c r="I365" s="1398">
        <v>8.61E-4</v>
      </c>
      <c r="J365" s="1399">
        <v>11.5648</v>
      </c>
    </row>
    <row r="366" spans="2:10" x14ac:dyDescent="0.2">
      <c r="B366" s="1396" t="s">
        <v>681</v>
      </c>
      <c r="C366" s="1397">
        <v>2060</v>
      </c>
      <c r="D366" s="1396">
        <v>1092000</v>
      </c>
      <c r="E366" s="1398">
        <v>1092000</v>
      </c>
      <c r="F366" s="1399">
        <v>3971</v>
      </c>
      <c r="G366" s="1396">
        <v>5.7390999999999996</v>
      </c>
      <c r="H366" s="1398">
        <v>0.18462200000000001</v>
      </c>
      <c r="I366" s="1398">
        <v>8.61E-4</v>
      </c>
      <c r="J366" s="1399">
        <v>11.5648</v>
      </c>
    </row>
    <row r="367" spans="2:10" x14ac:dyDescent="0.2">
      <c r="B367" s="1396" t="s">
        <v>682</v>
      </c>
      <c r="C367" s="1397">
        <v>2060</v>
      </c>
      <c r="D367" s="1396">
        <v>-1185000</v>
      </c>
      <c r="E367" s="1398">
        <v>0</v>
      </c>
      <c r="F367" s="1399">
        <v>0</v>
      </c>
      <c r="G367" s="1396">
        <v>-85.800000000000011</v>
      </c>
      <c r="H367" s="1398">
        <v>0.54700000000000004</v>
      </c>
      <c r="I367" s="1398">
        <v>-1.8286999999999999E-3</v>
      </c>
      <c r="J367" s="1399">
        <v>-70.08</v>
      </c>
    </row>
    <row r="368" spans="2:10" x14ac:dyDescent="0.2">
      <c r="B368" s="1396" t="s">
        <v>683</v>
      </c>
      <c r="C368" s="1397">
        <v>2060</v>
      </c>
      <c r="D368" s="1396">
        <v>1721000</v>
      </c>
      <c r="E368" s="1398">
        <v>1293000</v>
      </c>
      <c r="F368" s="1399">
        <v>15050</v>
      </c>
      <c r="G368" s="1396">
        <v>125.08</v>
      </c>
      <c r="H368" s="1398">
        <v>0.20477100000000001</v>
      </c>
      <c r="I368" s="1398">
        <v>1.7827000000000001E-3</v>
      </c>
      <c r="J368" s="1399">
        <v>129.82</v>
      </c>
    </row>
    <row r="369" spans="2:10" x14ac:dyDescent="0.2">
      <c r="B369" s="1396" t="s">
        <v>698</v>
      </c>
      <c r="C369" s="1397">
        <v>2060</v>
      </c>
      <c r="D369" s="1396">
        <v>1721000</v>
      </c>
      <c r="E369" s="1398">
        <v>1293000</v>
      </c>
      <c r="F369" s="1399">
        <v>15050</v>
      </c>
      <c r="G369" s="1396">
        <v>125.08</v>
      </c>
      <c r="H369" s="1398">
        <v>0.20477100000000001</v>
      </c>
      <c r="I369" s="1398">
        <v>1.7827000000000001E-3</v>
      </c>
      <c r="J369" s="1399">
        <v>129.82</v>
      </c>
    </row>
    <row r="370" spans="2:10" x14ac:dyDescent="0.2">
      <c r="B370" s="1396" t="s">
        <v>684</v>
      </c>
      <c r="C370" s="1397">
        <v>2060</v>
      </c>
      <c r="D370" s="1396">
        <v>1721000</v>
      </c>
      <c r="E370" s="1398">
        <v>1293000</v>
      </c>
      <c r="F370" s="1399">
        <v>15050</v>
      </c>
      <c r="G370" s="1396">
        <v>125.08</v>
      </c>
      <c r="H370" s="1398">
        <v>0.20477100000000001</v>
      </c>
      <c r="I370" s="1398">
        <v>1.7827000000000001E-3</v>
      </c>
      <c r="J370" s="1399">
        <v>129.82</v>
      </c>
    </row>
    <row r="371" spans="2:10" x14ac:dyDescent="0.2">
      <c r="B371" s="1396" t="s">
        <v>1088</v>
      </c>
      <c r="C371" s="1397">
        <v>2060</v>
      </c>
      <c r="D371" s="1396">
        <v>1022000</v>
      </c>
      <c r="E371" s="1398">
        <v>1021000</v>
      </c>
      <c r="F371" s="1399">
        <v>15510</v>
      </c>
      <c r="G371" s="1396">
        <v>1.6964999999999999</v>
      </c>
      <c r="H371" s="1398">
        <v>0.14096238999999999</v>
      </c>
      <c r="I371" s="1398">
        <v>3.2765999999999998E-5</v>
      </c>
      <c r="J371" s="1399">
        <v>5.9536999999999995</v>
      </c>
    </row>
    <row r="372" spans="2:10" x14ac:dyDescent="0.2">
      <c r="B372" s="1396" t="s">
        <v>716</v>
      </c>
      <c r="C372" s="1397">
        <v>2060</v>
      </c>
      <c r="D372" s="1396">
        <v>1022000</v>
      </c>
      <c r="E372" s="1398">
        <v>1021000</v>
      </c>
      <c r="F372" s="1399">
        <v>15510</v>
      </c>
      <c r="G372" s="1396">
        <v>1.6964999999999999</v>
      </c>
      <c r="H372" s="1398">
        <v>0.14096238999999999</v>
      </c>
      <c r="I372" s="1398">
        <v>3.2765999999999998E-5</v>
      </c>
      <c r="J372" s="1399">
        <v>5.9536999999999995</v>
      </c>
    </row>
    <row r="373" spans="2:10" x14ac:dyDescent="0.2">
      <c r="B373" s="1396" t="s">
        <v>717</v>
      </c>
      <c r="C373" s="1397">
        <v>2060</v>
      </c>
      <c r="D373" s="1396">
        <v>1022000</v>
      </c>
      <c r="E373" s="1398">
        <v>1021000</v>
      </c>
      <c r="F373" s="1399">
        <v>15510</v>
      </c>
      <c r="G373" s="1396">
        <v>1.6964999999999999</v>
      </c>
      <c r="H373" s="1398">
        <v>0.14096238999999999</v>
      </c>
      <c r="I373" s="1398">
        <v>3.2765999999999998E-5</v>
      </c>
      <c r="J373" s="1399">
        <v>5.9536999999999995</v>
      </c>
    </row>
    <row r="374" spans="2:10" x14ac:dyDescent="0.2">
      <c r="B374" s="1396" t="s">
        <v>913</v>
      </c>
      <c r="C374" s="1397">
        <v>2060</v>
      </c>
      <c r="D374" s="1396">
        <v>1209000</v>
      </c>
      <c r="E374" s="1398">
        <v>1202000</v>
      </c>
      <c r="F374" s="1399">
        <v>1052000</v>
      </c>
      <c r="G374" s="1396">
        <v>17.969000000000001</v>
      </c>
      <c r="H374" s="1398">
        <v>0.164128</v>
      </c>
      <c r="I374" s="1398">
        <v>2.9025999999999998E-4</v>
      </c>
      <c r="J374" s="1399">
        <v>22.988</v>
      </c>
    </row>
    <row r="375" spans="2:10" x14ac:dyDescent="0.2">
      <c r="B375" s="1396" t="s">
        <v>911</v>
      </c>
      <c r="C375" s="1397">
        <v>2060</v>
      </c>
      <c r="D375" s="1396">
        <v>1585000</v>
      </c>
      <c r="E375" s="1398">
        <v>696300</v>
      </c>
      <c r="F375" s="1399">
        <v>286000</v>
      </c>
      <c r="G375" s="1396">
        <v>38.049999999999997</v>
      </c>
      <c r="H375" s="1398">
        <v>0.1118</v>
      </c>
      <c r="I375" s="1398">
        <v>2.5350000000000001E-2</v>
      </c>
      <c r="J375" s="1399">
        <v>45.19</v>
      </c>
    </row>
    <row r="376" spans="2:10" x14ac:dyDescent="0.2">
      <c r="B376" s="1396" t="s">
        <v>914</v>
      </c>
      <c r="C376" s="1397">
        <v>2060</v>
      </c>
      <c r="D376" s="1396">
        <v>1249000</v>
      </c>
      <c r="E376" s="1398">
        <v>1242000</v>
      </c>
      <c r="F376" s="1399">
        <v>1078000</v>
      </c>
      <c r="G376" s="1396">
        <v>23.84</v>
      </c>
      <c r="H376" s="1398">
        <v>0.16985799999999998</v>
      </c>
      <c r="I376" s="1398">
        <v>3.7813000000000001E-4</v>
      </c>
      <c r="J376" s="1399">
        <v>29.157000000000004</v>
      </c>
    </row>
    <row r="377" spans="2:10" x14ac:dyDescent="0.2">
      <c r="B377" s="1396" t="s">
        <v>1082</v>
      </c>
      <c r="C377" s="1397">
        <v>2060</v>
      </c>
      <c r="D377" s="1396">
        <v>1190000</v>
      </c>
      <c r="E377" s="1398">
        <v>51590</v>
      </c>
      <c r="F377" s="1399">
        <v>29220</v>
      </c>
      <c r="G377" s="1396">
        <v>3.7582</v>
      </c>
      <c r="H377" s="1398">
        <v>8.4366999999999984E-3</v>
      </c>
      <c r="I377" s="1398">
        <v>-3.8261190000000002E-3</v>
      </c>
      <c r="J377" s="1399">
        <v>3.0054000000000003</v>
      </c>
    </row>
    <row r="378" spans="2:10" x14ac:dyDescent="0.2">
      <c r="B378" s="1396" t="s">
        <v>815</v>
      </c>
      <c r="C378" s="1397">
        <v>2060</v>
      </c>
      <c r="D378" s="1396">
        <v>1190000</v>
      </c>
      <c r="E378" s="1398">
        <v>51590</v>
      </c>
      <c r="F378" s="1399">
        <v>29220</v>
      </c>
      <c r="G378" s="1396">
        <v>3.7582</v>
      </c>
      <c r="H378" s="1398">
        <v>8.4366999999999984E-3</v>
      </c>
      <c r="I378" s="1398">
        <v>-3.8261190000000002E-3</v>
      </c>
      <c r="J378" s="1399">
        <v>3.0054000000000003</v>
      </c>
    </row>
    <row r="379" spans="2:10" x14ac:dyDescent="0.2">
      <c r="B379" s="1396" t="s">
        <v>824</v>
      </c>
      <c r="C379" s="1397">
        <v>2060</v>
      </c>
      <c r="D379" s="1396">
        <v>1190000</v>
      </c>
      <c r="E379" s="1398">
        <v>51590</v>
      </c>
      <c r="F379" s="1399">
        <v>29220</v>
      </c>
      <c r="G379" s="1396">
        <v>3.7582</v>
      </c>
      <c r="H379" s="1398">
        <v>8.4366999999999984E-3</v>
      </c>
      <c r="I379" s="1398">
        <v>-3.8261190000000002E-3</v>
      </c>
      <c r="J379" s="1399">
        <v>3.0054000000000003</v>
      </c>
    </row>
    <row r="380" spans="2:10" ht="13.5" thickBot="1" x14ac:dyDescent="0.25">
      <c r="B380" s="1400" t="s">
        <v>1089</v>
      </c>
      <c r="C380" s="1401">
        <v>2060</v>
      </c>
      <c r="D380" s="1400">
        <v>1384000</v>
      </c>
      <c r="E380" s="1402">
        <v>1383000</v>
      </c>
      <c r="F380" s="1403">
        <v>5034</v>
      </c>
      <c r="G380" s="1400">
        <v>78.571100000000001</v>
      </c>
      <c r="H380" s="1402">
        <v>0.27494000000000002</v>
      </c>
      <c r="I380" s="1402">
        <v>2.3304000000000003E-3</v>
      </c>
      <c r="J380" s="1403">
        <v>87.594300000000004</v>
      </c>
    </row>
    <row r="381" spans="2:10" x14ac:dyDescent="0.2">
      <c r="B381" s="1392" t="s">
        <v>1086</v>
      </c>
      <c r="C381" s="1393">
        <v>2065</v>
      </c>
      <c r="D381" s="1392">
        <v>1092000</v>
      </c>
      <c r="E381" s="1394">
        <v>1092000</v>
      </c>
      <c r="F381" s="1395">
        <v>3971</v>
      </c>
      <c r="G381" s="1392">
        <v>5.7390999999999996</v>
      </c>
      <c r="H381" s="1394">
        <v>0.18462200000000001</v>
      </c>
      <c r="I381" s="1394">
        <v>8.61E-4</v>
      </c>
      <c r="J381" s="1395">
        <v>11.5648</v>
      </c>
    </row>
    <row r="382" spans="2:10" x14ac:dyDescent="0.2">
      <c r="B382" s="1396" t="s">
        <v>283</v>
      </c>
      <c r="C382" s="1397">
        <v>2065</v>
      </c>
      <c r="D382" s="1396">
        <v>1092000</v>
      </c>
      <c r="E382" s="1398">
        <v>1092000</v>
      </c>
      <c r="F382" s="1399">
        <v>3971</v>
      </c>
      <c r="G382" s="1396">
        <v>5.7390999999999996</v>
      </c>
      <c r="H382" s="1398">
        <v>0.18462200000000001</v>
      </c>
      <c r="I382" s="1398">
        <v>8.61E-4</v>
      </c>
      <c r="J382" s="1399">
        <v>11.5648</v>
      </c>
    </row>
    <row r="383" spans="2:10" x14ac:dyDescent="0.2">
      <c r="B383" s="1396" t="s">
        <v>1087</v>
      </c>
      <c r="C383" s="1397">
        <v>2065</v>
      </c>
      <c r="D383" s="1396">
        <v>1092000</v>
      </c>
      <c r="E383" s="1398">
        <v>1092000</v>
      </c>
      <c r="F383" s="1399">
        <v>3971</v>
      </c>
      <c r="G383" s="1396">
        <v>5.7390999999999996</v>
      </c>
      <c r="H383" s="1398">
        <v>0.18462200000000001</v>
      </c>
      <c r="I383" s="1398">
        <v>8.61E-4</v>
      </c>
      <c r="J383" s="1399">
        <v>11.5648</v>
      </c>
    </row>
    <row r="384" spans="2:10" x14ac:dyDescent="0.2">
      <c r="B384" s="1396" t="s">
        <v>681</v>
      </c>
      <c r="C384" s="1397">
        <v>2065</v>
      </c>
      <c r="D384" s="1396">
        <v>1092000</v>
      </c>
      <c r="E384" s="1398">
        <v>1092000</v>
      </c>
      <c r="F384" s="1399">
        <v>3971</v>
      </c>
      <c r="G384" s="1396">
        <v>5.7390999999999996</v>
      </c>
      <c r="H384" s="1398">
        <v>0.18462200000000001</v>
      </c>
      <c r="I384" s="1398">
        <v>8.61E-4</v>
      </c>
      <c r="J384" s="1399">
        <v>11.5648</v>
      </c>
    </row>
    <row r="385" spans="2:10" x14ac:dyDescent="0.2">
      <c r="B385" s="1396" t="s">
        <v>682</v>
      </c>
      <c r="C385" s="1397">
        <v>2065</v>
      </c>
      <c r="D385" s="1396">
        <v>-1185000</v>
      </c>
      <c r="E385" s="1398">
        <v>0</v>
      </c>
      <c r="F385" s="1399">
        <v>0</v>
      </c>
      <c r="G385" s="1396">
        <v>-85.800000000000011</v>
      </c>
      <c r="H385" s="1398">
        <v>0.54700000000000004</v>
      </c>
      <c r="I385" s="1398">
        <v>-1.8286999999999999E-3</v>
      </c>
      <c r="J385" s="1399">
        <v>-70.08</v>
      </c>
    </row>
    <row r="386" spans="2:10" x14ac:dyDescent="0.2">
      <c r="B386" s="1396" t="s">
        <v>683</v>
      </c>
      <c r="C386" s="1397">
        <v>2065</v>
      </c>
      <c r="D386" s="1396">
        <v>1721000</v>
      </c>
      <c r="E386" s="1398">
        <v>1293000</v>
      </c>
      <c r="F386" s="1399">
        <v>15050</v>
      </c>
      <c r="G386" s="1396">
        <v>125.08</v>
      </c>
      <c r="H386" s="1398">
        <v>0.20477100000000001</v>
      </c>
      <c r="I386" s="1398">
        <v>1.7827000000000001E-3</v>
      </c>
      <c r="J386" s="1399">
        <v>129.82</v>
      </c>
    </row>
    <row r="387" spans="2:10" x14ac:dyDescent="0.2">
      <c r="B387" s="1396" t="s">
        <v>698</v>
      </c>
      <c r="C387" s="1397">
        <v>2065</v>
      </c>
      <c r="D387" s="1396">
        <v>1721000</v>
      </c>
      <c r="E387" s="1398">
        <v>1293000</v>
      </c>
      <c r="F387" s="1399">
        <v>15050</v>
      </c>
      <c r="G387" s="1396">
        <v>125.08</v>
      </c>
      <c r="H387" s="1398">
        <v>0.20477100000000001</v>
      </c>
      <c r="I387" s="1398">
        <v>1.7827000000000001E-3</v>
      </c>
      <c r="J387" s="1399">
        <v>129.82</v>
      </c>
    </row>
    <row r="388" spans="2:10" x14ac:dyDescent="0.2">
      <c r="B388" s="1396" t="s">
        <v>684</v>
      </c>
      <c r="C388" s="1397">
        <v>2065</v>
      </c>
      <c r="D388" s="1396">
        <v>1721000</v>
      </c>
      <c r="E388" s="1398">
        <v>1293000</v>
      </c>
      <c r="F388" s="1399">
        <v>15050</v>
      </c>
      <c r="G388" s="1396">
        <v>125.08</v>
      </c>
      <c r="H388" s="1398">
        <v>0.20477100000000001</v>
      </c>
      <c r="I388" s="1398">
        <v>1.7827000000000001E-3</v>
      </c>
      <c r="J388" s="1399">
        <v>129.82</v>
      </c>
    </row>
    <row r="389" spans="2:10" x14ac:dyDescent="0.2">
      <c r="B389" s="1396" t="s">
        <v>1088</v>
      </c>
      <c r="C389" s="1397">
        <v>2065</v>
      </c>
      <c r="D389" s="1396">
        <v>1022000</v>
      </c>
      <c r="E389" s="1398">
        <v>1021000</v>
      </c>
      <c r="F389" s="1399">
        <v>15510</v>
      </c>
      <c r="G389" s="1396">
        <v>1.6964999999999999</v>
      </c>
      <c r="H389" s="1398">
        <v>0.14096238999999999</v>
      </c>
      <c r="I389" s="1398">
        <v>3.2765999999999998E-5</v>
      </c>
      <c r="J389" s="1399">
        <v>5.9536999999999995</v>
      </c>
    </row>
    <row r="390" spans="2:10" x14ac:dyDescent="0.2">
      <c r="B390" s="1396" t="s">
        <v>716</v>
      </c>
      <c r="C390" s="1397">
        <v>2065</v>
      </c>
      <c r="D390" s="1396">
        <v>1022000</v>
      </c>
      <c r="E390" s="1398">
        <v>1021000</v>
      </c>
      <c r="F390" s="1399">
        <v>15510</v>
      </c>
      <c r="G390" s="1396">
        <v>1.6964999999999999</v>
      </c>
      <c r="H390" s="1398">
        <v>0.14096238999999999</v>
      </c>
      <c r="I390" s="1398">
        <v>3.2765999999999998E-5</v>
      </c>
      <c r="J390" s="1399">
        <v>5.9536999999999995</v>
      </c>
    </row>
    <row r="391" spans="2:10" x14ac:dyDescent="0.2">
      <c r="B391" s="1396" t="s">
        <v>717</v>
      </c>
      <c r="C391" s="1397">
        <v>2065</v>
      </c>
      <c r="D391" s="1396">
        <v>1022000</v>
      </c>
      <c r="E391" s="1398">
        <v>1021000</v>
      </c>
      <c r="F391" s="1399">
        <v>15510</v>
      </c>
      <c r="G391" s="1396">
        <v>1.6964999999999999</v>
      </c>
      <c r="H391" s="1398">
        <v>0.14096238999999999</v>
      </c>
      <c r="I391" s="1398">
        <v>3.2765999999999998E-5</v>
      </c>
      <c r="J391" s="1399">
        <v>5.9536999999999995</v>
      </c>
    </row>
    <row r="392" spans="2:10" x14ac:dyDescent="0.2">
      <c r="B392" s="1396" t="s">
        <v>913</v>
      </c>
      <c r="C392" s="1397">
        <v>2065</v>
      </c>
      <c r="D392" s="1396">
        <v>1209000</v>
      </c>
      <c r="E392" s="1398">
        <v>1202000</v>
      </c>
      <c r="F392" s="1399">
        <v>1052000</v>
      </c>
      <c r="G392" s="1396">
        <v>17.969000000000001</v>
      </c>
      <c r="H392" s="1398">
        <v>0.164128</v>
      </c>
      <c r="I392" s="1398">
        <v>2.9025999999999998E-4</v>
      </c>
      <c r="J392" s="1399">
        <v>22.988</v>
      </c>
    </row>
    <row r="393" spans="2:10" x14ac:dyDescent="0.2">
      <c r="B393" s="1396" t="s">
        <v>911</v>
      </c>
      <c r="C393" s="1397">
        <v>2065</v>
      </c>
      <c r="D393" s="1396">
        <v>1585000</v>
      </c>
      <c r="E393" s="1398">
        <v>696300</v>
      </c>
      <c r="F393" s="1399">
        <v>286000</v>
      </c>
      <c r="G393" s="1396">
        <v>38.049999999999997</v>
      </c>
      <c r="H393" s="1398">
        <v>0.1118</v>
      </c>
      <c r="I393" s="1398">
        <v>2.5350000000000001E-2</v>
      </c>
      <c r="J393" s="1399">
        <v>45.19</v>
      </c>
    </row>
    <row r="394" spans="2:10" x14ac:dyDescent="0.2">
      <c r="B394" s="1396" t="s">
        <v>914</v>
      </c>
      <c r="C394" s="1397">
        <v>2065</v>
      </c>
      <c r="D394" s="1396">
        <v>1249000</v>
      </c>
      <c r="E394" s="1398">
        <v>1242000</v>
      </c>
      <c r="F394" s="1399">
        <v>1078000</v>
      </c>
      <c r="G394" s="1396">
        <v>23.84</v>
      </c>
      <c r="H394" s="1398">
        <v>0.16985799999999998</v>
      </c>
      <c r="I394" s="1398">
        <v>3.7813000000000001E-4</v>
      </c>
      <c r="J394" s="1399">
        <v>29.157000000000004</v>
      </c>
    </row>
    <row r="395" spans="2:10" x14ac:dyDescent="0.2">
      <c r="B395" s="1396" t="s">
        <v>1082</v>
      </c>
      <c r="C395" s="1397">
        <v>2065</v>
      </c>
      <c r="D395" s="1396">
        <v>1190000</v>
      </c>
      <c r="E395" s="1398">
        <v>51590</v>
      </c>
      <c r="F395" s="1399">
        <v>29220</v>
      </c>
      <c r="G395" s="1396">
        <v>3.7582</v>
      </c>
      <c r="H395" s="1398">
        <v>8.4366999999999984E-3</v>
      </c>
      <c r="I395" s="1398">
        <v>-3.8261190000000002E-3</v>
      </c>
      <c r="J395" s="1399">
        <v>3.0054000000000003</v>
      </c>
    </row>
    <row r="396" spans="2:10" x14ac:dyDescent="0.2">
      <c r="B396" s="1396" t="s">
        <v>815</v>
      </c>
      <c r="C396" s="1397">
        <v>2065</v>
      </c>
      <c r="D396" s="1396">
        <v>1190000</v>
      </c>
      <c r="E396" s="1398">
        <v>51590</v>
      </c>
      <c r="F396" s="1399">
        <v>29220</v>
      </c>
      <c r="G396" s="1396">
        <v>3.7582</v>
      </c>
      <c r="H396" s="1398">
        <v>8.4366999999999984E-3</v>
      </c>
      <c r="I396" s="1398">
        <v>-3.8261190000000002E-3</v>
      </c>
      <c r="J396" s="1399">
        <v>3.0054000000000003</v>
      </c>
    </row>
    <row r="397" spans="2:10" x14ac:dyDescent="0.2">
      <c r="B397" s="1396" t="s">
        <v>824</v>
      </c>
      <c r="C397" s="1397">
        <v>2065</v>
      </c>
      <c r="D397" s="1396">
        <v>1190000</v>
      </c>
      <c r="E397" s="1398">
        <v>51590</v>
      </c>
      <c r="F397" s="1399">
        <v>29220</v>
      </c>
      <c r="G397" s="1396">
        <v>3.7582</v>
      </c>
      <c r="H397" s="1398">
        <v>8.4366999999999984E-3</v>
      </c>
      <c r="I397" s="1398">
        <v>-3.8261190000000002E-3</v>
      </c>
      <c r="J397" s="1399">
        <v>3.0054000000000003</v>
      </c>
    </row>
    <row r="398" spans="2:10" ht="13.5" thickBot="1" x14ac:dyDescent="0.25">
      <c r="B398" s="1400" t="s">
        <v>1089</v>
      </c>
      <c r="C398" s="1401">
        <v>2065</v>
      </c>
      <c r="D398" s="1400">
        <v>1384000</v>
      </c>
      <c r="E398" s="1402">
        <v>1383000</v>
      </c>
      <c r="F398" s="1403">
        <v>5034</v>
      </c>
      <c r="G398" s="1400">
        <v>78.571100000000001</v>
      </c>
      <c r="H398" s="1402">
        <v>0.27494000000000002</v>
      </c>
      <c r="I398" s="1402">
        <v>2.3304000000000003E-3</v>
      </c>
      <c r="J398" s="1403">
        <v>87.594300000000004</v>
      </c>
    </row>
    <row r="399" spans="2:10" x14ac:dyDescent="0.2">
      <c r="B399" s="1392" t="s">
        <v>1086</v>
      </c>
      <c r="C399" s="1393">
        <v>2070</v>
      </c>
      <c r="D399" s="1392">
        <v>1092000</v>
      </c>
      <c r="E399" s="1394">
        <v>1092000</v>
      </c>
      <c r="F399" s="1395">
        <v>3971</v>
      </c>
      <c r="G399" s="1392">
        <v>5.7390999999999996</v>
      </c>
      <c r="H399" s="1394">
        <v>0.18462200000000001</v>
      </c>
      <c r="I399" s="1394">
        <v>8.61E-4</v>
      </c>
      <c r="J399" s="1395">
        <v>11.5648</v>
      </c>
    </row>
    <row r="400" spans="2:10" x14ac:dyDescent="0.2">
      <c r="B400" s="1396" t="s">
        <v>283</v>
      </c>
      <c r="C400" s="1397">
        <v>2070</v>
      </c>
      <c r="D400" s="1396">
        <v>1092000</v>
      </c>
      <c r="E400" s="1398">
        <v>1092000</v>
      </c>
      <c r="F400" s="1399">
        <v>3971</v>
      </c>
      <c r="G400" s="1396">
        <v>5.7390999999999996</v>
      </c>
      <c r="H400" s="1398">
        <v>0.18462200000000001</v>
      </c>
      <c r="I400" s="1398">
        <v>8.61E-4</v>
      </c>
      <c r="J400" s="1399">
        <v>11.5648</v>
      </c>
    </row>
    <row r="401" spans="2:10" x14ac:dyDescent="0.2">
      <c r="B401" s="1396" t="s">
        <v>1087</v>
      </c>
      <c r="C401" s="1397">
        <v>2070</v>
      </c>
      <c r="D401" s="1396">
        <v>1092000</v>
      </c>
      <c r="E401" s="1398">
        <v>1092000</v>
      </c>
      <c r="F401" s="1399">
        <v>3971</v>
      </c>
      <c r="G401" s="1396">
        <v>5.7390999999999996</v>
      </c>
      <c r="H401" s="1398">
        <v>0.18462200000000001</v>
      </c>
      <c r="I401" s="1398">
        <v>8.61E-4</v>
      </c>
      <c r="J401" s="1399">
        <v>11.5648</v>
      </c>
    </row>
    <row r="402" spans="2:10" x14ac:dyDescent="0.2">
      <c r="B402" s="1396" t="s">
        <v>681</v>
      </c>
      <c r="C402" s="1397">
        <v>2070</v>
      </c>
      <c r="D402" s="1396">
        <v>1092000</v>
      </c>
      <c r="E402" s="1398">
        <v>1092000</v>
      </c>
      <c r="F402" s="1399">
        <v>3971</v>
      </c>
      <c r="G402" s="1396">
        <v>5.7390999999999996</v>
      </c>
      <c r="H402" s="1398">
        <v>0.18462200000000001</v>
      </c>
      <c r="I402" s="1398">
        <v>8.61E-4</v>
      </c>
      <c r="J402" s="1399">
        <v>11.5648</v>
      </c>
    </row>
    <row r="403" spans="2:10" x14ac:dyDescent="0.2">
      <c r="B403" s="1396" t="s">
        <v>682</v>
      </c>
      <c r="C403" s="1397">
        <v>2070</v>
      </c>
      <c r="D403" s="1396">
        <v>-1185000</v>
      </c>
      <c r="E403" s="1398">
        <v>0</v>
      </c>
      <c r="F403" s="1399">
        <v>0</v>
      </c>
      <c r="G403" s="1396">
        <v>-85.800000000000011</v>
      </c>
      <c r="H403" s="1398">
        <v>0.54700000000000004</v>
      </c>
      <c r="I403" s="1398">
        <v>-1.8286999999999999E-3</v>
      </c>
      <c r="J403" s="1399">
        <v>-70.08</v>
      </c>
    </row>
    <row r="404" spans="2:10" x14ac:dyDescent="0.2">
      <c r="B404" s="1396" t="s">
        <v>683</v>
      </c>
      <c r="C404" s="1397">
        <v>2070</v>
      </c>
      <c r="D404" s="1396">
        <v>1721000</v>
      </c>
      <c r="E404" s="1398">
        <v>1293000</v>
      </c>
      <c r="F404" s="1399">
        <v>15050</v>
      </c>
      <c r="G404" s="1396">
        <v>125.08</v>
      </c>
      <c r="H404" s="1398">
        <v>0.20477100000000001</v>
      </c>
      <c r="I404" s="1398">
        <v>1.7827000000000001E-3</v>
      </c>
      <c r="J404" s="1399">
        <v>129.82</v>
      </c>
    </row>
    <row r="405" spans="2:10" x14ac:dyDescent="0.2">
      <c r="B405" s="1396" t="s">
        <v>698</v>
      </c>
      <c r="C405" s="1397">
        <v>2070</v>
      </c>
      <c r="D405" s="1396">
        <v>1721000</v>
      </c>
      <c r="E405" s="1398">
        <v>1293000</v>
      </c>
      <c r="F405" s="1399">
        <v>15050</v>
      </c>
      <c r="G405" s="1396">
        <v>125.08</v>
      </c>
      <c r="H405" s="1398">
        <v>0.20477100000000001</v>
      </c>
      <c r="I405" s="1398">
        <v>1.7827000000000001E-3</v>
      </c>
      <c r="J405" s="1399">
        <v>129.82</v>
      </c>
    </row>
    <row r="406" spans="2:10" x14ac:dyDescent="0.2">
      <c r="B406" s="1396" t="s">
        <v>684</v>
      </c>
      <c r="C406" s="1397">
        <v>2070</v>
      </c>
      <c r="D406" s="1396">
        <v>1721000</v>
      </c>
      <c r="E406" s="1398">
        <v>1293000</v>
      </c>
      <c r="F406" s="1399">
        <v>15050</v>
      </c>
      <c r="G406" s="1396">
        <v>125.08</v>
      </c>
      <c r="H406" s="1398">
        <v>0.20477100000000001</v>
      </c>
      <c r="I406" s="1398">
        <v>1.7827000000000001E-3</v>
      </c>
      <c r="J406" s="1399">
        <v>129.82</v>
      </c>
    </row>
    <row r="407" spans="2:10" x14ac:dyDescent="0.2">
      <c r="B407" s="1396" t="s">
        <v>1088</v>
      </c>
      <c r="C407" s="1397">
        <v>2070</v>
      </c>
      <c r="D407" s="1396">
        <v>1022000</v>
      </c>
      <c r="E407" s="1398">
        <v>1021000</v>
      </c>
      <c r="F407" s="1399">
        <v>15510</v>
      </c>
      <c r="G407" s="1396">
        <v>1.6964999999999999</v>
      </c>
      <c r="H407" s="1398">
        <v>0.14096238999999999</v>
      </c>
      <c r="I407" s="1398">
        <v>3.2765999999999998E-5</v>
      </c>
      <c r="J407" s="1399">
        <v>5.9536999999999995</v>
      </c>
    </row>
    <row r="408" spans="2:10" x14ac:dyDescent="0.2">
      <c r="B408" s="1396" t="s">
        <v>716</v>
      </c>
      <c r="C408" s="1397">
        <v>2070</v>
      </c>
      <c r="D408" s="1396">
        <v>1022000</v>
      </c>
      <c r="E408" s="1398">
        <v>1021000</v>
      </c>
      <c r="F408" s="1399">
        <v>15510</v>
      </c>
      <c r="G408" s="1396">
        <v>1.6964999999999999</v>
      </c>
      <c r="H408" s="1398">
        <v>0.14096238999999999</v>
      </c>
      <c r="I408" s="1398">
        <v>3.2765999999999998E-5</v>
      </c>
      <c r="J408" s="1399">
        <v>5.9536999999999995</v>
      </c>
    </row>
    <row r="409" spans="2:10" x14ac:dyDescent="0.2">
      <c r="B409" s="1396" t="s">
        <v>717</v>
      </c>
      <c r="C409" s="1397">
        <v>2070</v>
      </c>
      <c r="D409" s="1396">
        <v>1022000</v>
      </c>
      <c r="E409" s="1398">
        <v>1021000</v>
      </c>
      <c r="F409" s="1399">
        <v>15510</v>
      </c>
      <c r="G409" s="1396">
        <v>1.6964999999999999</v>
      </c>
      <c r="H409" s="1398">
        <v>0.14096238999999999</v>
      </c>
      <c r="I409" s="1398">
        <v>3.2765999999999998E-5</v>
      </c>
      <c r="J409" s="1399">
        <v>5.9536999999999995</v>
      </c>
    </row>
    <row r="410" spans="2:10" x14ac:dyDescent="0.2">
      <c r="B410" s="1396" t="s">
        <v>913</v>
      </c>
      <c r="C410" s="1397">
        <v>2070</v>
      </c>
      <c r="D410" s="1396">
        <v>1209000</v>
      </c>
      <c r="E410" s="1398">
        <v>1202000</v>
      </c>
      <c r="F410" s="1399">
        <v>1052000</v>
      </c>
      <c r="G410" s="1396">
        <v>17.969000000000001</v>
      </c>
      <c r="H410" s="1398">
        <v>0.164128</v>
      </c>
      <c r="I410" s="1398">
        <v>2.9025999999999998E-4</v>
      </c>
      <c r="J410" s="1399">
        <v>22.988</v>
      </c>
    </row>
    <row r="411" spans="2:10" x14ac:dyDescent="0.2">
      <c r="B411" s="1396" t="s">
        <v>911</v>
      </c>
      <c r="C411" s="1397">
        <v>2070</v>
      </c>
      <c r="D411" s="1396">
        <v>1585000</v>
      </c>
      <c r="E411" s="1398">
        <v>696300</v>
      </c>
      <c r="F411" s="1399">
        <v>286000</v>
      </c>
      <c r="G411" s="1396">
        <v>38.049999999999997</v>
      </c>
      <c r="H411" s="1398">
        <v>0.1118</v>
      </c>
      <c r="I411" s="1398">
        <v>2.5350000000000001E-2</v>
      </c>
      <c r="J411" s="1399">
        <v>45.19</v>
      </c>
    </row>
    <row r="412" spans="2:10" x14ac:dyDescent="0.2">
      <c r="B412" s="1396" t="s">
        <v>914</v>
      </c>
      <c r="C412" s="1397">
        <v>2070</v>
      </c>
      <c r="D412" s="1396">
        <v>1249000</v>
      </c>
      <c r="E412" s="1398">
        <v>1242000</v>
      </c>
      <c r="F412" s="1399">
        <v>1078000</v>
      </c>
      <c r="G412" s="1396">
        <v>23.84</v>
      </c>
      <c r="H412" s="1398">
        <v>0.16985799999999998</v>
      </c>
      <c r="I412" s="1398">
        <v>3.7813000000000001E-4</v>
      </c>
      <c r="J412" s="1399">
        <v>29.157000000000004</v>
      </c>
    </row>
    <row r="413" spans="2:10" x14ac:dyDescent="0.2">
      <c r="B413" s="1396" t="s">
        <v>1082</v>
      </c>
      <c r="C413" s="1397">
        <v>2070</v>
      </c>
      <c r="D413" s="1396">
        <v>1190000</v>
      </c>
      <c r="E413" s="1398">
        <v>51590</v>
      </c>
      <c r="F413" s="1399">
        <v>29220</v>
      </c>
      <c r="G413" s="1396">
        <v>3.7582</v>
      </c>
      <c r="H413" s="1398">
        <v>8.4366999999999984E-3</v>
      </c>
      <c r="I413" s="1398">
        <v>-3.8261190000000002E-3</v>
      </c>
      <c r="J413" s="1399">
        <v>3.0054000000000003</v>
      </c>
    </row>
    <row r="414" spans="2:10" x14ac:dyDescent="0.2">
      <c r="B414" s="1396" t="s">
        <v>815</v>
      </c>
      <c r="C414" s="1397">
        <v>2070</v>
      </c>
      <c r="D414" s="1396">
        <v>1190000</v>
      </c>
      <c r="E414" s="1398">
        <v>51590</v>
      </c>
      <c r="F414" s="1399">
        <v>29220</v>
      </c>
      <c r="G414" s="1396">
        <v>3.7582</v>
      </c>
      <c r="H414" s="1398">
        <v>8.4366999999999984E-3</v>
      </c>
      <c r="I414" s="1398">
        <v>-3.8261190000000002E-3</v>
      </c>
      <c r="J414" s="1399">
        <v>3.0054000000000003</v>
      </c>
    </row>
    <row r="415" spans="2:10" x14ac:dyDescent="0.2">
      <c r="B415" s="1396" t="s">
        <v>824</v>
      </c>
      <c r="C415" s="1397">
        <v>2070</v>
      </c>
      <c r="D415" s="1396">
        <v>1190000</v>
      </c>
      <c r="E415" s="1398">
        <v>51590</v>
      </c>
      <c r="F415" s="1399">
        <v>29220</v>
      </c>
      <c r="G415" s="1396">
        <v>3.7582</v>
      </c>
      <c r="H415" s="1398">
        <v>8.4366999999999984E-3</v>
      </c>
      <c r="I415" s="1398">
        <v>-3.8261190000000002E-3</v>
      </c>
      <c r="J415" s="1399">
        <v>3.0054000000000003</v>
      </c>
    </row>
    <row r="416" spans="2:10" ht="13.5" thickBot="1" x14ac:dyDescent="0.25">
      <c r="B416" s="1400" t="s">
        <v>1089</v>
      </c>
      <c r="C416" s="1401">
        <v>2070</v>
      </c>
      <c r="D416" s="1400">
        <v>1384000</v>
      </c>
      <c r="E416" s="1402">
        <v>1383000</v>
      </c>
      <c r="F416" s="1403">
        <v>5034</v>
      </c>
      <c r="G416" s="1400">
        <v>78.571100000000001</v>
      </c>
      <c r="H416" s="1402">
        <v>0.27494000000000002</v>
      </c>
      <c r="I416" s="1402">
        <v>2.3304000000000003E-3</v>
      </c>
      <c r="J416" s="1403">
        <v>87.594300000000004</v>
      </c>
    </row>
    <row r="417" spans="2:10" x14ac:dyDescent="0.2">
      <c r="B417" s="1392" t="s">
        <v>1086</v>
      </c>
      <c r="C417" s="1393">
        <v>2075</v>
      </c>
      <c r="D417" s="1392">
        <v>1092000</v>
      </c>
      <c r="E417" s="1394">
        <v>1092000</v>
      </c>
      <c r="F417" s="1395">
        <v>3971</v>
      </c>
      <c r="G417" s="1392">
        <v>5.7390999999999996</v>
      </c>
      <c r="H417" s="1394">
        <v>0.18462200000000001</v>
      </c>
      <c r="I417" s="1394">
        <v>8.61E-4</v>
      </c>
      <c r="J417" s="1395">
        <v>11.5648</v>
      </c>
    </row>
    <row r="418" spans="2:10" x14ac:dyDescent="0.2">
      <c r="B418" s="1396" t="s">
        <v>283</v>
      </c>
      <c r="C418" s="1397">
        <v>2075</v>
      </c>
      <c r="D418" s="1396">
        <v>1092000</v>
      </c>
      <c r="E418" s="1398">
        <v>1092000</v>
      </c>
      <c r="F418" s="1399">
        <v>3971</v>
      </c>
      <c r="G418" s="1396">
        <v>5.7390999999999996</v>
      </c>
      <c r="H418" s="1398">
        <v>0.18462200000000001</v>
      </c>
      <c r="I418" s="1398">
        <v>8.61E-4</v>
      </c>
      <c r="J418" s="1399">
        <v>11.5648</v>
      </c>
    </row>
    <row r="419" spans="2:10" x14ac:dyDescent="0.2">
      <c r="B419" s="1396" t="s">
        <v>1087</v>
      </c>
      <c r="C419" s="1397">
        <v>2075</v>
      </c>
      <c r="D419" s="1396">
        <v>1092000</v>
      </c>
      <c r="E419" s="1398">
        <v>1092000</v>
      </c>
      <c r="F419" s="1399">
        <v>3971</v>
      </c>
      <c r="G419" s="1396">
        <v>5.7390999999999996</v>
      </c>
      <c r="H419" s="1398">
        <v>0.18462200000000001</v>
      </c>
      <c r="I419" s="1398">
        <v>8.61E-4</v>
      </c>
      <c r="J419" s="1399">
        <v>11.5648</v>
      </c>
    </row>
    <row r="420" spans="2:10" x14ac:dyDescent="0.2">
      <c r="B420" s="1396" t="s">
        <v>681</v>
      </c>
      <c r="C420" s="1397">
        <v>2075</v>
      </c>
      <c r="D420" s="1396">
        <v>1092000</v>
      </c>
      <c r="E420" s="1398">
        <v>1092000</v>
      </c>
      <c r="F420" s="1399">
        <v>3971</v>
      </c>
      <c r="G420" s="1396">
        <v>5.7390999999999996</v>
      </c>
      <c r="H420" s="1398">
        <v>0.18462200000000001</v>
      </c>
      <c r="I420" s="1398">
        <v>8.61E-4</v>
      </c>
      <c r="J420" s="1399">
        <v>11.5648</v>
      </c>
    </row>
    <row r="421" spans="2:10" x14ac:dyDescent="0.2">
      <c r="B421" s="1396" t="s">
        <v>682</v>
      </c>
      <c r="C421" s="1397">
        <v>2075</v>
      </c>
      <c r="D421" s="1396">
        <v>-1185000</v>
      </c>
      <c r="E421" s="1398">
        <v>0</v>
      </c>
      <c r="F421" s="1399">
        <v>0</v>
      </c>
      <c r="G421" s="1396">
        <v>-85.800000000000011</v>
      </c>
      <c r="H421" s="1398">
        <v>0.54700000000000004</v>
      </c>
      <c r="I421" s="1398">
        <v>-1.8286999999999999E-3</v>
      </c>
      <c r="J421" s="1399">
        <v>-70.08</v>
      </c>
    </row>
    <row r="422" spans="2:10" x14ac:dyDescent="0.2">
      <c r="B422" s="1396" t="s">
        <v>683</v>
      </c>
      <c r="C422" s="1397">
        <v>2075</v>
      </c>
      <c r="D422" s="1396">
        <v>1721000</v>
      </c>
      <c r="E422" s="1398">
        <v>1293000</v>
      </c>
      <c r="F422" s="1399">
        <v>15050</v>
      </c>
      <c r="G422" s="1396">
        <v>125.08</v>
      </c>
      <c r="H422" s="1398">
        <v>0.20477100000000001</v>
      </c>
      <c r="I422" s="1398">
        <v>1.7827000000000001E-3</v>
      </c>
      <c r="J422" s="1399">
        <v>129.82</v>
      </c>
    </row>
    <row r="423" spans="2:10" x14ac:dyDescent="0.2">
      <c r="B423" s="1396" t="s">
        <v>698</v>
      </c>
      <c r="C423" s="1397">
        <v>2075</v>
      </c>
      <c r="D423" s="1396">
        <v>1721000</v>
      </c>
      <c r="E423" s="1398">
        <v>1293000</v>
      </c>
      <c r="F423" s="1399">
        <v>15050</v>
      </c>
      <c r="G423" s="1396">
        <v>125.08</v>
      </c>
      <c r="H423" s="1398">
        <v>0.20477100000000001</v>
      </c>
      <c r="I423" s="1398">
        <v>1.7827000000000001E-3</v>
      </c>
      <c r="J423" s="1399">
        <v>129.82</v>
      </c>
    </row>
    <row r="424" spans="2:10" x14ac:dyDescent="0.2">
      <c r="B424" s="1396" t="s">
        <v>684</v>
      </c>
      <c r="C424" s="1397">
        <v>2075</v>
      </c>
      <c r="D424" s="1396">
        <v>1721000</v>
      </c>
      <c r="E424" s="1398">
        <v>1293000</v>
      </c>
      <c r="F424" s="1399">
        <v>15050</v>
      </c>
      <c r="G424" s="1396">
        <v>125.08</v>
      </c>
      <c r="H424" s="1398">
        <v>0.20477100000000001</v>
      </c>
      <c r="I424" s="1398">
        <v>1.7827000000000001E-3</v>
      </c>
      <c r="J424" s="1399">
        <v>129.82</v>
      </c>
    </row>
    <row r="425" spans="2:10" x14ac:dyDescent="0.2">
      <c r="B425" s="1396" t="s">
        <v>1088</v>
      </c>
      <c r="C425" s="1397">
        <v>2075</v>
      </c>
      <c r="D425" s="1396">
        <v>1022000</v>
      </c>
      <c r="E425" s="1398">
        <v>1021000</v>
      </c>
      <c r="F425" s="1399">
        <v>15510</v>
      </c>
      <c r="G425" s="1396">
        <v>1.6964999999999999</v>
      </c>
      <c r="H425" s="1398">
        <v>0.14096238999999999</v>
      </c>
      <c r="I425" s="1398">
        <v>3.2765999999999998E-5</v>
      </c>
      <c r="J425" s="1399">
        <v>5.9536999999999995</v>
      </c>
    </row>
    <row r="426" spans="2:10" x14ac:dyDescent="0.2">
      <c r="B426" s="1396" t="s">
        <v>716</v>
      </c>
      <c r="C426" s="1397">
        <v>2075</v>
      </c>
      <c r="D426" s="1396">
        <v>1022000</v>
      </c>
      <c r="E426" s="1398">
        <v>1021000</v>
      </c>
      <c r="F426" s="1399">
        <v>15510</v>
      </c>
      <c r="G426" s="1396">
        <v>1.6964999999999999</v>
      </c>
      <c r="H426" s="1398">
        <v>0.14096238999999999</v>
      </c>
      <c r="I426" s="1398">
        <v>3.2765999999999998E-5</v>
      </c>
      <c r="J426" s="1399">
        <v>5.9536999999999995</v>
      </c>
    </row>
    <row r="427" spans="2:10" x14ac:dyDescent="0.2">
      <c r="B427" s="1396" t="s">
        <v>717</v>
      </c>
      <c r="C427" s="1397">
        <v>2075</v>
      </c>
      <c r="D427" s="1396">
        <v>1022000</v>
      </c>
      <c r="E427" s="1398">
        <v>1021000</v>
      </c>
      <c r="F427" s="1399">
        <v>15510</v>
      </c>
      <c r="G427" s="1396">
        <v>1.6964999999999999</v>
      </c>
      <c r="H427" s="1398">
        <v>0.14096238999999999</v>
      </c>
      <c r="I427" s="1398">
        <v>3.2765999999999998E-5</v>
      </c>
      <c r="J427" s="1399">
        <v>5.9536999999999995</v>
      </c>
    </row>
    <row r="428" spans="2:10" x14ac:dyDescent="0.2">
      <c r="B428" s="1396" t="s">
        <v>913</v>
      </c>
      <c r="C428" s="1397">
        <v>2075</v>
      </c>
      <c r="D428" s="1396">
        <v>1209000</v>
      </c>
      <c r="E428" s="1398">
        <v>1202000</v>
      </c>
      <c r="F428" s="1399">
        <v>1052000</v>
      </c>
      <c r="G428" s="1396">
        <v>17.969000000000001</v>
      </c>
      <c r="H428" s="1398">
        <v>0.164128</v>
      </c>
      <c r="I428" s="1398">
        <v>2.9025999999999998E-4</v>
      </c>
      <c r="J428" s="1399">
        <v>22.988</v>
      </c>
    </row>
    <row r="429" spans="2:10" x14ac:dyDescent="0.2">
      <c r="B429" s="1396" t="s">
        <v>911</v>
      </c>
      <c r="C429" s="1397">
        <v>2075</v>
      </c>
      <c r="D429" s="1396">
        <v>1585000</v>
      </c>
      <c r="E429" s="1398">
        <v>696300</v>
      </c>
      <c r="F429" s="1399">
        <v>286000</v>
      </c>
      <c r="G429" s="1396">
        <v>38.049999999999997</v>
      </c>
      <c r="H429" s="1398">
        <v>0.1118</v>
      </c>
      <c r="I429" s="1398">
        <v>2.5350000000000001E-2</v>
      </c>
      <c r="J429" s="1399">
        <v>45.19</v>
      </c>
    </row>
    <row r="430" spans="2:10" x14ac:dyDescent="0.2">
      <c r="B430" s="1396" t="s">
        <v>914</v>
      </c>
      <c r="C430" s="1397">
        <v>2075</v>
      </c>
      <c r="D430" s="1396">
        <v>1249000</v>
      </c>
      <c r="E430" s="1398">
        <v>1242000</v>
      </c>
      <c r="F430" s="1399">
        <v>1078000</v>
      </c>
      <c r="G430" s="1396">
        <v>23.84</v>
      </c>
      <c r="H430" s="1398">
        <v>0.16985799999999998</v>
      </c>
      <c r="I430" s="1398">
        <v>3.7813000000000001E-4</v>
      </c>
      <c r="J430" s="1399">
        <v>29.157000000000004</v>
      </c>
    </row>
    <row r="431" spans="2:10" x14ac:dyDescent="0.2">
      <c r="B431" s="1396" t="s">
        <v>1082</v>
      </c>
      <c r="C431" s="1397">
        <v>2075</v>
      </c>
      <c r="D431" s="1396">
        <v>1190000</v>
      </c>
      <c r="E431" s="1398">
        <v>51590</v>
      </c>
      <c r="F431" s="1399">
        <v>29220</v>
      </c>
      <c r="G431" s="1396">
        <v>3.7582</v>
      </c>
      <c r="H431" s="1398">
        <v>8.4366999999999984E-3</v>
      </c>
      <c r="I431" s="1398">
        <v>-3.8261190000000002E-3</v>
      </c>
      <c r="J431" s="1399">
        <v>3.0054000000000003</v>
      </c>
    </row>
    <row r="432" spans="2:10" x14ac:dyDescent="0.2">
      <c r="B432" s="1396" t="s">
        <v>815</v>
      </c>
      <c r="C432" s="1397">
        <v>2075</v>
      </c>
      <c r="D432" s="1396">
        <v>1190000</v>
      </c>
      <c r="E432" s="1398">
        <v>51590</v>
      </c>
      <c r="F432" s="1399">
        <v>29220</v>
      </c>
      <c r="G432" s="1396">
        <v>3.7582</v>
      </c>
      <c r="H432" s="1398">
        <v>8.4366999999999984E-3</v>
      </c>
      <c r="I432" s="1398">
        <v>-3.8261190000000002E-3</v>
      </c>
      <c r="J432" s="1399">
        <v>3.0054000000000003</v>
      </c>
    </row>
    <row r="433" spans="2:10" x14ac:dyDescent="0.2">
      <c r="B433" s="1396" t="s">
        <v>824</v>
      </c>
      <c r="C433" s="1397">
        <v>2075</v>
      </c>
      <c r="D433" s="1396">
        <v>1190000</v>
      </c>
      <c r="E433" s="1398">
        <v>51590</v>
      </c>
      <c r="F433" s="1399">
        <v>29220</v>
      </c>
      <c r="G433" s="1396">
        <v>3.7582</v>
      </c>
      <c r="H433" s="1398">
        <v>8.4366999999999984E-3</v>
      </c>
      <c r="I433" s="1398">
        <v>-3.8261190000000002E-3</v>
      </c>
      <c r="J433" s="1399">
        <v>3.0054000000000003</v>
      </c>
    </row>
    <row r="434" spans="2:10" ht="13.5" thickBot="1" x14ac:dyDescent="0.25">
      <c r="B434" s="1400" t="s">
        <v>1089</v>
      </c>
      <c r="C434" s="1401">
        <v>2075</v>
      </c>
      <c r="D434" s="1400">
        <v>1384000</v>
      </c>
      <c r="E434" s="1402">
        <v>1383000</v>
      </c>
      <c r="F434" s="1403">
        <v>5034</v>
      </c>
      <c r="G434" s="1400">
        <v>78.571100000000001</v>
      </c>
      <c r="H434" s="1402">
        <v>0.27494000000000002</v>
      </c>
      <c r="I434" s="1402">
        <v>2.3304000000000003E-3</v>
      </c>
      <c r="J434" s="1403">
        <v>87.594300000000004</v>
      </c>
    </row>
    <row r="435" spans="2:10" x14ac:dyDescent="0.2">
      <c r="B435" s="1392" t="s">
        <v>1086</v>
      </c>
      <c r="C435" s="1393">
        <v>2080</v>
      </c>
      <c r="D435" s="1392">
        <v>1092000</v>
      </c>
      <c r="E435" s="1394">
        <v>1092000</v>
      </c>
      <c r="F435" s="1395">
        <v>3971</v>
      </c>
      <c r="G435" s="1392">
        <v>5.7390999999999996</v>
      </c>
      <c r="H435" s="1394">
        <v>0.18462200000000001</v>
      </c>
      <c r="I435" s="1394">
        <v>8.61E-4</v>
      </c>
      <c r="J435" s="1395">
        <v>11.5648</v>
      </c>
    </row>
    <row r="436" spans="2:10" x14ac:dyDescent="0.2">
      <c r="B436" s="1396" t="s">
        <v>283</v>
      </c>
      <c r="C436" s="1397">
        <v>2080</v>
      </c>
      <c r="D436" s="1396">
        <v>1092000</v>
      </c>
      <c r="E436" s="1398">
        <v>1092000</v>
      </c>
      <c r="F436" s="1399">
        <v>3971</v>
      </c>
      <c r="G436" s="1396">
        <v>5.7390999999999996</v>
      </c>
      <c r="H436" s="1398">
        <v>0.18462200000000001</v>
      </c>
      <c r="I436" s="1398">
        <v>8.61E-4</v>
      </c>
      <c r="J436" s="1399">
        <v>11.5648</v>
      </c>
    </row>
    <row r="437" spans="2:10" x14ac:dyDescent="0.2">
      <c r="B437" s="1396" t="s">
        <v>1087</v>
      </c>
      <c r="C437" s="1397">
        <v>2080</v>
      </c>
      <c r="D437" s="1396">
        <v>1092000</v>
      </c>
      <c r="E437" s="1398">
        <v>1092000</v>
      </c>
      <c r="F437" s="1399">
        <v>3971</v>
      </c>
      <c r="G437" s="1396">
        <v>5.7390999999999996</v>
      </c>
      <c r="H437" s="1398">
        <v>0.18462200000000001</v>
      </c>
      <c r="I437" s="1398">
        <v>8.61E-4</v>
      </c>
      <c r="J437" s="1399">
        <v>11.5648</v>
      </c>
    </row>
    <row r="438" spans="2:10" x14ac:dyDescent="0.2">
      <c r="B438" s="1396" t="s">
        <v>681</v>
      </c>
      <c r="C438" s="1397">
        <v>2080</v>
      </c>
      <c r="D438" s="1396">
        <v>1092000</v>
      </c>
      <c r="E438" s="1398">
        <v>1092000</v>
      </c>
      <c r="F438" s="1399">
        <v>3971</v>
      </c>
      <c r="G438" s="1396">
        <v>5.7390999999999996</v>
      </c>
      <c r="H438" s="1398">
        <v>0.18462200000000001</v>
      </c>
      <c r="I438" s="1398">
        <v>8.61E-4</v>
      </c>
      <c r="J438" s="1399">
        <v>11.5648</v>
      </c>
    </row>
    <row r="439" spans="2:10" x14ac:dyDescent="0.2">
      <c r="B439" s="1396" t="s">
        <v>682</v>
      </c>
      <c r="C439" s="1397">
        <v>2080</v>
      </c>
      <c r="D439" s="1396">
        <v>-1185000</v>
      </c>
      <c r="E439" s="1398">
        <v>0</v>
      </c>
      <c r="F439" s="1399">
        <v>0</v>
      </c>
      <c r="G439" s="1396">
        <v>-85.800000000000011</v>
      </c>
      <c r="H439" s="1398">
        <v>0.54700000000000004</v>
      </c>
      <c r="I439" s="1398">
        <v>-1.8286999999999999E-3</v>
      </c>
      <c r="J439" s="1399">
        <v>-70.08</v>
      </c>
    </row>
    <row r="440" spans="2:10" x14ac:dyDescent="0.2">
      <c r="B440" s="1396" t="s">
        <v>683</v>
      </c>
      <c r="C440" s="1397">
        <v>2080</v>
      </c>
      <c r="D440" s="1396">
        <v>1721000</v>
      </c>
      <c r="E440" s="1398">
        <v>1293000</v>
      </c>
      <c r="F440" s="1399">
        <v>15050</v>
      </c>
      <c r="G440" s="1396">
        <v>125.08</v>
      </c>
      <c r="H440" s="1398">
        <v>0.20477100000000001</v>
      </c>
      <c r="I440" s="1398">
        <v>1.7827000000000001E-3</v>
      </c>
      <c r="J440" s="1399">
        <v>129.82</v>
      </c>
    </row>
    <row r="441" spans="2:10" x14ac:dyDescent="0.2">
      <c r="B441" s="1396" t="s">
        <v>698</v>
      </c>
      <c r="C441" s="1397">
        <v>2080</v>
      </c>
      <c r="D441" s="1396">
        <v>1721000</v>
      </c>
      <c r="E441" s="1398">
        <v>1293000</v>
      </c>
      <c r="F441" s="1399">
        <v>15050</v>
      </c>
      <c r="G441" s="1396">
        <v>125.08</v>
      </c>
      <c r="H441" s="1398">
        <v>0.20477100000000001</v>
      </c>
      <c r="I441" s="1398">
        <v>1.7827000000000001E-3</v>
      </c>
      <c r="J441" s="1399">
        <v>129.82</v>
      </c>
    </row>
    <row r="442" spans="2:10" x14ac:dyDescent="0.2">
      <c r="B442" s="1396" t="s">
        <v>684</v>
      </c>
      <c r="C442" s="1397">
        <v>2080</v>
      </c>
      <c r="D442" s="1396">
        <v>1721000</v>
      </c>
      <c r="E442" s="1398">
        <v>1293000</v>
      </c>
      <c r="F442" s="1399">
        <v>15050</v>
      </c>
      <c r="G442" s="1396">
        <v>125.08</v>
      </c>
      <c r="H442" s="1398">
        <v>0.20477100000000001</v>
      </c>
      <c r="I442" s="1398">
        <v>1.7827000000000001E-3</v>
      </c>
      <c r="J442" s="1399">
        <v>129.82</v>
      </c>
    </row>
    <row r="443" spans="2:10" x14ac:dyDescent="0.2">
      <c r="B443" s="1396" t="s">
        <v>1088</v>
      </c>
      <c r="C443" s="1397">
        <v>2080</v>
      </c>
      <c r="D443" s="1396">
        <v>1022000</v>
      </c>
      <c r="E443" s="1398">
        <v>1021000</v>
      </c>
      <c r="F443" s="1399">
        <v>15510</v>
      </c>
      <c r="G443" s="1396">
        <v>1.6964999999999999</v>
      </c>
      <c r="H443" s="1398">
        <v>0.14096238999999999</v>
      </c>
      <c r="I443" s="1398">
        <v>3.2765999999999998E-5</v>
      </c>
      <c r="J443" s="1399">
        <v>5.9536999999999995</v>
      </c>
    </row>
    <row r="444" spans="2:10" x14ac:dyDescent="0.2">
      <c r="B444" s="1396" t="s">
        <v>716</v>
      </c>
      <c r="C444" s="1397">
        <v>2080</v>
      </c>
      <c r="D444" s="1396">
        <v>1022000</v>
      </c>
      <c r="E444" s="1398">
        <v>1021000</v>
      </c>
      <c r="F444" s="1399">
        <v>15510</v>
      </c>
      <c r="G444" s="1396">
        <v>1.6964999999999999</v>
      </c>
      <c r="H444" s="1398">
        <v>0.14096238999999999</v>
      </c>
      <c r="I444" s="1398">
        <v>3.2765999999999998E-5</v>
      </c>
      <c r="J444" s="1399">
        <v>5.9536999999999995</v>
      </c>
    </row>
    <row r="445" spans="2:10" x14ac:dyDescent="0.2">
      <c r="B445" s="1396" t="s">
        <v>717</v>
      </c>
      <c r="C445" s="1397">
        <v>2080</v>
      </c>
      <c r="D445" s="1396">
        <v>1022000</v>
      </c>
      <c r="E445" s="1398">
        <v>1021000</v>
      </c>
      <c r="F445" s="1399">
        <v>15510</v>
      </c>
      <c r="G445" s="1396">
        <v>1.6964999999999999</v>
      </c>
      <c r="H445" s="1398">
        <v>0.14096238999999999</v>
      </c>
      <c r="I445" s="1398">
        <v>3.2765999999999998E-5</v>
      </c>
      <c r="J445" s="1399">
        <v>5.9536999999999995</v>
      </c>
    </row>
    <row r="446" spans="2:10" x14ac:dyDescent="0.2">
      <c r="B446" s="1396" t="s">
        <v>913</v>
      </c>
      <c r="C446" s="1397">
        <v>2080</v>
      </c>
      <c r="D446" s="1396">
        <v>1209000</v>
      </c>
      <c r="E446" s="1398">
        <v>1202000</v>
      </c>
      <c r="F446" s="1399">
        <v>1052000</v>
      </c>
      <c r="G446" s="1396">
        <v>17.969000000000001</v>
      </c>
      <c r="H446" s="1398">
        <v>0.164128</v>
      </c>
      <c r="I446" s="1398">
        <v>2.9025999999999998E-4</v>
      </c>
      <c r="J446" s="1399">
        <v>22.988</v>
      </c>
    </row>
    <row r="447" spans="2:10" x14ac:dyDescent="0.2">
      <c r="B447" s="1396" t="s">
        <v>911</v>
      </c>
      <c r="C447" s="1397">
        <v>2080</v>
      </c>
      <c r="D447" s="1396">
        <v>1585000</v>
      </c>
      <c r="E447" s="1398">
        <v>696300</v>
      </c>
      <c r="F447" s="1399">
        <v>286000</v>
      </c>
      <c r="G447" s="1396">
        <v>38.049999999999997</v>
      </c>
      <c r="H447" s="1398">
        <v>0.1118</v>
      </c>
      <c r="I447" s="1398">
        <v>2.5350000000000001E-2</v>
      </c>
      <c r="J447" s="1399">
        <v>45.19</v>
      </c>
    </row>
    <row r="448" spans="2:10" x14ac:dyDescent="0.2">
      <c r="B448" s="1396" t="s">
        <v>914</v>
      </c>
      <c r="C448" s="1397">
        <v>2080</v>
      </c>
      <c r="D448" s="1396">
        <v>1249000</v>
      </c>
      <c r="E448" s="1398">
        <v>1242000</v>
      </c>
      <c r="F448" s="1399">
        <v>1078000</v>
      </c>
      <c r="G448" s="1396">
        <v>23.84</v>
      </c>
      <c r="H448" s="1398">
        <v>0.16985799999999998</v>
      </c>
      <c r="I448" s="1398">
        <v>3.7813000000000001E-4</v>
      </c>
      <c r="J448" s="1399">
        <v>29.157000000000004</v>
      </c>
    </row>
    <row r="449" spans="2:10" x14ac:dyDescent="0.2">
      <c r="B449" s="1396" t="s">
        <v>1082</v>
      </c>
      <c r="C449" s="1397">
        <v>2080</v>
      </c>
      <c r="D449" s="1396">
        <v>1190000</v>
      </c>
      <c r="E449" s="1398">
        <v>51590</v>
      </c>
      <c r="F449" s="1399">
        <v>29220</v>
      </c>
      <c r="G449" s="1396">
        <v>3.7582</v>
      </c>
      <c r="H449" s="1398">
        <v>8.4366999999999984E-3</v>
      </c>
      <c r="I449" s="1398">
        <v>-3.8261190000000002E-3</v>
      </c>
      <c r="J449" s="1399">
        <v>3.0054000000000003</v>
      </c>
    </row>
    <row r="450" spans="2:10" x14ac:dyDescent="0.2">
      <c r="B450" s="1396" t="s">
        <v>815</v>
      </c>
      <c r="C450" s="1397">
        <v>2080</v>
      </c>
      <c r="D450" s="1396">
        <v>1190000</v>
      </c>
      <c r="E450" s="1398">
        <v>51590</v>
      </c>
      <c r="F450" s="1399">
        <v>29220</v>
      </c>
      <c r="G450" s="1396">
        <v>3.7582</v>
      </c>
      <c r="H450" s="1398">
        <v>8.4366999999999984E-3</v>
      </c>
      <c r="I450" s="1398">
        <v>-3.8261190000000002E-3</v>
      </c>
      <c r="J450" s="1399">
        <v>3.0054000000000003</v>
      </c>
    </row>
    <row r="451" spans="2:10" x14ac:dyDescent="0.2">
      <c r="B451" s="1396" t="s">
        <v>824</v>
      </c>
      <c r="C451" s="1397">
        <v>2080</v>
      </c>
      <c r="D451" s="1396">
        <v>1190000</v>
      </c>
      <c r="E451" s="1398">
        <v>51590</v>
      </c>
      <c r="F451" s="1399">
        <v>29220</v>
      </c>
      <c r="G451" s="1396">
        <v>3.7582</v>
      </c>
      <c r="H451" s="1398">
        <v>8.4366999999999984E-3</v>
      </c>
      <c r="I451" s="1398">
        <v>-3.8261190000000002E-3</v>
      </c>
      <c r="J451" s="1399">
        <v>3.0054000000000003</v>
      </c>
    </row>
    <row r="452" spans="2:10" ht="13.5" thickBot="1" x14ac:dyDescent="0.25">
      <c r="B452" s="1400" t="s">
        <v>1089</v>
      </c>
      <c r="C452" s="1401">
        <v>2080</v>
      </c>
      <c r="D452" s="1400">
        <v>1384000</v>
      </c>
      <c r="E452" s="1402">
        <v>1383000</v>
      </c>
      <c r="F452" s="1403">
        <v>5034</v>
      </c>
      <c r="G452" s="1400">
        <v>78.571100000000001</v>
      </c>
      <c r="H452" s="1402">
        <v>0.27494000000000002</v>
      </c>
      <c r="I452" s="1402">
        <v>2.3304000000000003E-3</v>
      </c>
      <c r="J452" s="1403">
        <v>87.594300000000004</v>
      </c>
    </row>
    <row r="453" spans="2:10" x14ac:dyDescent="0.2">
      <c r="B453" s="1392" t="s">
        <v>1086</v>
      </c>
      <c r="C453" s="1393">
        <v>2085</v>
      </c>
      <c r="D453" s="1392">
        <v>1092000</v>
      </c>
      <c r="E453" s="1394">
        <v>1092000</v>
      </c>
      <c r="F453" s="1395">
        <v>3971</v>
      </c>
      <c r="G453" s="1392">
        <v>5.7390999999999996</v>
      </c>
      <c r="H453" s="1394">
        <v>0.18462200000000001</v>
      </c>
      <c r="I453" s="1394">
        <v>8.61E-4</v>
      </c>
      <c r="J453" s="1395">
        <v>11.5648</v>
      </c>
    </row>
    <row r="454" spans="2:10" x14ac:dyDescent="0.2">
      <c r="B454" s="1396" t="s">
        <v>283</v>
      </c>
      <c r="C454" s="1397">
        <v>2085</v>
      </c>
      <c r="D454" s="1396">
        <v>1092000</v>
      </c>
      <c r="E454" s="1398">
        <v>1092000</v>
      </c>
      <c r="F454" s="1399">
        <v>3971</v>
      </c>
      <c r="G454" s="1396">
        <v>5.7390999999999996</v>
      </c>
      <c r="H454" s="1398">
        <v>0.18462200000000001</v>
      </c>
      <c r="I454" s="1398">
        <v>8.61E-4</v>
      </c>
      <c r="J454" s="1399">
        <v>11.5648</v>
      </c>
    </row>
    <row r="455" spans="2:10" x14ac:dyDescent="0.2">
      <c r="B455" s="1396" t="s">
        <v>1087</v>
      </c>
      <c r="C455" s="1397">
        <v>2085</v>
      </c>
      <c r="D455" s="1396">
        <v>1092000</v>
      </c>
      <c r="E455" s="1398">
        <v>1092000</v>
      </c>
      <c r="F455" s="1399">
        <v>3971</v>
      </c>
      <c r="G455" s="1396">
        <v>5.7390999999999996</v>
      </c>
      <c r="H455" s="1398">
        <v>0.18462200000000001</v>
      </c>
      <c r="I455" s="1398">
        <v>8.61E-4</v>
      </c>
      <c r="J455" s="1399">
        <v>11.5648</v>
      </c>
    </row>
    <row r="456" spans="2:10" x14ac:dyDescent="0.2">
      <c r="B456" s="1396" t="s">
        <v>681</v>
      </c>
      <c r="C456" s="1397">
        <v>2085</v>
      </c>
      <c r="D456" s="1396">
        <v>1092000</v>
      </c>
      <c r="E456" s="1398">
        <v>1092000</v>
      </c>
      <c r="F456" s="1399">
        <v>3971</v>
      </c>
      <c r="G456" s="1396">
        <v>5.7390999999999996</v>
      </c>
      <c r="H456" s="1398">
        <v>0.18462200000000001</v>
      </c>
      <c r="I456" s="1398">
        <v>8.61E-4</v>
      </c>
      <c r="J456" s="1399">
        <v>11.5648</v>
      </c>
    </row>
    <row r="457" spans="2:10" x14ac:dyDescent="0.2">
      <c r="B457" s="1396" t="s">
        <v>682</v>
      </c>
      <c r="C457" s="1397">
        <v>2085</v>
      </c>
      <c r="D457" s="1396">
        <v>-1185000</v>
      </c>
      <c r="E457" s="1398">
        <v>0</v>
      </c>
      <c r="F457" s="1399">
        <v>0</v>
      </c>
      <c r="G457" s="1396">
        <v>-85.800000000000011</v>
      </c>
      <c r="H457" s="1398">
        <v>0.54700000000000004</v>
      </c>
      <c r="I457" s="1398">
        <v>-1.8286999999999999E-3</v>
      </c>
      <c r="J457" s="1399">
        <v>-70.08</v>
      </c>
    </row>
    <row r="458" spans="2:10" x14ac:dyDescent="0.2">
      <c r="B458" s="1396" t="s">
        <v>683</v>
      </c>
      <c r="C458" s="1397">
        <v>2085</v>
      </c>
      <c r="D458" s="1396">
        <v>1721000</v>
      </c>
      <c r="E458" s="1398">
        <v>1293000</v>
      </c>
      <c r="F458" s="1399">
        <v>15050</v>
      </c>
      <c r="G458" s="1396">
        <v>125.08</v>
      </c>
      <c r="H458" s="1398">
        <v>0.20477100000000001</v>
      </c>
      <c r="I458" s="1398">
        <v>1.7827000000000001E-3</v>
      </c>
      <c r="J458" s="1399">
        <v>129.82</v>
      </c>
    </row>
    <row r="459" spans="2:10" x14ac:dyDescent="0.2">
      <c r="B459" s="1396" t="s">
        <v>698</v>
      </c>
      <c r="C459" s="1397">
        <v>2085</v>
      </c>
      <c r="D459" s="1396">
        <v>1721000</v>
      </c>
      <c r="E459" s="1398">
        <v>1293000</v>
      </c>
      <c r="F459" s="1399">
        <v>15050</v>
      </c>
      <c r="G459" s="1396">
        <v>125.08</v>
      </c>
      <c r="H459" s="1398">
        <v>0.20477100000000001</v>
      </c>
      <c r="I459" s="1398">
        <v>1.7827000000000001E-3</v>
      </c>
      <c r="J459" s="1399">
        <v>129.82</v>
      </c>
    </row>
    <row r="460" spans="2:10" x14ac:dyDescent="0.2">
      <c r="B460" s="1396" t="s">
        <v>684</v>
      </c>
      <c r="C460" s="1397">
        <v>2085</v>
      </c>
      <c r="D460" s="1396">
        <v>1721000</v>
      </c>
      <c r="E460" s="1398">
        <v>1293000</v>
      </c>
      <c r="F460" s="1399">
        <v>15050</v>
      </c>
      <c r="G460" s="1396">
        <v>125.08</v>
      </c>
      <c r="H460" s="1398">
        <v>0.20477100000000001</v>
      </c>
      <c r="I460" s="1398">
        <v>1.7827000000000001E-3</v>
      </c>
      <c r="J460" s="1399">
        <v>129.82</v>
      </c>
    </row>
    <row r="461" spans="2:10" x14ac:dyDescent="0.2">
      <c r="B461" s="1396" t="s">
        <v>1088</v>
      </c>
      <c r="C461" s="1397">
        <v>2085</v>
      </c>
      <c r="D461" s="1396">
        <v>1022000</v>
      </c>
      <c r="E461" s="1398">
        <v>1021000</v>
      </c>
      <c r="F461" s="1399">
        <v>15510</v>
      </c>
      <c r="G461" s="1396">
        <v>1.6964999999999999</v>
      </c>
      <c r="H461" s="1398">
        <v>0.14096238999999999</v>
      </c>
      <c r="I461" s="1398">
        <v>3.2765999999999998E-5</v>
      </c>
      <c r="J461" s="1399">
        <v>5.9536999999999995</v>
      </c>
    </row>
    <row r="462" spans="2:10" x14ac:dyDescent="0.2">
      <c r="B462" s="1396" t="s">
        <v>716</v>
      </c>
      <c r="C462" s="1397">
        <v>2085</v>
      </c>
      <c r="D462" s="1396">
        <v>1022000</v>
      </c>
      <c r="E462" s="1398">
        <v>1021000</v>
      </c>
      <c r="F462" s="1399">
        <v>15510</v>
      </c>
      <c r="G462" s="1396">
        <v>1.6964999999999999</v>
      </c>
      <c r="H462" s="1398">
        <v>0.14096238999999999</v>
      </c>
      <c r="I462" s="1398">
        <v>3.2765999999999998E-5</v>
      </c>
      <c r="J462" s="1399">
        <v>5.9536999999999995</v>
      </c>
    </row>
    <row r="463" spans="2:10" x14ac:dyDescent="0.2">
      <c r="B463" s="1396" t="s">
        <v>717</v>
      </c>
      <c r="C463" s="1397">
        <v>2085</v>
      </c>
      <c r="D463" s="1396">
        <v>1022000</v>
      </c>
      <c r="E463" s="1398">
        <v>1021000</v>
      </c>
      <c r="F463" s="1399">
        <v>15510</v>
      </c>
      <c r="G463" s="1396">
        <v>1.6964999999999999</v>
      </c>
      <c r="H463" s="1398">
        <v>0.14096238999999999</v>
      </c>
      <c r="I463" s="1398">
        <v>3.2765999999999998E-5</v>
      </c>
      <c r="J463" s="1399">
        <v>5.9536999999999995</v>
      </c>
    </row>
    <row r="464" spans="2:10" x14ac:dyDescent="0.2">
      <c r="B464" s="1396" t="s">
        <v>913</v>
      </c>
      <c r="C464" s="1397">
        <v>2085</v>
      </c>
      <c r="D464" s="1396">
        <v>1209000</v>
      </c>
      <c r="E464" s="1398">
        <v>1202000</v>
      </c>
      <c r="F464" s="1399">
        <v>1052000</v>
      </c>
      <c r="G464" s="1396">
        <v>17.969000000000001</v>
      </c>
      <c r="H464" s="1398">
        <v>0.164128</v>
      </c>
      <c r="I464" s="1398">
        <v>2.9025999999999998E-4</v>
      </c>
      <c r="J464" s="1399">
        <v>22.988</v>
      </c>
    </row>
    <row r="465" spans="2:10" x14ac:dyDescent="0.2">
      <c r="B465" s="1396" t="s">
        <v>911</v>
      </c>
      <c r="C465" s="1397">
        <v>2085</v>
      </c>
      <c r="D465" s="1396">
        <v>1585000</v>
      </c>
      <c r="E465" s="1398">
        <v>696300</v>
      </c>
      <c r="F465" s="1399">
        <v>286000</v>
      </c>
      <c r="G465" s="1396">
        <v>38.049999999999997</v>
      </c>
      <c r="H465" s="1398">
        <v>0.1118</v>
      </c>
      <c r="I465" s="1398">
        <v>2.5350000000000001E-2</v>
      </c>
      <c r="J465" s="1399">
        <v>45.19</v>
      </c>
    </row>
    <row r="466" spans="2:10" x14ac:dyDescent="0.2">
      <c r="B466" s="1396" t="s">
        <v>914</v>
      </c>
      <c r="C466" s="1397">
        <v>2085</v>
      </c>
      <c r="D466" s="1396">
        <v>1249000</v>
      </c>
      <c r="E466" s="1398">
        <v>1242000</v>
      </c>
      <c r="F466" s="1399">
        <v>1078000</v>
      </c>
      <c r="G466" s="1396">
        <v>23.84</v>
      </c>
      <c r="H466" s="1398">
        <v>0.16985799999999998</v>
      </c>
      <c r="I466" s="1398">
        <v>3.7813000000000001E-4</v>
      </c>
      <c r="J466" s="1399">
        <v>29.157000000000004</v>
      </c>
    </row>
    <row r="467" spans="2:10" x14ac:dyDescent="0.2">
      <c r="B467" s="1396" t="s">
        <v>1082</v>
      </c>
      <c r="C467" s="1397">
        <v>2085</v>
      </c>
      <c r="D467" s="1396">
        <v>1190000</v>
      </c>
      <c r="E467" s="1398">
        <v>51590</v>
      </c>
      <c r="F467" s="1399">
        <v>29220</v>
      </c>
      <c r="G467" s="1396">
        <v>3.7582</v>
      </c>
      <c r="H467" s="1398">
        <v>8.4366999999999984E-3</v>
      </c>
      <c r="I467" s="1398">
        <v>-3.8261190000000002E-3</v>
      </c>
      <c r="J467" s="1399">
        <v>3.0054000000000003</v>
      </c>
    </row>
    <row r="468" spans="2:10" x14ac:dyDescent="0.2">
      <c r="B468" s="1396" t="s">
        <v>815</v>
      </c>
      <c r="C468" s="1397">
        <v>2085</v>
      </c>
      <c r="D468" s="1396">
        <v>1190000</v>
      </c>
      <c r="E468" s="1398">
        <v>51590</v>
      </c>
      <c r="F468" s="1399">
        <v>29220</v>
      </c>
      <c r="G468" s="1396">
        <v>3.7582</v>
      </c>
      <c r="H468" s="1398">
        <v>8.4366999999999984E-3</v>
      </c>
      <c r="I468" s="1398">
        <v>-3.8261190000000002E-3</v>
      </c>
      <c r="J468" s="1399">
        <v>3.0054000000000003</v>
      </c>
    </row>
    <row r="469" spans="2:10" x14ac:dyDescent="0.2">
      <c r="B469" s="1396" t="s">
        <v>824</v>
      </c>
      <c r="C469" s="1397">
        <v>2085</v>
      </c>
      <c r="D469" s="1396">
        <v>1190000</v>
      </c>
      <c r="E469" s="1398">
        <v>51590</v>
      </c>
      <c r="F469" s="1399">
        <v>29220</v>
      </c>
      <c r="G469" s="1396">
        <v>3.7582</v>
      </c>
      <c r="H469" s="1398">
        <v>8.4366999999999984E-3</v>
      </c>
      <c r="I469" s="1398">
        <v>-3.8261190000000002E-3</v>
      </c>
      <c r="J469" s="1399">
        <v>3.0054000000000003</v>
      </c>
    </row>
    <row r="470" spans="2:10" ht="13.5" thickBot="1" x14ac:dyDescent="0.25">
      <c r="B470" s="1400" t="s">
        <v>1089</v>
      </c>
      <c r="C470" s="1401">
        <v>2085</v>
      </c>
      <c r="D470" s="1400">
        <v>1384000</v>
      </c>
      <c r="E470" s="1402">
        <v>1383000</v>
      </c>
      <c r="F470" s="1403">
        <v>5034</v>
      </c>
      <c r="G470" s="1400">
        <v>78.571100000000001</v>
      </c>
      <c r="H470" s="1402">
        <v>0.27494000000000002</v>
      </c>
      <c r="I470" s="1402">
        <v>2.3304000000000003E-3</v>
      </c>
      <c r="J470" s="1403">
        <v>87.594300000000004</v>
      </c>
    </row>
    <row r="471" spans="2:10" x14ac:dyDescent="0.2">
      <c r="B471" s="1392" t="s">
        <v>1086</v>
      </c>
      <c r="C471" s="1393">
        <v>2090</v>
      </c>
      <c r="D471" s="1392">
        <v>1092000</v>
      </c>
      <c r="E471" s="1394">
        <v>1092000</v>
      </c>
      <c r="F471" s="1395">
        <v>3971</v>
      </c>
      <c r="G471" s="1392">
        <v>5.7390999999999996</v>
      </c>
      <c r="H471" s="1394">
        <v>0.18462200000000001</v>
      </c>
      <c r="I471" s="1394">
        <v>8.61E-4</v>
      </c>
      <c r="J471" s="1395">
        <v>11.5648</v>
      </c>
    </row>
    <row r="472" spans="2:10" x14ac:dyDescent="0.2">
      <c r="B472" s="1396" t="s">
        <v>283</v>
      </c>
      <c r="C472" s="1397">
        <v>2090</v>
      </c>
      <c r="D472" s="1396">
        <v>1092000</v>
      </c>
      <c r="E472" s="1398">
        <v>1092000</v>
      </c>
      <c r="F472" s="1399">
        <v>3971</v>
      </c>
      <c r="G472" s="1396">
        <v>5.7390999999999996</v>
      </c>
      <c r="H472" s="1398">
        <v>0.18462200000000001</v>
      </c>
      <c r="I472" s="1398">
        <v>8.61E-4</v>
      </c>
      <c r="J472" s="1399">
        <v>11.5648</v>
      </c>
    </row>
    <row r="473" spans="2:10" x14ac:dyDescent="0.2">
      <c r="B473" s="1396" t="s">
        <v>1087</v>
      </c>
      <c r="C473" s="1397">
        <v>2090</v>
      </c>
      <c r="D473" s="1396">
        <v>1092000</v>
      </c>
      <c r="E473" s="1398">
        <v>1092000</v>
      </c>
      <c r="F473" s="1399">
        <v>3971</v>
      </c>
      <c r="G473" s="1396">
        <v>5.7390999999999996</v>
      </c>
      <c r="H473" s="1398">
        <v>0.18462200000000001</v>
      </c>
      <c r="I473" s="1398">
        <v>8.61E-4</v>
      </c>
      <c r="J473" s="1399">
        <v>11.5648</v>
      </c>
    </row>
    <row r="474" spans="2:10" x14ac:dyDescent="0.2">
      <c r="B474" s="1396" t="s">
        <v>681</v>
      </c>
      <c r="C474" s="1397">
        <v>2090</v>
      </c>
      <c r="D474" s="1396">
        <v>1092000</v>
      </c>
      <c r="E474" s="1398">
        <v>1092000</v>
      </c>
      <c r="F474" s="1399">
        <v>3971</v>
      </c>
      <c r="G474" s="1396">
        <v>5.7390999999999996</v>
      </c>
      <c r="H474" s="1398">
        <v>0.18462200000000001</v>
      </c>
      <c r="I474" s="1398">
        <v>8.61E-4</v>
      </c>
      <c r="J474" s="1399">
        <v>11.5648</v>
      </c>
    </row>
    <row r="475" spans="2:10" x14ac:dyDescent="0.2">
      <c r="B475" s="1396" t="s">
        <v>682</v>
      </c>
      <c r="C475" s="1397">
        <v>2090</v>
      </c>
      <c r="D475" s="1396">
        <v>-1185000</v>
      </c>
      <c r="E475" s="1398">
        <v>0</v>
      </c>
      <c r="F475" s="1399">
        <v>0</v>
      </c>
      <c r="G475" s="1396">
        <v>-85.800000000000011</v>
      </c>
      <c r="H475" s="1398">
        <v>0.54700000000000004</v>
      </c>
      <c r="I475" s="1398">
        <v>-1.8286999999999999E-3</v>
      </c>
      <c r="J475" s="1399">
        <v>-70.08</v>
      </c>
    </row>
    <row r="476" spans="2:10" x14ac:dyDescent="0.2">
      <c r="B476" s="1396" t="s">
        <v>683</v>
      </c>
      <c r="C476" s="1397">
        <v>2090</v>
      </c>
      <c r="D476" s="1396">
        <v>1721000</v>
      </c>
      <c r="E476" s="1398">
        <v>1293000</v>
      </c>
      <c r="F476" s="1399">
        <v>15050</v>
      </c>
      <c r="G476" s="1396">
        <v>125.08</v>
      </c>
      <c r="H476" s="1398">
        <v>0.20477100000000001</v>
      </c>
      <c r="I476" s="1398">
        <v>1.7827000000000001E-3</v>
      </c>
      <c r="J476" s="1399">
        <v>129.82</v>
      </c>
    </row>
    <row r="477" spans="2:10" x14ac:dyDescent="0.2">
      <c r="B477" s="1396" t="s">
        <v>698</v>
      </c>
      <c r="C477" s="1397">
        <v>2090</v>
      </c>
      <c r="D477" s="1396">
        <v>1721000</v>
      </c>
      <c r="E477" s="1398">
        <v>1293000</v>
      </c>
      <c r="F477" s="1399">
        <v>15050</v>
      </c>
      <c r="G477" s="1396">
        <v>125.08</v>
      </c>
      <c r="H477" s="1398">
        <v>0.20477100000000001</v>
      </c>
      <c r="I477" s="1398">
        <v>1.7827000000000001E-3</v>
      </c>
      <c r="J477" s="1399">
        <v>129.82</v>
      </c>
    </row>
    <row r="478" spans="2:10" x14ac:dyDescent="0.2">
      <c r="B478" s="1396" t="s">
        <v>684</v>
      </c>
      <c r="C478" s="1397">
        <v>2090</v>
      </c>
      <c r="D478" s="1396">
        <v>1721000</v>
      </c>
      <c r="E478" s="1398">
        <v>1293000</v>
      </c>
      <c r="F478" s="1399">
        <v>15050</v>
      </c>
      <c r="G478" s="1396">
        <v>125.08</v>
      </c>
      <c r="H478" s="1398">
        <v>0.20477100000000001</v>
      </c>
      <c r="I478" s="1398">
        <v>1.7827000000000001E-3</v>
      </c>
      <c r="J478" s="1399">
        <v>129.82</v>
      </c>
    </row>
    <row r="479" spans="2:10" x14ac:dyDescent="0.2">
      <c r="B479" s="1396" t="s">
        <v>1088</v>
      </c>
      <c r="C479" s="1397">
        <v>2090</v>
      </c>
      <c r="D479" s="1396">
        <v>1022000</v>
      </c>
      <c r="E479" s="1398">
        <v>1021000</v>
      </c>
      <c r="F479" s="1399">
        <v>15510</v>
      </c>
      <c r="G479" s="1396">
        <v>1.6964999999999999</v>
      </c>
      <c r="H479" s="1398">
        <v>0.14096238999999999</v>
      </c>
      <c r="I479" s="1398">
        <v>3.2765999999999998E-5</v>
      </c>
      <c r="J479" s="1399">
        <v>5.9536999999999995</v>
      </c>
    </row>
    <row r="480" spans="2:10" x14ac:dyDescent="0.2">
      <c r="B480" s="1396" t="s">
        <v>716</v>
      </c>
      <c r="C480" s="1397">
        <v>2090</v>
      </c>
      <c r="D480" s="1396">
        <v>1022000</v>
      </c>
      <c r="E480" s="1398">
        <v>1021000</v>
      </c>
      <c r="F480" s="1399">
        <v>15510</v>
      </c>
      <c r="G480" s="1396">
        <v>1.6964999999999999</v>
      </c>
      <c r="H480" s="1398">
        <v>0.14096238999999999</v>
      </c>
      <c r="I480" s="1398">
        <v>3.2765999999999998E-5</v>
      </c>
      <c r="J480" s="1399">
        <v>5.9536999999999995</v>
      </c>
    </row>
    <row r="481" spans="2:10" x14ac:dyDescent="0.2">
      <c r="B481" s="1396" t="s">
        <v>717</v>
      </c>
      <c r="C481" s="1397">
        <v>2090</v>
      </c>
      <c r="D481" s="1396">
        <v>1022000</v>
      </c>
      <c r="E481" s="1398">
        <v>1021000</v>
      </c>
      <c r="F481" s="1399">
        <v>15510</v>
      </c>
      <c r="G481" s="1396">
        <v>1.6964999999999999</v>
      </c>
      <c r="H481" s="1398">
        <v>0.14096238999999999</v>
      </c>
      <c r="I481" s="1398">
        <v>3.2765999999999998E-5</v>
      </c>
      <c r="J481" s="1399">
        <v>5.9536999999999995</v>
      </c>
    </row>
    <row r="482" spans="2:10" x14ac:dyDescent="0.2">
      <c r="B482" s="1396" t="s">
        <v>913</v>
      </c>
      <c r="C482" s="1397">
        <v>2090</v>
      </c>
      <c r="D482" s="1396">
        <v>1209000</v>
      </c>
      <c r="E482" s="1398">
        <v>1202000</v>
      </c>
      <c r="F482" s="1399">
        <v>1052000</v>
      </c>
      <c r="G482" s="1396">
        <v>17.969000000000001</v>
      </c>
      <c r="H482" s="1398">
        <v>0.164128</v>
      </c>
      <c r="I482" s="1398">
        <v>2.9025999999999998E-4</v>
      </c>
      <c r="J482" s="1399">
        <v>22.988</v>
      </c>
    </row>
    <row r="483" spans="2:10" x14ac:dyDescent="0.2">
      <c r="B483" s="1396" t="s">
        <v>911</v>
      </c>
      <c r="C483" s="1397">
        <v>2090</v>
      </c>
      <c r="D483" s="1396">
        <v>1585000</v>
      </c>
      <c r="E483" s="1398">
        <v>696300</v>
      </c>
      <c r="F483" s="1399">
        <v>286000</v>
      </c>
      <c r="G483" s="1396">
        <v>38.049999999999997</v>
      </c>
      <c r="H483" s="1398">
        <v>0.1118</v>
      </c>
      <c r="I483" s="1398">
        <v>2.5350000000000001E-2</v>
      </c>
      <c r="J483" s="1399">
        <v>45.19</v>
      </c>
    </row>
    <row r="484" spans="2:10" x14ac:dyDescent="0.2">
      <c r="B484" s="1396" t="s">
        <v>914</v>
      </c>
      <c r="C484" s="1397">
        <v>2090</v>
      </c>
      <c r="D484" s="1396">
        <v>1249000</v>
      </c>
      <c r="E484" s="1398">
        <v>1242000</v>
      </c>
      <c r="F484" s="1399">
        <v>1078000</v>
      </c>
      <c r="G484" s="1396">
        <v>23.84</v>
      </c>
      <c r="H484" s="1398">
        <v>0.16985799999999998</v>
      </c>
      <c r="I484" s="1398">
        <v>3.7813000000000001E-4</v>
      </c>
      <c r="J484" s="1399">
        <v>29.157000000000004</v>
      </c>
    </row>
    <row r="485" spans="2:10" x14ac:dyDescent="0.2">
      <c r="B485" s="1396" t="s">
        <v>1082</v>
      </c>
      <c r="C485" s="1397">
        <v>2090</v>
      </c>
      <c r="D485" s="1396">
        <v>1190000</v>
      </c>
      <c r="E485" s="1398">
        <v>51590</v>
      </c>
      <c r="F485" s="1399">
        <v>29220</v>
      </c>
      <c r="G485" s="1396">
        <v>3.7582</v>
      </c>
      <c r="H485" s="1398">
        <v>8.4366999999999984E-3</v>
      </c>
      <c r="I485" s="1398">
        <v>-3.8261190000000002E-3</v>
      </c>
      <c r="J485" s="1399">
        <v>3.0054000000000003</v>
      </c>
    </row>
    <row r="486" spans="2:10" x14ac:dyDescent="0.2">
      <c r="B486" s="1396" t="s">
        <v>815</v>
      </c>
      <c r="C486" s="1397">
        <v>2090</v>
      </c>
      <c r="D486" s="1396">
        <v>1190000</v>
      </c>
      <c r="E486" s="1398">
        <v>51590</v>
      </c>
      <c r="F486" s="1399">
        <v>29220</v>
      </c>
      <c r="G486" s="1396">
        <v>3.7582</v>
      </c>
      <c r="H486" s="1398">
        <v>8.4366999999999984E-3</v>
      </c>
      <c r="I486" s="1398">
        <v>-3.8261190000000002E-3</v>
      </c>
      <c r="J486" s="1399">
        <v>3.0054000000000003</v>
      </c>
    </row>
    <row r="487" spans="2:10" x14ac:dyDescent="0.2">
      <c r="B487" s="1396" t="s">
        <v>824</v>
      </c>
      <c r="C487" s="1397">
        <v>2090</v>
      </c>
      <c r="D487" s="1396">
        <v>1190000</v>
      </c>
      <c r="E487" s="1398">
        <v>51590</v>
      </c>
      <c r="F487" s="1399">
        <v>29220</v>
      </c>
      <c r="G487" s="1396">
        <v>3.7582</v>
      </c>
      <c r="H487" s="1398">
        <v>8.4366999999999984E-3</v>
      </c>
      <c r="I487" s="1398">
        <v>-3.8261190000000002E-3</v>
      </c>
      <c r="J487" s="1399">
        <v>3.0054000000000003</v>
      </c>
    </row>
    <row r="488" spans="2:10" ht="13.5" thickBot="1" x14ac:dyDescent="0.25">
      <c r="B488" s="1400" t="s">
        <v>1089</v>
      </c>
      <c r="C488" s="1401">
        <v>2090</v>
      </c>
      <c r="D488" s="1400">
        <v>1384000</v>
      </c>
      <c r="E488" s="1402">
        <v>1383000</v>
      </c>
      <c r="F488" s="1403">
        <v>5034</v>
      </c>
      <c r="G488" s="1400">
        <v>78.571100000000001</v>
      </c>
      <c r="H488" s="1402">
        <v>0.27494000000000002</v>
      </c>
      <c r="I488" s="1402">
        <v>2.3304000000000003E-3</v>
      </c>
      <c r="J488" s="1403">
        <v>87.594300000000004</v>
      </c>
    </row>
    <row r="489" spans="2:10" x14ac:dyDescent="0.2">
      <c r="B489" s="1392" t="s">
        <v>1086</v>
      </c>
      <c r="C489" s="1393">
        <v>2095</v>
      </c>
      <c r="D489" s="1392">
        <v>1092000</v>
      </c>
      <c r="E489" s="1394">
        <v>1092000</v>
      </c>
      <c r="F489" s="1395">
        <v>3971</v>
      </c>
      <c r="G489" s="1392">
        <v>5.7390999999999996</v>
      </c>
      <c r="H489" s="1394">
        <v>0.18462200000000001</v>
      </c>
      <c r="I489" s="1394">
        <v>8.61E-4</v>
      </c>
      <c r="J489" s="1395">
        <v>11.5648</v>
      </c>
    </row>
    <row r="490" spans="2:10" x14ac:dyDescent="0.2">
      <c r="B490" s="1396" t="s">
        <v>283</v>
      </c>
      <c r="C490" s="1397">
        <v>2095</v>
      </c>
      <c r="D490" s="1396">
        <v>1092000</v>
      </c>
      <c r="E490" s="1398">
        <v>1092000</v>
      </c>
      <c r="F490" s="1399">
        <v>3971</v>
      </c>
      <c r="G490" s="1396">
        <v>5.7390999999999996</v>
      </c>
      <c r="H490" s="1398">
        <v>0.18462200000000001</v>
      </c>
      <c r="I490" s="1398">
        <v>8.61E-4</v>
      </c>
      <c r="J490" s="1399">
        <v>11.5648</v>
      </c>
    </row>
    <row r="491" spans="2:10" x14ac:dyDescent="0.2">
      <c r="B491" s="1396" t="s">
        <v>1087</v>
      </c>
      <c r="C491" s="1397">
        <v>2095</v>
      </c>
      <c r="D491" s="1396">
        <v>1092000</v>
      </c>
      <c r="E491" s="1398">
        <v>1092000</v>
      </c>
      <c r="F491" s="1399">
        <v>3971</v>
      </c>
      <c r="G491" s="1396">
        <v>5.7390999999999996</v>
      </c>
      <c r="H491" s="1398">
        <v>0.18462200000000001</v>
      </c>
      <c r="I491" s="1398">
        <v>8.61E-4</v>
      </c>
      <c r="J491" s="1399">
        <v>11.5648</v>
      </c>
    </row>
    <row r="492" spans="2:10" x14ac:dyDescent="0.2">
      <c r="B492" s="1396" t="s">
        <v>681</v>
      </c>
      <c r="C492" s="1397">
        <v>2095</v>
      </c>
      <c r="D492" s="1396">
        <v>1092000</v>
      </c>
      <c r="E492" s="1398">
        <v>1092000</v>
      </c>
      <c r="F492" s="1399">
        <v>3971</v>
      </c>
      <c r="G492" s="1396">
        <v>5.7390999999999996</v>
      </c>
      <c r="H492" s="1398">
        <v>0.18462200000000001</v>
      </c>
      <c r="I492" s="1398">
        <v>8.61E-4</v>
      </c>
      <c r="J492" s="1399">
        <v>11.5648</v>
      </c>
    </row>
    <row r="493" spans="2:10" x14ac:dyDescent="0.2">
      <c r="B493" s="1396" t="s">
        <v>682</v>
      </c>
      <c r="C493" s="1397">
        <v>2095</v>
      </c>
      <c r="D493" s="1396">
        <v>-1185000</v>
      </c>
      <c r="E493" s="1398">
        <v>0</v>
      </c>
      <c r="F493" s="1399">
        <v>0</v>
      </c>
      <c r="G493" s="1396">
        <v>-85.800000000000011</v>
      </c>
      <c r="H493" s="1398">
        <v>0.54700000000000004</v>
      </c>
      <c r="I493" s="1398">
        <v>-1.8286999999999999E-3</v>
      </c>
      <c r="J493" s="1399">
        <v>-70.08</v>
      </c>
    </row>
    <row r="494" spans="2:10" x14ac:dyDescent="0.2">
      <c r="B494" s="1396" t="s">
        <v>683</v>
      </c>
      <c r="C494" s="1397">
        <v>2095</v>
      </c>
      <c r="D494" s="1396">
        <v>1721000</v>
      </c>
      <c r="E494" s="1398">
        <v>1293000</v>
      </c>
      <c r="F494" s="1399">
        <v>15050</v>
      </c>
      <c r="G494" s="1396">
        <v>125.08</v>
      </c>
      <c r="H494" s="1398">
        <v>0.20477100000000001</v>
      </c>
      <c r="I494" s="1398">
        <v>1.7827000000000001E-3</v>
      </c>
      <c r="J494" s="1399">
        <v>129.82</v>
      </c>
    </row>
    <row r="495" spans="2:10" x14ac:dyDescent="0.2">
      <c r="B495" s="1396" t="s">
        <v>698</v>
      </c>
      <c r="C495" s="1397">
        <v>2095</v>
      </c>
      <c r="D495" s="1396">
        <v>1721000</v>
      </c>
      <c r="E495" s="1398">
        <v>1293000</v>
      </c>
      <c r="F495" s="1399">
        <v>15050</v>
      </c>
      <c r="G495" s="1396">
        <v>125.08</v>
      </c>
      <c r="H495" s="1398">
        <v>0.20477100000000001</v>
      </c>
      <c r="I495" s="1398">
        <v>1.7827000000000001E-3</v>
      </c>
      <c r="J495" s="1399">
        <v>129.82</v>
      </c>
    </row>
    <row r="496" spans="2:10" x14ac:dyDescent="0.2">
      <c r="B496" s="1396" t="s">
        <v>684</v>
      </c>
      <c r="C496" s="1397">
        <v>2095</v>
      </c>
      <c r="D496" s="1396">
        <v>1721000</v>
      </c>
      <c r="E496" s="1398">
        <v>1293000</v>
      </c>
      <c r="F496" s="1399">
        <v>15050</v>
      </c>
      <c r="G496" s="1396">
        <v>125.08</v>
      </c>
      <c r="H496" s="1398">
        <v>0.20477100000000001</v>
      </c>
      <c r="I496" s="1398">
        <v>1.7827000000000001E-3</v>
      </c>
      <c r="J496" s="1399">
        <v>129.82</v>
      </c>
    </row>
    <row r="497" spans="2:10" x14ac:dyDescent="0.2">
      <c r="B497" s="1396" t="s">
        <v>1088</v>
      </c>
      <c r="C497" s="1397">
        <v>2095</v>
      </c>
      <c r="D497" s="1396">
        <v>1022000</v>
      </c>
      <c r="E497" s="1398">
        <v>1021000</v>
      </c>
      <c r="F497" s="1399">
        <v>15510</v>
      </c>
      <c r="G497" s="1396">
        <v>1.6964999999999999</v>
      </c>
      <c r="H497" s="1398">
        <v>0.14096238999999999</v>
      </c>
      <c r="I497" s="1398">
        <v>3.2765999999999998E-5</v>
      </c>
      <c r="J497" s="1399">
        <v>5.9536999999999995</v>
      </c>
    </row>
    <row r="498" spans="2:10" x14ac:dyDescent="0.2">
      <c r="B498" s="1396" t="s">
        <v>716</v>
      </c>
      <c r="C498" s="1397">
        <v>2095</v>
      </c>
      <c r="D498" s="1396">
        <v>1022000</v>
      </c>
      <c r="E498" s="1398">
        <v>1021000</v>
      </c>
      <c r="F498" s="1399">
        <v>15510</v>
      </c>
      <c r="G498" s="1396">
        <v>1.6964999999999999</v>
      </c>
      <c r="H498" s="1398">
        <v>0.14096238999999999</v>
      </c>
      <c r="I498" s="1398">
        <v>3.2765999999999998E-5</v>
      </c>
      <c r="J498" s="1399">
        <v>5.9536999999999995</v>
      </c>
    </row>
    <row r="499" spans="2:10" x14ac:dyDescent="0.2">
      <c r="B499" s="1396" t="s">
        <v>717</v>
      </c>
      <c r="C499" s="1397">
        <v>2095</v>
      </c>
      <c r="D499" s="1396">
        <v>1022000</v>
      </c>
      <c r="E499" s="1398">
        <v>1021000</v>
      </c>
      <c r="F499" s="1399">
        <v>15510</v>
      </c>
      <c r="G499" s="1396">
        <v>1.6964999999999999</v>
      </c>
      <c r="H499" s="1398">
        <v>0.14096238999999999</v>
      </c>
      <c r="I499" s="1398">
        <v>3.2765999999999998E-5</v>
      </c>
      <c r="J499" s="1399">
        <v>5.9536999999999995</v>
      </c>
    </row>
    <row r="500" spans="2:10" x14ac:dyDescent="0.2">
      <c r="B500" s="1396" t="s">
        <v>913</v>
      </c>
      <c r="C500" s="1397">
        <v>2095</v>
      </c>
      <c r="D500" s="1396">
        <v>1209000</v>
      </c>
      <c r="E500" s="1398">
        <v>1202000</v>
      </c>
      <c r="F500" s="1399">
        <v>1052000</v>
      </c>
      <c r="G500" s="1396">
        <v>17.969000000000001</v>
      </c>
      <c r="H500" s="1398">
        <v>0.164128</v>
      </c>
      <c r="I500" s="1398">
        <v>2.9025999999999998E-4</v>
      </c>
      <c r="J500" s="1399">
        <v>22.988</v>
      </c>
    </row>
    <row r="501" spans="2:10" x14ac:dyDescent="0.2">
      <c r="B501" s="1396" t="s">
        <v>911</v>
      </c>
      <c r="C501" s="1397">
        <v>2095</v>
      </c>
      <c r="D501" s="1396">
        <v>1585000</v>
      </c>
      <c r="E501" s="1398">
        <v>696300</v>
      </c>
      <c r="F501" s="1399">
        <v>286000</v>
      </c>
      <c r="G501" s="1396">
        <v>38.049999999999997</v>
      </c>
      <c r="H501" s="1398">
        <v>0.1118</v>
      </c>
      <c r="I501" s="1398">
        <v>2.5350000000000001E-2</v>
      </c>
      <c r="J501" s="1399">
        <v>45.19</v>
      </c>
    </row>
    <row r="502" spans="2:10" x14ac:dyDescent="0.2">
      <c r="B502" s="1396" t="s">
        <v>914</v>
      </c>
      <c r="C502" s="1397">
        <v>2095</v>
      </c>
      <c r="D502" s="1396">
        <v>1249000</v>
      </c>
      <c r="E502" s="1398">
        <v>1242000</v>
      </c>
      <c r="F502" s="1399">
        <v>1078000</v>
      </c>
      <c r="G502" s="1396">
        <v>23.84</v>
      </c>
      <c r="H502" s="1398">
        <v>0.16985799999999998</v>
      </c>
      <c r="I502" s="1398">
        <v>3.7813000000000001E-4</v>
      </c>
      <c r="J502" s="1399">
        <v>29.157000000000004</v>
      </c>
    </row>
    <row r="503" spans="2:10" x14ac:dyDescent="0.2">
      <c r="B503" s="1396" t="s">
        <v>1082</v>
      </c>
      <c r="C503" s="1397">
        <v>2095</v>
      </c>
      <c r="D503" s="1396">
        <v>1190000</v>
      </c>
      <c r="E503" s="1398">
        <v>51590</v>
      </c>
      <c r="F503" s="1399">
        <v>29220</v>
      </c>
      <c r="G503" s="1396">
        <v>3.7582</v>
      </c>
      <c r="H503" s="1398">
        <v>8.4366999999999984E-3</v>
      </c>
      <c r="I503" s="1398">
        <v>-3.8261190000000002E-3</v>
      </c>
      <c r="J503" s="1399">
        <v>3.0054000000000003</v>
      </c>
    </row>
    <row r="504" spans="2:10" x14ac:dyDescent="0.2">
      <c r="B504" s="1396" t="s">
        <v>815</v>
      </c>
      <c r="C504" s="1397">
        <v>2095</v>
      </c>
      <c r="D504" s="1396">
        <v>1190000</v>
      </c>
      <c r="E504" s="1398">
        <v>51590</v>
      </c>
      <c r="F504" s="1399">
        <v>29220</v>
      </c>
      <c r="G504" s="1396">
        <v>3.7582</v>
      </c>
      <c r="H504" s="1398">
        <v>8.4366999999999984E-3</v>
      </c>
      <c r="I504" s="1398">
        <v>-3.8261190000000002E-3</v>
      </c>
      <c r="J504" s="1399">
        <v>3.0054000000000003</v>
      </c>
    </row>
    <row r="505" spans="2:10" x14ac:dyDescent="0.2">
      <c r="B505" s="1396" t="s">
        <v>824</v>
      </c>
      <c r="C505" s="1397">
        <v>2095</v>
      </c>
      <c r="D505" s="1396">
        <v>1190000</v>
      </c>
      <c r="E505" s="1398">
        <v>51590</v>
      </c>
      <c r="F505" s="1399">
        <v>29220</v>
      </c>
      <c r="G505" s="1396">
        <v>3.7582</v>
      </c>
      <c r="H505" s="1398">
        <v>8.4366999999999984E-3</v>
      </c>
      <c r="I505" s="1398">
        <v>-3.8261190000000002E-3</v>
      </c>
      <c r="J505" s="1399">
        <v>3.0054000000000003</v>
      </c>
    </row>
    <row r="506" spans="2:10" ht="13.5" thickBot="1" x14ac:dyDescent="0.25">
      <c r="B506" s="1400" t="s">
        <v>1089</v>
      </c>
      <c r="C506" s="1401">
        <v>2095</v>
      </c>
      <c r="D506" s="1400">
        <v>1384000</v>
      </c>
      <c r="E506" s="1402">
        <v>1383000</v>
      </c>
      <c r="F506" s="1403">
        <v>5034</v>
      </c>
      <c r="G506" s="1400">
        <v>78.571100000000001</v>
      </c>
      <c r="H506" s="1402">
        <v>0.27494000000000002</v>
      </c>
      <c r="I506" s="1402">
        <v>2.3304000000000003E-3</v>
      </c>
      <c r="J506" s="1403">
        <v>87.594300000000004</v>
      </c>
    </row>
    <row r="507" spans="2:10" x14ac:dyDescent="0.2">
      <c r="B507" s="1392" t="s">
        <v>1086</v>
      </c>
      <c r="C507" s="1393">
        <v>2100</v>
      </c>
      <c r="D507" s="1392">
        <v>1092000</v>
      </c>
      <c r="E507" s="1394">
        <v>1092000</v>
      </c>
      <c r="F507" s="1395">
        <v>3971</v>
      </c>
      <c r="G507" s="1392">
        <v>5.7390999999999996</v>
      </c>
      <c r="H507" s="1394">
        <v>0.18462200000000001</v>
      </c>
      <c r="I507" s="1394">
        <v>8.61E-4</v>
      </c>
      <c r="J507" s="1395">
        <v>11.5648</v>
      </c>
    </row>
    <row r="508" spans="2:10" x14ac:dyDescent="0.2">
      <c r="B508" s="1396" t="s">
        <v>283</v>
      </c>
      <c r="C508" s="1397">
        <v>2100</v>
      </c>
      <c r="D508" s="1396">
        <v>1092000</v>
      </c>
      <c r="E508" s="1398">
        <v>1092000</v>
      </c>
      <c r="F508" s="1399">
        <v>3971</v>
      </c>
      <c r="G508" s="1396">
        <v>5.7390999999999996</v>
      </c>
      <c r="H508" s="1398">
        <v>0.18462200000000001</v>
      </c>
      <c r="I508" s="1398">
        <v>8.61E-4</v>
      </c>
      <c r="J508" s="1399">
        <v>11.5648</v>
      </c>
    </row>
    <row r="509" spans="2:10" x14ac:dyDescent="0.2">
      <c r="B509" s="1396" t="s">
        <v>1087</v>
      </c>
      <c r="C509" s="1397">
        <v>2100</v>
      </c>
      <c r="D509" s="1396">
        <v>1092000</v>
      </c>
      <c r="E509" s="1398">
        <v>1092000</v>
      </c>
      <c r="F509" s="1399">
        <v>3971</v>
      </c>
      <c r="G509" s="1396">
        <v>5.7390999999999996</v>
      </c>
      <c r="H509" s="1398">
        <v>0.18462200000000001</v>
      </c>
      <c r="I509" s="1398">
        <v>8.61E-4</v>
      </c>
      <c r="J509" s="1399">
        <v>11.5648</v>
      </c>
    </row>
    <row r="510" spans="2:10" x14ac:dyDescent="0.2">
      <c r="B510" s="1396" t="s">
        <v>681</v>
      </c>
      <c r="C510" s="1397">
        <v>2100</v>
      </c>
      <c r="D510" s="1396">
        <v>1092000</v>
      </c>
      <c r="E510" s="1398">
        <v>1092000</v>
      </c>
      <c r="F510" s="1399">
        <v>3971</v>
      </c>
      <c r="G510" s="1396">
        <v>5.7390999999999996</v>
      </c>
      <c r="H510" s="1398">
        <v>0.18462200000000001</v>
      </c>
      <c r="I510" s="1398">
        <v>8.61E-4</v>
      </c>
      <c r="J510" s="1399">
        <v>11.5648</v>
      </c>
    </row>
    <row r="511" spans="2:10" x14ac:dyDescent="0.2">
      <c r="B511" s="1396" t="s">
        <v>682</v>
      </c>
      <c r="C511" s="1397">
        <v>2100</v>
      </c>
      <c r="D511" s="1396">
        <v>-1185000</v>
      </c>
      <c r="E511" s="1398">
        <v>0</v>
      </c>
      <c r="F511" s="1399">
        <v>0</v>
      </c>
      <c r="G511" s="1396">
        <v>-85.800000000000011</v>
      </c>
      <c r="H511" s="1398">
        <v>0.54700000000000004</v>
      </c>
      <c r="I511" s="1398">
        <v>-1.8286999999999999E-3</v>
      </c>
      <c r="J511" s="1399">
        <v>-70.08</v>
      </c>
    </row>
    <row r="512" spans="2:10" x14ac:dyDescent="0.2">
      <c r="B512" s="1396" t="s">
        <v>683</v>
      </c>
      <c r="C512" s="1397">
        <v>2100</v>
      </c>
      <c r="D512" s="1396">
        <v>1721000</v>
      </c>
      <c r="E512" s="1398">
        <v>1293000</v>
      </c>
      <c r="F512" s="1399">
        <v>15050</v>
      </c>
      <c r="G512" s="1396">
        <v>125.08</v>
      </c>
      <c r="H512" s="1398">
        <v>0.20477100000000001</v>
      </c>
      <c r="I512" s="1398">
        <v>1.7827000000000001E-3</v>
      </c>
      <c r="J512" s="1399">
        <v>129.82</v>
      </c>
    </row>
    <row r="513" spans="2:10" x14ac:dyDescent="0.2">
      <c r="B513" s="1396" t="s">
        <v>698</v>
      </c>
      <c r="C513" s="1397">
        <v>2100</v>
      </c>
      <c r="D513" s="1396">
        <v>1721000</v>
      </c>
      <c r="E513" s="1398">
        <v>1293000</v>
      </c>
      <c r="F513" s="1399">
        <v>15050</v>
      </c>
      <c r="G513" s="1396">
        <v>125.08</v>
      </c>
      <c r="H513" s="1398">
        <v>0.20477100000000001</v>
      </c>
      <c r="I513" s="1398">
        <v>1.7827000000000001E-3</v>
      </c>
      <c r="J513" s="1399">
        <v>129.82</v>
      </c>
    </row>
    <row r="514" spans="2:10" x14ac:dyDescent="0.2">
      <c r="B514" s="1396" t="s">
        <v>684</v>
      </c>
      <c r="C514" s="1397">
        <v>2100</v>
      </c>
      <c r="D514" s="1396">
        <v>1721000</v>
      </c>
      <c r="E514" s="1398">
        <v>1293000</v>
      </c>
      <c r="F514" s="1399">
        <v>15050</v>
      </c>
      <c r="G514" s="1396">
        <v>125.08</v>
      </c>
      <c r="H514" s="1398">
        <v>0.20477100000000001</v>
      </c>
      <c r="I514" s="1398">
        <v>1.7827000000000001E-3</v>
      </c>
      <c r="J514" s="1399">
        <v>129.82</v>
      </c>
    </row>
    <row r="515" spans="2:10" x14ac:dyDescent="0.2">
      <c r="B515" s="1396" t="s">
        <v>1088</v>
      </c>
      <c r="C515" s="1397">
        <v>2100</v>
      </c>
      <c r="D515" s="1396">
        <v>1022000</v>
      </c>
      <c r="E515" s="1398">
        <v>1021000</v>
      </c>
      <c r="F515" s="1399">
        <v>15510</v>
      </c>
      <c r="G515" s="1396">
        <v>1.6964999999999999</v>
      </c>
      <c r="H515" s="1398">
        <v>0.14096238999999999</v>
      </c>
      <c r="I515" s="1398">
        <v>3.2765999999999998E-5</v>
      </c>
      <c r="J515" s="1399">
        <v>5.9536999999999995</v>
      </c>
    </row>
    <row r="516" spans="2:10" x14ac:dyDescent="0.2">
      <c r="B516" s="1396" t="s">
        <v>716</v>
      </c>
      <c r="C516" s="1397">
        <v>2100</v>
      </c>
      <c r="D516" s="1396">
        <v>1022000</v>
      </c>
      <c r="E516" s="1398">
        <v>1021000</v>
      </c>
      <c r="F516" s="1399">
        <v>15510</v>
      </c>
      <c r="G516" s="1396">
        <v>1.6964999999999999</v>
      </c>
      <c r="H516" s="1398">
        <v>0.14096238999999999</v>
      </c>
      <c r="I516" s="1398">
        <v>3.2765999999999998E-5</v>
      </c>
      <c r="J516" s="1399">
        <v>5.9536999999999995</v>
      </c>
    </row>
    <row r="517" spans="2:10" x14ac:dyDescent="0.2">
      <c r="B517" s="1396" t="s">
        <v>717</v>
      </c>
      <c r="C517" s="1397">
        <v>2100</v>
      </c>
      <c r="D517" s="1396">
        <v>1022000</v>
      </c>
      <c r="E517" s="1398">
        <v>1021000</v>
      </c>
      <c r="F517" s="1399">
        <v>15510</v>
      </c>
      <c r="G517" s="1396">
        <v>1.6964999999999999</v>
      </c>
      <c r="H517" s="1398">
        <v>0.14096238999999999</v>
      </c>
      <c r="I517" s="1398">
        <v>3.2765999999999998E-5</v>
      </c>
      <c r="J517" s="1399">
        <v>5.9536999999999995</v>
      </c>
    </row>
    <row r="518" spans="2:10" x14ac:dyDescent="0.2">
      <c r="B518" s="1396" t="s">
        <v>913</v>
      </c>
      <c r="C518" s="1397">
        <v>2100</v>
      </c>
      <c r="D518" s="1396">
        <v>1209000</v>
      </c>
      <c r="E518" s="1398">
        <v>1202000</v>
      </c>
      <c r="F518" s="1399">
        <v>1052000</v>
      </c>
      <c r="G518" s="1396">
        <v>17.969000000000001</v>
      </c>
      <c r="H518" s="1398">
        <v>0.164128</v>
      </c>
      <c r="I518" s="1398">
        <v>2.9025999999999998E-4</v>
      </c>
      <c r="J518" s="1399">
        <v>22.988</v>
      </c>
    </row>
    <row r="519" spans="2:10" x14ac:dyDescent="0.2">
      <c r="B519" s="1396" t="s">
        <v>911</v>
      </c>
      <c r="C519" s="1397">
        <v>2100</v>
      </c>
      <c r="D519" s="1396">
        <v>1585000</v>
      </c>
      <c r="E519" s="1398">
        <v>696300</v>
      </c>
      <c r="F519" s="1399">
        <v>286000</v>
      </c>
      <c r="G519" s="1396">
        <v>38.049999999999997</v>
      </c>
      <c r="H519" s="1398">
        <v>0.1118</v>
      </c>
      <c r="I519" s="1398">
        <v>2.5350000000000001E-2</v>
      </c>
      <c r="J519" s="1399">
        <v>45.19</v>
      </c>
    </row>
    <row r="520" spans="2:10" x14ac:dyDescent="0.2">
      <c r="B520" s="1396" t="s">
        <v>914</v>
      </c>
      <c r="C520" s="1397">
        <v>2100</v>
      </c>
      <c r="D520" s="1396">
        <v>1249000</v>
      </c>
      <c r="E520" s="1398">
        <v>1242000</v>
      </c>
      <c r="F520" s="1399">
        <v>1078000</v>
      </c>
      <c r="G520" s="1396">
        <v>23.84</v>
      </c>
      <c r="H520" s="1398">
        <v>0.16985799999999998</v>
      </c>
      <c r="I520" s="1398">
        <v>3.7813000000000001E-4</v>
      </c>
      <c r="J520" s="1399">
        <v>29.157000000000004</v>
      </c>
    </row>
    <row r="521" spans="2:10" x14ac:dyDescent="0.2">
      <c r="B521" s="1396" t="s">
        <v>1082</v>
      </c>
      <c r="C521" s="1397">
        <v>2100</v>
      </c>
      <c r="D521" s="1396">
        <v>1190000</v>
      </c>
      <c r="E521" s="1398">
        <v>51590</v>
      </c>
      <c r="F521" s="1399">
        <v>29220</v>
      </c>
      <c r="G521" s="1396">
        <v>3.7582</v>
      </c>
      <c r="H521" s="1398">
        <v>8.4366999999999984E-3</v>
      </c>
      <c r="I521" s="1398">
        <v>-3.8261190000000002E-3</v>
      </c>
      <c r="J521" s="1399">
        <v>3.0054000000000003</v>
      </c>
    </row>
    <row r="522" spans="2:10" x14ac:dyDescent="0.2">
      <c r="B522" s="1396" t="s">
        <v>815</v>
      </c>
      <c r="C522" s="1397">
        <v>2100</v>
      </c>
      <c r="D522" s="1396">
        <v>1190000</v>
      </c>
      <c r="E522" s="1398">
        <v>51590</v>
      </c>
      <c r="F522" s="1399">
        <v>29220</v>
      </c>
      <c r="G522" s="1396">
        <v>3.7582</v>
      </c>
      <c r="H522" s="1398">
        <v>8.4366999999999984E-3</v>
      </c>
      <c r="I522" s="1398">
        <v>-3.8261190000000002E-3</v>
      </c>
      <c r="J522" s="1399">
        <v>3.0054000000000003</v>
      </c>
    </row>
    <row r="523" spans="2:10" x14ac:dyDescent="0.2">
      <c r="B523" s="1396" t="s">
        <v>824</v>
      </c>
      <c r="C523" s="1397">
        <v>2100</v>
      </c>
      <c r="D523" s="1396">
        <v>1190000</v>
      </c>
      <c r="E523" s="1398">
        <v>51590</v>
      </c>
      <c r="F523" s="1399">
        <v>29220</v>
      </c>
      <c r="G523" s="1396">
        <v>3.7582</v>
      </c>
      <c r="H523" s="1398">
        <v>8.4366999999999984E-3</v>
      </c>
      <c r="I523" s="1398">
        <v>-3.8261190000000002E-3</v>
      </c>
      <c r="J523" s="1399">
        <v>3.0054000000000003</v>
      </c>
    </row>
    <row r="524" spans="2:10" ht="13.5" thickBot="1" x14ac:dyDescent="0.25">
      <c r="B524" s="1400" t="s">
        <v>1089</v>
      </c>
      <c r="C524" s="1401">
        <v>2100</v>
      </c>
      <c r="D524" s="1400">
        <v>1384000</v>
      </c>
      <c r="E524" s="1402">
        <v>1383000</v>
      </c>
      <c r="F524" s="1403">
        <v>5034</v>
      </c>
      <c r="G524" s="1400">
        <v>78.571100000000001</v>
      </c>
      <c r="H524" s="1402">
        <v>0.27494000000000002</v>
      </c>
      <c r="I524" s="1402">
        <v>2.3304000000000003E-3</v>
      </c>
      <c r="J524" s="1403">
        <v>87.594300000000004</v>
      </c>
    </row>
  </sheetData>
  <mergeCells count="23">
    <mergeCell ref="K92:L92"/>
    <mergeCell ref="A91:B91"/>
    <mergeCell ref="A58:K58"/>
    <mergeCell ref="A53:K53"/>
    <mergeCell ref="C134:E134"/>
    <mergeCell ref="F134:H134"/>
    <mergeCell ref="A54:K54"/>
    <mergeCell ref="G91:H91"/>
    <mergeCell ref="D92:E92"/>
    <mergeCell ref="A55:K55"/>
    <mergeCell ref="A61:K61"/>
    <mergeCell ref="A62:K62"/>
    <mergeCell ref="K91:L91"/>
    <mergeCell ref="A52:K52"/>
    <mergeCell ref="A51:K51"/>
    <mergeCell ref="D91:E91"/>
    <mergeCell ref="A59:K59"/>
    <mergeCell ref="A2:K2"/>
    <mergeCell ref="A3:K3"/>
    <mergeCell ref="C4:E4"/>
    <mergeCell ref="G4:I4"/>
    <mergeCell ref="A56:K56"/>
    <mergeCell ref="A57:K57"/>
  </mergeCells>
  <phoneticPr fontId="2"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heetViews>
  <sheetFormatPr defaultColWidth="9.140625" defaultRowHeight="12.75" x14ac:dyDescent="0.2"/>
  <cols>
    <col min="1" max="1" width="19" style="38" customWidth="1"/>
    <col min="2" max="2" width="16" style="38" customWidth="1"/>
    <col min="3" max="3" width="17.140625" style="38" customWidth="1"/>
    <col min="4" max="4" width="17.85546875" style="38" customWidth="1"/>
    <col min="5" max="5" width="14.140625" style="38" customWidth="1"/>
    <col min="6" max="6" width="20.85546875" style="38" customWidth="1"/>
    <col min="7" max="7" width="22.42578125" style="38" customWidth="1"/>
    <col min="8" max="16384" width="9.140625" style="38"/>
  </cols>
  <sheetData>
    <row r="1" spans="1:12" ht="30.75" customHeight="1" x14ac:dyDescent="0.25">
      <c r="A1" s="37" t="s">
        <v>32</v>
      </c>
    </row>
    <row r="2" spans="1:12" ht="15" customHeight="1" x14ac:dyDescent="0.2">
      <c r="A2"/>
      <c r="B2"/>
      <c r="C2"/>
      <c r="D2"/>
      <c r="E2"/>
      <c r="G2" s="39"/>
      <c r="K2" s="40"/>
      <c r="L2" s="41"/>
    </row>
    <row r="3" spans="1:12" ht="15" customHeight="1" x14ac:dyDescent="0.2">
      <c r="A3"/>
      <c r="B3"/>
      <c r="C3"/>
      <c r="D3"/>
      <c r="E3"/>
      <c r="F3" s="44"/>
      <c r="G3" s="44"/>
      <c r="H3" s="39"/>
      <c r="K3" s="40"/>
      <c r="L3" s="41"/>
    </row>
    <row r="4" spans="1:12" ht="15" customHeight="1" x14ac:dyDescent="0.2">
      <c r="A4"/>
      <c r="B4"/>
      <c r="C4"/>
      <c r="D4"/>
      <c r="E4"/>
      <c r="F4" s="44"/>
      <c r="G4" s="44"/>
      <c r="H4" s="39"/>
      <c r="K4" s="40"/>
      <c r="L4" s="41"/>
    </row>
    <row r="5" spans="1:12" ht="15" customHeight="1" x14ac:dyDescent="0.2">
      <c r="A5"/>
      <c r="B5"/>
      <c r="C5"/>
      <c r="D5"/>
      <c r="E5"/>
      <c r="G5" s="39"/>
      <c r="K5" s="45"/>
      <c r="L5" s="41"/>
    </row>
    <row r="6" spans="1:12" ht="15" customHeight="1" x14ac:dyDescent="0.2">
      <c r="A6"/>
      <c r="B6"/>
      <c r="C6"/>
      <c r="D6"/>
      <c r="E6"/>
      <c r="G6" s="39"/>
      <c r="K6" s="45"/>
      <c r="L6" s="41"/>
    </row>
    <row r="7" spans="1:12" ht="15" customHeight="1" x14ac:dyDescent="0.2">
      <c r="A7"/>
      <c r="B7"/>
      <c r="C7"/>
      <c r="D7"/>
      <c r="E7"/>
      <c r="G7" s="39"/>
      <c r="K7" s="45"/>
      <c r="L7" s="41"/>
    </row>
    <row r="8" spans="1:12" x14ac:dyDescent="0.2">
      <c r="A8"/>
      <c r="B8"/>
      <c r="C8"/>
      <c r="D8"/>
      <c r="E8"/>
    </row>
    <row r="9" spans="1:12" x14ac:dyDescent="0.2">
      <c r="A9"/>
      <c r="B9"/>
      <c r="C9"/>
      <c r="D9"/>
      <c r="E9"/>
    </row>
    <row r="10" spans="1:12" ht="13.5" thickBot="1" x14ac:dyDescent="0.25"/>
    <row r="11" spans="1:12" s="53" customFormat="1" ht="24.75" customHeight="1" thickTop="1" thickBot="1" x14ac:dyDescent="0.25">
      <c r="A11" s="49" t="s">
        <v>39</v>
      </c>
      <c r="B11" s="50"/>
      <c r="C11" s="51"/>
      <c r="D11" s="51"/>
      <c r="E11" s="51"/>
      <c r="F11" s="51"/>
      <c r="G11" s="52"/>
    </row>
    <row r="12" spans="1:12" s="53" customFormat="1" ht="24.75" customHeight="1" thickTop="1" thickBot="1" x14ac:dyDescent="0.25">
      <c r="A12" s="1469"/>
      <c r="B12" s="1674"/>
      <c r="C12" s="1675"/>
      <c r="D12" s="1675"/>
      <c r="E12" s="1675"/>
      <c r="F12" s="1675"/>
      <c r="G12" s="1675"/>
    </row>
    <row r="13" spans="1:12" s="53" customFormat="1" ht="21" customHeight="1" thickTop="1" x14ac:dyDescent="0.2">
      <c r="A13" s="54" t="s">
        <v>40</v>
      </c>
      <c r="B13" s="55" t="s">
        <v>41</v>
      </c>
      <c r="C13" s="56" t="s">
        <v>42</v>
      </c>
      <c r="D13" s="56" t="s">
        <v>43</v>
      </c>
      <c r="E13" s="56" t="s">
        <v>44</v>
      </c>
      <c r="F13" s="56" t="s">
        <v>45</v>
      </c>
      <c r="G13" s="57" t="s">
        <v>46</v>
      </c>
    </row>
    <row r="14" spans="1:12" s="53" customFormat="1" ht="15" customHeight="1" x14ac:dyDescent="0.2">
      <c r="A14" s="1071">
        <f>'Cash Flow Analysis'!B65</f>
        <v>1</v>
      </c>
      <c r="B14" s="1471">
        <f>IF(B13="","",IF('Cash Flow Analysis'!$B$31=0,"N/A",IF(A14=1,1,IF(A13=debt_period,"",B13+1))))</f>
        <v>1</v>
      </c>
      <c r="C14" s="1074">
        <f ca="1">IF(OR(A14="",B14="",B14="N/A"),"",IF(B14=1,-'Cash Flow Analysis'!G65,IF(B14="N/A",0,G13)))</f>
        <v>114481807.47900446</v>
      </c>
      <c r="D14" s="1074">
        <f ca="1">IF(debt_period=0,
E14+F14,
IF(OR(A14="",B14="",B14="N/A"),"",IF(B14=1,((debt_interest*(1+debt_interest)^debt_period)/((1+debt_interest)^debt_period-1))*(-'Cash Flow Analysis'!G65),IF(G13=0,"",D13))))</f>
        <v>4235826.8767231647</v>
      </c>
      <c r="E14" s="1074">
        <f t="shared" ref="E14:E57" ca="1" si="0">IF(OR(A14="",B14="",B14="N/A"),"",C14*debt_interest)</f>
        <v>4235826.8767231647</v>
      </c>
      <c r="F14" s="1074">
        <f>IF(debt_period=0,
IF(B14=(anal_period+construct),0,0),
IF(OR(A14="",B14="",B14="N/A"),"",D14-E14))</f>
        <v>0</v>
      </c>
      <c r="G14" s="1472">
        <f t="shared" ref="G14:G57" ca="1" si="1">IF(OR(A14="",B14="",B14="N/A"),"",C14-F14)</f>
        <v>114481807.47900446</v>
      </c>
    </row>
    <row r="15" spans="1:12" s="53" customFormat="1" ht="15" customHeight="1" x14ac:dyDescent="0.2">
      <c r="A15" s="1071">
        <f>'Cash Flow Analysis'!B66</f>
        <v>2</v>
      </c>
      <c r="B15" s="1471">
        <f>IF(B14="","",IF('Cash Flow Analysis'!$B$31=0,"N/A",IF(A15=1,1,IF(A14=debt_period,"",B14+1))))</f>
        <v>2</v>
      </c>
      <c r="C15" s="1074">
        <f ca="1">IF(OR(A15="",B15="",B15="N/A"),"",IF(B15=1,-'Cash Flow Analysis'!G66,IF(B15="N/A",0,G14)))</f>
        <v>114481807.47900446</v>
      </c>
      <c r="D15" s="1074">
        <f ca="1">IF(debt_period=0,
E15+F15,
IF(OR(A15="",B15="",B15="N/A"),"",IF(B15=1,((debt_interest*(1+debt_interest)^debt_period)/((1+debt_interest)^debt_period-1))*(-'Cash Flow Analysis'!G66),IF(G14=0,"",D14))))</f>
        <v>4235826.8767231647</v>
      </c>
      <c r="E15" s="1074">
        <f t="shared" ca="1" si="0"/>
        <v>4235826.8767231647</v>
      </c>
      <c r="F15" s="1074">
        <f>IF(debt_period=0,
IF(B15=(anal_period+construct),C14,0),
IF(OR(A15="",B15="",B15="N/A"),"",D15-E15))</f>
        <v>0</v>
      </c>
      <c r="G15" s="1472">
        <f t="shared" ca="1" si="1"/>
        <v>114481807.47900446</v>
      </c>
    </row>
    <row r="16" spans="1:12" s="53" customFormat="1" ht="15" customHeight="1" x14ac:dyDescent="0.2">
      <c r="A16" s="1071">
        <f>'Cash Flow Analysis'!B67</f>
        <v>3</v>
      </c>
      <c r="B16" s="1471">
        <f>IF(B15="","",IF('Cash Flow Analysis'!$B$31=0,"N/A",IF(A16=1,1,IF(A15=debt_period,"",B15+1))))</f>
        <v>3</v>
      </c>
      <c r="C16" s="1074">
        <f ca="1">IF(OR(A16="",B16="",B16="N/A"),"",IF(B16=1,-'Cash Flow Analysis'!G67,IF(B16="N/A",0,G15)))</f>
        <v>114481807.47900446</v>
      </c>
      <c r="D16" s="1074">
        <f ca="1">IF(debt_period=0,
E16+F16,
IF(OR(A16="",B16="",B16="N/A"),"",IF(B16=1,((debt_interest*(1+debt_interest)^debt_period)/((1+debt_interest)^debt_period-1))*(-'Cash Flow Analysis'!G67),IF(G15=0,"",D15))))</f>
        <v>4235826.8767231647</v>
      </c>
      <c r="E16" s="1074">
        <f t="shared" ca="1" si="0"/>
        <v>4235826.8767231647</v>
      </c>
      <c r="F16" s="1074">
        <f t="shared" ref="F16:F57" si="2">IF(debt_period=0,
IF(B16=(anal_period+construct),C16,0),
IF(OR(A16="",B16="",B16="N/A"),"",D16-E16))</f>
        <v>0</v>
      </c>
      <c r="G16" s="1472">
        <f t="shared" ca="1" si="1"/>
        <v>114481807.47900446</v>
      </c>
    </row>
    <row r="17" spans="1:7" s="53" customFormat="1" ht="15" customHeight="1" x14ac:dyDescent="0.2">
      <c r="A17" s="1071">
        <f>'Cash Flow Analysis'!B68</f>
        <v>4</v>
      </c>
      <c r="B17" s="1471">
        <f>IF(B16="","",IF('Cash Flow Analysis'!$B$31=0,"N/A",IF(A17=1,1,IF(A16=debt_period,"",B16+1))))</f>
        <v>4</v>
      </c>
      <c r="C17" s="1074">
        <f ca="1">IF(OR(A17="",B17="",B17="N/A"),"",IF(B17=1,-'Cash Flow Analysis'!G68,IF(B17="N/A",0,G16)))</f>
        <v>114481807.47900446</v>
      </c>
      <c r="D17" s="1074">
        <f ca="1">IF(debt_period=0,
E17+F17,
IF(OR(A17="",B17="",B17="N/A"),"",IF(B17=1,((debt_interest*(1+debt_interest)^debt_period)/((1+debt_interest)^debt_period-1))*(-'Cash Flow Analysis'!G68),IF(G16=0,"",D16))))</f>
        <v>4235826.8767231647</v>
      </c>
      <c r="E17" s="1074">
        <f t="shared" ca="1" si="0"/>
        <v>4235826.8767231647</v>
      </c>
      <c r="F17" s="1074">
        <f t="shared" si="2"/>
        <v>0</v>
      </c>
      <c r="G17" s="1472">
        <f t="shared" ca="1" si="1"/>
        <v>114481807.47900446</v>
      </c>
    </row>
    <row r="18" spans="1:7" s="53" customFormat="1" ht="15" customHeight="1" x14ac:dyDescent="0.2">
      <c r="A18" s="1071">
        <f>'Cash Flow Analysis'!B69</f>
        <v>5</v>
      </c>
      <c r="B18" s="1471">
        <f>IF(B17="","",IF('Cash Flow Analysis'!$B$31=0,"N/A",IF(A18=1,1,IF(A17=debt_period,"",B17+1))))</f>
        <v>5</v>
      </c>
      <c r="C18" s="1074">
        <f ca="1">IF(OR(A18="",B18="",B18="N/A"),"",IF(B18=1,-'Cash Flow Analysis'!G69,IF(B18="N/A",0,G17)))</f>
        <v>114481807.47900446</v>
      </c>
      <c r="D18" s="1074">
        <f ca="1">IF(debt_period=0,
E18+F18,
IF(OR(A18="",B18="",B18="N/A"),"",IF(B18=1,((debt_interest*(1+debt_interest)^debt_period)/((1+debt_interest)^debt_period-1))*(-'Cash Flow Analysis'!G69),IF(G17=0,"",D17))))</f>
        <v>4235826.8767231647</v>
      </c>
      <c r="E18" s="1074">
        <f t="shared" ca="1" si="0"/>
        <v>4235826.8767231647</v>
      </c>
      <c r="F18" s="1074">
        <f t="shared" si="2"/>
        <v>0</v>
      </c>
      <c r="G18" s="1472">
        <f t="shared" ca="1" si="1"/>
        <v>114481807.47900446</v>
      </c>
    </row>
    <row r="19" spans="1:7" s="53" customFormat="1" ht="15" customHeight="1" x14ac:dyDescent="0.2">
      <c r="A19" s="1071">
        <f>'Cash Flow Analysis'!B70</f>
        <v>6</v>
      </c>
      <c r="B19" s="1471">
        <f>IF(B18="","",IF('Cash Flow Analysis'!$B$31=0,"N/A",IF(A19=1,1,IF(A18=debt_period,"",B18+1))))</f>
        <v>6</v>
      </c>
      <c r="C19" s="1074">
        <f ca="1">IF(OR(A19="",B19="",B19="N/A"),"",IF(B19=1,-'Cash Flow Analysis'!G70,IF(B19="N/A",0,G18)))</f>
        <v>114481807.47900446</v>
      </c>
      <c r="D19" s="1074">
        <f ca="1">IF(debt_period=0,
E19+F19,
IF(OR(A19="",B19="",B19="N/A"),"",IF(B19=1,((debt_interest*(1+debt_interest)^debt_period)/((1+debt_interest)^debt_period-1))*(-'Cash Flow Analysis'!G70),IF(G18=0,"",D18))))</f>
        <v>4235826.8767231647</v>
      </c>
      <c r="E19" s="1074">
        <f t="shared" ca="1" si="0"/>
        <v>4235826.8767231647</v>
      </c>
      <c r="F19" s="1074">
        <f t="shared" si="2"/>
        <v>0</v>
      </c>
      <c r="G19" s="1472">
        <f t="shared" ca="1" si="1"/>
        <v>114481807.47900446</v>
      </c>
    </row>
    <row r="20" spans="1:7" s="53" customFormat="1" ht="15" customHeight="1" x14ac:dyDescent="0.2">
      <c r="A20" s="1071">
        <f>'Cash Flow Analysis'!B71</f>
        <v>7</v>
      </c>
      <c r="B20" s="1471">
        <f>IF(B19="","",IF('Cash Flow Analysis'!$B$31=0,"N/A",IF(A20=1,1,IF(A19=debt_period,"",B19+1))))</f>
        <v>7</v>
      </c>
      <c r="C20" s="1074">
        <f ca="1">IF(OR(A20="",B20="",B20="N/A"),"",IF(B20=1,-'Cash Flow Analysis'!G71,IF(B20="N/A",0,G19)))</f>
        <v>114481807.47900446</v>
      </c>
      <c r="D20" s="1074">
        <f ca="1">IF(debt_period=0,
E20+F20,
IF(OR(A20="",B20="",B20="N/A"),"",IF(B20=1,((debt_interest*(1+debt_interest)^debt_period)/((1+debt_interest)^debt_period-1))*(-'Cash Flow Analysis'!G71),IF(G19=0,"",D19))))</f>
        <v>4235826.8767231647</v>
      </c>
      <c r="E20" s="1074">
        <f t="shared" ca="1" si="0"/>
        <v>4235826.8767231647</v>
      </c>
      <c r="F20" s="1074">
        <f t="shared" si="2"/>
        <v>0</v>
      </c>
      <c r="G20" s="1472">
        <f t="shared" ca="1" si="1"/>
        <v>114481807.47900446</v>
      </c>
    </row>
    <row r="21" spans="1:7" s="53" customFormat="1" ht="15" customHeight="1" x14ac:dyDescent="0.2">
      <c r="A21" s="1071">
        <f>'Cash Flow Analysis'!B72</f>
        <v>8</v>
      </c>
      <c r="B21" s="1471">
        <f>IF(B20="","",IF('Cash Flow Analysis'!$B$31=0,"N/A",IF(A21=1,1,IF(A20=debt_period,"",B20+1))))</f>
        <v>8</v>
      </c>
      <c r="C21" s="1074">
        <f ca="1">IF(OR(A21="",B21="",B21="N/A"),"",IF(B21=1,-'Cash Flow Analysis'!G72,IF(B21="N/A",0,G20)))</f>
        <v>114481807.47900446</v>
      </c>
      <c r="D21" s="1074">
        <f ca="1">IF(debt_period=0,
E21+F21,
IF(OR(A21="",B21="",B21="N/A"),"",IF(B21=1,((debt_interest*(1+debt_interest)^debt_period)/((1+debt_interest)^debt_period-1))*(-'Cash Flow Analysis'!G72),IF(G20=0,"",D20))))</f>
        <v>4235826.8767231647</v>
      </c>
      <c r="E21" s="1074">
        <f t="shared" ca="1" si="0"/>
        <v>4235826.8767231647</v>
      </c>
      <c r="F21" s="1074">
        <f t="shared" si="2"/>
        <v>0</v>
      </c>
      <c r="G21" s="1472">
        <f t="shared" ca="1" si="1"/>
        <v>114481807.47900446</v>
      </c>
    </row>
    <row r="22" spans="1:7" s="53" customFormat="1" ht="15" customHeight="1" x14ac:dyDescent="0.2">
      <c r="A22" s="1071">
        <f>'Cash Flow Analysis'!B73</f>
        <v>9</v>
      </c>
      <c r="B22" s="1471">
        <f>IF(B21="","",IF('Cash Flow Analysis'!$B$31=0,"N/A",IF(A22=1,1,IF(A21=debt_period,"",B21+1))))</f>
        <v>9</v>
      </c>
      <c r="C22" s="1074">
        <f ca="1">IF(OR(A22="",B22="",B22="N/A"),"",IF(B22=1,-'Cash Flow Analysis'!G73,IF(B22="N/A",0,G21)))</f>
        <v>114481807.47900446</v>
      </c>
      <c r="D22" s="1074">
        <f ca="1">IF(debt_period=0,
E22+F22,
IF(OR(A22="",B22="",B22="N/A"),"",IF(B22=1,((debt_interest*(1+debt_interest)^debt_period)/((1+debt_interest)^debt_period-1))*(-'Cash Flow Analysis'!G73),IF(G21=0,"",D21))))</f>
        <v>4235826.8767231647</v>
      </c>
      <c r="E22" s="1074">
        <f t="shared" ca="1" si="0"/>
        <v>4235826.8767231647</v>
      </c>
      <c r="F22" s="1074">
        <f t="shared" si="2"/>
        <v>0</v>
      </c>
      <c r="G22" s="1472">
        <f t="shared" ca="1" si="1"/>
        <v>114481807.47900446</v>
      </c>
    </row>
    <row r="23" spans="1:7" s="53" customFormat="1" ht="15" customHeight="1" x14ac:dyDescent="0.2">
      <c r="A23" s="1071">
        <f>'Cash Flow Analysis'!B74</f>
        <v>10</v>
      </c>
      <c r="B23" s="1471">
        <f>IF(B22="","",IF('Cash Flow Analysis'!$B$31=0,"N/A",IF(A23=1,1,IF(A22=debt_period,"",B22+1))))</f>
        <v>10</v>
      </c>
      <c r="C23" s="1074">
        <f ca="1">IF(OR(A23="",B23="",B23="N/A"),"",IF(B23=1,-'Cash Flow Analysis'!G74,IF(B23="N/A",0,G22)))</f>
        <v>114481807.47900446</v>
      </c>
      <c r="D23" s="1074">
        <f ca="1">IF(debt_period=0,
E23+F23,
IF(OR(A23="",B23="",B23="N/A"),"",IF(B23=1,((debt_interest*(1+debt_interest)^debt_period)/((1+debt_interest)^debt_period-1))*(-'Cash Flow Analysis'!G74),IF(G22=0,"",D22))))</f>
        <v>4235826.8767231647</v>
      </c>
      <c r="E23" s="1074">
        <f t="shared" ca="1" si="0"/>
        <v>4235826.8767231647</v>
      </c>
      <c r="F23" s="1074">
        <f t="shared" si="2"/>
        <v>0</v>
      </c>
      <c r="G23" s="1472">
        <f t="shared" ca="1" si="1"/>
        <v>114481807.47900446</v>
      </c>
    </row>
    <row r="24" spans="1:7" s="53" customFormat="1" ht="15" customHeight="1" x14ac:dyDescent="0.2">
      <c r="A24" s="1071">
        <f>'Cash Flow Analysis'!B75</f>
        <v>11</v>
      </c>
      <c r="B24" s="1471">
        <f>IF(B23="","",IF('Cash Flow Analysis'!$B$31=0,"N/A",IF(A24=1,1,IF(A23=debt_period,"",B23+1))))</f>
        <v>11</v>
      </c>
      <c r="C24" s="1074">
        <f ca="1">IF(OR(A24="",B24="",B24="N/A"),"",IF(B24=1,-'Cash Flow Analysis'!G75,IF(B24="N/A",0,G23)))</f>
        <v>114481807.47900446</v>
      </c>
      <c r="D24" s="1074">
        <f ca="1">IF(debt_period=0,
E24+F24,
IF(OR(A24="",B24="",B24="N/A"),"",IF(B24=1,((debt_interest*(1+debt_interest)^debt_period)/((1+debt_interest)^debt_period-1))*(-'Cash Flow Analysis'!G75),IF(G23=0,"",D23))))</f>
        <v>4235826.8767231647</v>
      </c>
      <c r="E24" s="1074">
        <f t="shared" ca="1" si="0"/>
        <v>4235826.8767231647</v>
      </c>
      <c r="F24" s="1074">
        <f t="shared" si="2"/>
        <v>0</v>
      </c>
      <c r="G24" s="1472">
        <f t="shared" ca="1" si="1"/>
        <v>114481807.47900446</v>
      </c>
    </row>
    <row r="25" spans="1:7" s="53" customFormat="1" ht="15" customHeight="1" x14ac:dyDescent="0.2">
      <c r="A25" s="1071">
        <f>'Cash Flow Analysis'!B76</f>
        <v>12</v>
      </c>
      <c r="B25" s="1471">
        <f>IF(B24="","",IF('Cash Flow Analysis'!$B$31=0,"N/A",IF(A25=1,1,IF(A24=debt_period,"",B24+1))))</f>
        <v>12</v>
      </c>
      <c r="C25" s="1074">
        <f ca="1">IF(OR(A25="",B25="",B25="N/A"),"",IF(B25=1,-'Cash Flow Analysis'!G76,IF(B25="N/A",0,G24)))</f>
        <v>114481807.47900446</v>
      </c>
      <c r="D25" s="1074">
        <f ca="1">IF(debt_period=0,
E25+F25,
IF(OR(A25="",B25="",B25="N/A"),"",IF(B25=1,((debt_interest*(1+debt_interest)^debt_period)/((1+debt_interest)^debt_period-1))*(-'Cash Flow Analysis'!G76),IF(G24=0,"",D24))))</f>
        <v>4235826.8767231647</v>
      </c>
      <c r="E25" s="1074">
        <f t="shared" ca="1" si="0"/>
        <v>4235826.8767231647</v>
      </c>
      <c r="F25" s="1074">
        <f t="shared" si="2"/>
        <v>0</v>
      </c>
      <c r="G25" s="1472">
        <f t="shared" ca="1" si="1"/>
        <v>114481807.47900446</v>
      </c>
    </row>
    <row r="26" spans="1:7" s="53" customFormat="1" ht="15" customHeight="1" x14ac:dyDescent="0.2">
      <c r="A26" s="1071">
        <f>'Cash Flow Analysis'!B77</f>
        <v>13</v>
      </c>
      <c r="B26" s="1471">
        <f>IF(B25="","",IF('Cash Flow Analysis'!$B$31=0,"N/A",IF(A26=1,1,IF(A25=debt_period,"",B25+1))))</f>
        <v>13</v>
      </c>
      <c r="C26" s="1074">
        <f ca="1">IF(OR(A26="",B26="",B26="N/A"),"",IF(B26=1,-'Cash Flow Analysis'!G77,IF(B26="N/A",0,G25)))</f>
        <v>114481807.47900446</v>
      </c>
      <c r="D26" s="1074">
        <f ca="1">IF(debt_period=0,
E26+F26,
IF(OR(A26="",B26="",B26="N/A"),"",IF(B26=1,((debt_interest*(1+debt_interest)^debt_period)/((1+debt_interest)^debt_period-1))*(-'Cash Flow Analysis'!G77),IF(G25=0,"",D25))))</f>
        <v>4235826.8767231647</v>
      </c>
      <c r="E26" s="1074">
        <f t="shared" ca="1" si="0"/>
        <v>4235826.8767231647</v>
      </c>
      <c r="F26" s="1074">
        <f t="shared" si="2"/>
        <v>0</v>
      </c>
      <c r="G26" s="1472">
        <f t="shared" ca="1" si="1"/>
        <v>114481807.47900446</v>
      </c>
    </row>
    <row r="27" spans="1:7" s="53" customFormat="1" ht="15" customHeight="1" x14ac:dyDescent="0.2">
      <c r="A27" s="1071">
        <f>'Cash Flow Analysis'!B78</f>
        <v>14</v>
      </c>
      <c r="B27" s="1471">
        <f>IF(B26="","",IF('Cash Flow Analysis'!$B$31=0,"N/A",IF(A27=1,1,IF(A26=debt_period,"",B26+1))))</f>
        <v>14</v>
      </c>
      <c r="C27" s="1074">
        <f ca="1">IF(OR(A27="",B27="",B27="N/A"),"",IF(B27=1,-'Cash Flow Analysis'!G78,IF(B27="N/A",0,G26)))</f>
        <v>114481807.47900446</v>
      </c>
      <c r="D27" s="1074">
        <f ca="1">IF(debt_period=0,
E27+F27,
IF(OR(A27="",B27="",B27="N/A"),"",IF(B27=1,((debt_interest*(1+debt_interest)^debt_period)/((1+debt_interest)^debt_period-1))*(-'Cash Flow Analysis'!G78),IF(G26=0,"",D26))))</f>
        <v>4235826.8767231647</v>
      </c>
      <c r="E27" s="1074">
        <f t="shared" ca="1" si="0"/>
        <v>4235826.8767231647</v>
      </c>
      <c r="F27" s="1074">
        <f t="shared" si="2"/>
        <v>0</v>
      </c>
      <c r="G27" s="1472">
        <f t="shared" ca="1" si="1"/>
        <v>114481807.47900446</v>
      </c>
    </row>
    <row r="28" spans="1:7" s="53" customFormat="1" ht="15" customHeight="1" x14ac:dyDescent="0.2">
      <c r="A28" s="1071">
        <f>'Cash Flow Analysis'!B79</f>
        <v>15</v>
      </c>
      <c r="B28" s="1471">
        <f>IF(B27="","",IF('Cash Flow Analysis'!$B$31=0,"N/A",IF(A28=1,1,IF(A27=debt_period,"",B27+1))))</f>
        <v>15</v>
      </c>
      <c r="C28" s="1074">
        <f ca="1">IF(OR(A28="",B28="",B28="N/A"),"",IF(B28=1,-'Cash Flow Analysis'!G79,IF(B28="N/A",0,G27)))</f>
        <v>114481807.47900446</v>
      </c>
      <c r="D28" s="1074">
        <f ca="1">IF(debt_period=0,
E28+F28,
IF(OR(A28="",B28="",B28="N/A"),"",IF(B28=1,((debt_interest*(1+debt_interest)^debt_period)/((1+debt_interest)^debt_period-1))*(-'Cash Flow Analysis'!G79),IF(G27=0,"",D27))))</f>
        <v>4235826.8767231647</v>
      </c>
      <c r="E28" s="1074">
        <f t="shared" ca="1" si="0"/>
        <v>4235826.8767231647</v>
      </c>
      <c r="F28" s="1074">
        <f t="shared" si="2"/>
        <v>0</v>
      </c>
      <c r="G28" s="1472">
        <f t="shared" ca="1" si="1"/>
        <v>114481807.47900446</v>
      </c>
    </row>
    <row r="29" spans="1:7" s="53" customFormat="1" ht="15" customHeight="1" x14ac:dyDescent="0.2">
      <c r="A29" s="1071">
        <f>'Cash Flow Analysis'!B80</f>
        <v>16</v>
      </c>
      <c r="B29" s="1471">
        <f>IF(B28="","",IF('Cash Flow Analysis'!$B$31=0,"N/A",IF(A29=1,1,IF(A28=debt_period,"",B28+1))))</f>
        <v>16</v>
      </c>
      <c r="C29" s="1074">
        <f ca="1">IF(OR(A29="",B29="",B29="N/A"),"",IF(B29=1,-'Cash Flow Analysis'!G80,IF(B29="N/A",0,G28)))</f>
        <v>114481807.47900446</v>
      </c>
      <c r="D29" s="1074">
        <f ca="1">IF(debt_period=0,
E29+F29,
IF(OR(A29="",B29="",B29="N/A"),"",IF(B29=1,((debt_interest*(1+debt_interest)^debt_period)/((1+debt_interest)^debt_period-1))*(-'Cash Flow Analysis'!G80),IF(G28=0,"",D28))))</f>
        <v>4235826.8767231647</v>
      </c>
      <c r="E29" s="1074">
        <f t="shared" ca="1" si="0"/>
        <v>4235826.8767231647</v>
      </c>
      <c r="F29" s="1074">
        <f t="shared" si="2"/>
        <v>0</v>
      </c>
      <c r="G29" s="1472">
        <f t="shared" ca="1" si="1"/>
        <v>114481807.47900446</v>
      </c>
    </row>
    <row r="30" spans="1:7" s="53" customFormat="1" ht="15" customHeight="1" x14ac:dyDescent="0.2">
      <c r="A30" s="1071">
        <f>'Cash Flow Analysis'!B81</f>
        <v>17</v>
      </c>
      <c r="B30" s="1471">
        <f>IF(B29="","",IF('Cash Flow Analysis'!$B$31=0,"N/A",IF(A30=1,1,IF(A29=debt_period,"",B29+1))))</f>
        <v>17</v>
      </c>
      <c r="C30" s="1074">
        <f ca="1">IF(OR(A30="",B30="",B30="N/A"),"",IF(B30=1,-'Cash Flow Analysis'!G81,IF(B30="N/A",0,G29)))</f>
        <v>114481807.47900446</v>
      </c>
      <c r="D30" s="1074">
        <f ca="1">IF(debt_period=0,
E30+F30,
IF(OR(A30="",B30="",B30="N/A"),"",IF(B30=1,((debt_interest*(1+debt_interest)^debt_period)/((1+debt_interest)^debt_period-1))*(-'Cash Flow Analysis'!G81),IF(G29=0,"",D29))))</f>
        <v>4235826.8767231647</v>
      </c>
      <c r="E30" s="1074">
        <f t="shared" ca="1" si="0"/>
        <v>4235826.8767231647</v>
      </c>
      <c r="F30" s="1074">
        <f t="shared" si="2"/>
        <v>0</v>
      </c>
      <c r="G30" s="1472">
        <f t="shared" ca="1" si="1"/>
        <v>114481807.47900446</v>
      </c>
    </row>
    <row r="31" spans="1:7" s="53" customFormat="1" ht="15" customHeight="1" x14ac:dyDescent="0.2">
      <c r="A31" s="1071">
        <f>'Cash Flow Analysis'!B82</f>
        <v>18</v>
      </c>
      <c r="B31" s="1471">
        <f>IF(B30="","",IF('Cash Flow Analysis'!$B$31=0,"N/A",IF(A31=1,1,IF(A30=debt_period,"",B30+1))))</f>
        <v>18</v>
      </c>
      <c r="C31" s="1074">
        <f ca="1">IF(OR(A31="",B31="",B31="N/A"),"",IF(B31=1,-'Cash Flow Analysis'!G82,IF(B31="N/A",0,G30)))</f>
        <v>114481807.47900446</v>
      </c>
      <c r="D31" s="1074">
        <f ca="1">IF(debt_period=0,
E31+F31,
IF(OR(A31="",B31="",B31="N/A"),"",IF(B31=1,((debt_interest*(1+debt_interest)^debt_period)/((1+debt_interest)^debt_period-1))*(-'Cash Flow Analysis'!G82),IF(G30=0,"",D30))))</f>
        <v>4235826.8767231647</v>
      </c>
      <c r="E31" s="1074">
        <f t="shared" ca="1" si="0"/>
        <v>4235826.8767231647</v>
      </c>
      <c r="F31" s="1074">
        <f t="shared" si="2"/>
        <v>0</v>
      </c>
      <c r="G31" s="1472">
        <f t="shared" ca="1" si="1"/>
        <v>114481807.47900446</v>
      </c>
    </row>
    <row r="32" spans="1:7" s="53" customFormat="1" ht="15" customHeight="1" x14ac:dyDescent="0.2">
      <c r="A32" s="1071">
        <f>'Cash Flow Analysis'!B83</f>
        <v>19</v>
      </c>
      <c r="B32" s="1471">
        <f>IF(B31="","",IF('Cash Flow Analysis'!$B$31=0,"N/A",IF(A32=1,1,IF(A31=debt_period,"",B31+1))))</f>
        <v>19</v>
      </c>
      <c r="C32" s="1074">
        <f ca="1">IF(OR(A32="",B32="",B32="N/A"),"",IF(B32=1,-'Cash Flow Analysis'!G83,IF(B32="N/A",0,G31)))</f>
        <v>114481807.47900446</v>
      </c>
      <c r="D32" s="1074">
        <f ca="1">IF(debt_period=0,
E32+F32,
IF(OR(A32="",B32="",B32="N/A"),"",IF(B32=1,((debt_interest*(1+debt_interest)^debt_period)/((1+debt_interest)^debt_period-1))*(-'Cash Flow Analysis'!G83),IF(G31=0,"",D31))))</f>
        <v>4235826.8767231647</v>
      </c>
      <c r="E32" s="1074">
        <f t="shared" ca="1" si="0"/>
        <v>4235826.8767231647</v>
      </c>
      <c r="F32" s="1074">
        <f t="shared" si="2"/>
        <v>0</v>
      </c>
      <c r="G32" s="1472">
        <f t="shared" ca="1" si="1"/>
        <v>114481807.47900446</v>
      </c>
    </row>
    <row r="33" spans="1:7" s="53" customFormat="1" ht="15" customHeight="1" x14ac:dyDescent="0.2">
      <c r="A33" s="1071">
        <f>'Cash Flow Analysis'!B84</f>
        <v>20</v>
      </c>
      <c r="B33" s="1471">
        <f>IF(B32="","",IF('Cash Flow Analysis'!$B$31=0,"N/A",IF(A33=1,1,IF(A32=debt_period,"",B32+1))))</f>
        <v>20</v>
      </c>
      <c r="C33" s="1074">
        <f ca="1">IF(OR(A33="",B33="",B33="N/A"),"",IF(B33=1,-'Cash Flow Analysis'!G84,IF(B33="N/A",0,G32)))</f>
        <v>114481807.47900446</v>
      </c>
      <c r="D33" s="1074">
        <f ca="1">IF(debt_period=0,
E33+F33,
IF(OR(A33="",B33="",B33="N/A"),"",IF(B33=1,((debt_interest*(1+debt_interest)^debt_period)/((1+debt_interest)^debt_period-1))*(-'Cash Flow Analysis'!G84),IF(G32=0,"",D32))))</f>
        <v>4235826.8767231647</v>
      </c>
      <c r="E33" s="1074">
        <f t="shared" ca="1" si="0"/>
        <v>4235826.8767231647</v>
      </c>
      <c r="F33" s="1074">
        <f t="shared" si="2"/>
        <v>0</v>
      </c>
      <c r="G33" s="1472">
        <f t="shared" ca="1" si="1"/>
        <v>114481807.47900446</v>
      </c>
    </row>
    <row r="34" spans="1:7" s="53" customFormat="1" ht="15" customHeight="1" x14ac:dyDescent="0.2">
      <c r="A34" s="1071">
        <f>'Cash Flow Analysis'!B85</f>
        <v>21</v>
      </c>
      <c r="B34" s="1471">
        <f>IF(B33="","",IF('Cash Flow Analysis'!$B$31=0,"N/A",IF(A34=1,1,IF(A33=debt_period,"",B33+1))))</f>
        <v>21</v>
      </c>
      <c r="C34" s="1074">
        <f ca="1">IF(OR(A34="",B34="",B34="N/A"),"",IF(B34=1,-'Cash Flow Analysis'!G85,IF(B34="N/A",0,G33)))</f>
        <v>114481807.47900446</v>
      </c>
      <c r="D34" s="1074">
        <f ca="1">IF(debt_period=0,
E34+F34,
IF(OR(A34="",B34="",B34="N/A"),"",IF(B34=1,((debt_interest*(1+debt_interest)^debt_period)/((1+debt_interest)^debt_period-1))*(-'Cash Flow Analysis'!G85),IF(G33=0,"",D33))))</f>
        <v>4235826.8767231647</v>
      </c>
      <c r="E34" s="1074">
        <f t="shared" ca="1" si="0"/>
        <v>4235826.8767231647</v>
      </c>
      <c r="F34" s="1074">
        <f t="shared" si="2"/>
        <v>0</v>
      </c>
      <c r="G34" s="1472">
        <f t="shared" ca="1" si="1"/>
        <v>114481807.47900446</v>
      </c>
    </row>
    <row r="35" spans="1:7" s="53" customFormat="1" ht="15" customHeight="1" x14ac:dyDescent="0.2">
      <c r="A35" s="1071">
        <f>'Cash Flow Analysis'!B86</f>
        <v>22</v>
      </c>
      <c r="B35" s="1471">
        <f>IF(B34="","",IF('Cash Flow Analysis'!$B$31=0,"N/A",IF(A35=1,1,IF(A34=debt_period,"",B34+1))))</f>
        <v>22</v>
      </c>
      <c r="C35" s="1074">
        <f ca="1">IF(OR(A35="",B35="",B35="N/A"),"",IF(B35=1,-'Cash Flow Analysis'!G86,IF(B35="N/A",0,G34)))</f>
        <v>114481807.47900446</v>
      </c>
      <c r="D35" s="1074">
        <f ca="1">IF(debt_period=0,
E35+F35,
IF(OR(A35="",B35="",B35="N/A"),"",IF(B35=1,((debt_interest*(1+debt_interest)^debt_period)/((1+debt_interest)^debt_period-1))*(-'Cash Flow Analysis'!G86),IF(G34=0,"",D34))))</f>
        <v>4235826.8767231647</v>
      </c>
      <c r="E35" s="1074">
        <f t="shared" ca="1" si="0"/>
        <v>4235826.8767231647</v>
      </c>
      <c r="F35" s="1074">
        <f t="shared" si="2"/>
        <v>0</v>
      </c>
      <c r="G35" s="1472">
        <f t="shared" ca="1" si="1"/>
        <v>114481807.47900446</v>
      </c>
    </row>
    <row r="36" spans="1:7" s="53" customFormat="1" ht="15" customHeight="1" x14ac:dyDescent="0.2">
      <c r="A36" s="1071">
        <f>'Cash Flow Analysis'!B87</f>
        <v>23</v>
      </c>
      <c r="B36" s="1471">
        <f>IF(B35="","",IF('Cash Flow Analysis'!$B$31=0,"N/A",IF(A36=1,1,IF(A35=debt_period,"",B35+1))))</f>
        <v>23</v>
      </c>
      <c r="C36" s="1074">
        <f ca="1">IF(OR(A36="",B36="",B36="N/A"),"",IF(B36=1,-'Cash Flow Analysis'!G87,IF(B36="N/A",0,G35)))</f>
        <v>114481807.47900446</v>
      </c>
      <c r="D36" s="1074">
        <f ca="1">IF(debt_period=0,
E36+F36,
IF(OR(A36="",B36="",B36="N/A"),"",IF(B36=1,((debt_interest*(1+debt_interest)^debt_period)/((1+debt_interest)^debt_period-1))*(-'Cash Flow Analysis'!G87),IF(G35=0,"",D35))))</f>
        <v>4235826.8767231647</v>
      </c>
      <c r="E36" s="1074">
        <f t="shared" ca="1" si="0"/>
        <v>4235826.8767231647</v>
      </c>
      <c r="F36" s="1074">
        <f t="shared" si="2"/>
        <v>0</v>
      </c>
      <c r="G36" s="1472">
        <f t="shared" ca="1" si="1"/>
        <v>114481807.47900446</v>
      </c>
    </row>
    <row r="37" spans="1:7" s="53" customFormat="1" ht="15" customHeight="1" x14ac:dyDescent="0.2">
      <c r="A37" s="1071">
        <f>'Cash Flow Analysis'!B88</f>
        <v>24</v>
      </c>
      <c r="B37" s="1471">
        <f>IF(B36="","",IF('Cash Flow Analysis'!$B$31=0,"N/A",IF(A37=1,1,IF(A36=debt_period,"",B36+1))))</f>
        <v>24</v>
      </c>
      <c r="C37" s="1074">
        <f ca="1">IF(OR(A37="",B37="",B37="N/A"),"",IF(B37=1,-'Cash Flow Analysis'!G88,IF(B37="N/A",0,G36)))</f>
        <v>114481807.47900446</v>
      </c>
      <c r="D37" s="1074">
        <f ca="1">IF(debt_period=0,
E37+F37,
IF(OR(A37="",B37="",B37="N/A"),"",IF(B37=1,((debt_interest*(1+debt_interest)^debt_period)/((1+debt_interest)^debt_period-1))*(-'Cash Flow Analysis'!G88),IF(G36=0,"",D36))))</f>
        <v>4235826.8767231647</v>
      </c>
      <c r="E37" s="1074">
        <f t="shared" ca="1" si="0"/>
        <v>4235826.8767231647</v>
      </c>
      <c r="F37" s="1074">
        <f t="shared" si="2"/>
        <v>0</v>
      </c>
      <c r="G37" s="1472">
        <f t="shared" ca="1" si="1"/>
        <v>114481807.47900446</v>
      </c>
    </row>
    <row r="38" spans="1:7" s="53" customFormat="1" ht="15" customHeight="1" x14ac:dyDescent="0.2">
      <c r="A38" s="1071">
        <f>'Cash Flow Analysis'!B89</f>
        <v>25</v>
      </c>
      <c r="B38" s="1471">
        <f>IF(B37="","",IF('Cash Flow Analysis'!$B$31=0,"N/A",IF(A38=1,1,IF(A37=debt_period,"",B37+1))))</f>
        <v>25</v>
      </c>
      <c r="C38" s="1074">
        <f ca="1">IF(OR(A38="",B38="",B38="N/A"),"",IF(B38=1,-'Cash Flow Analysis'!G89,IF(B38="N/A",0,G37)))</f>
        <v>114481807.47900446</v>
      </c>
      <c r="D38" s="1074">
        <f ca="1">IF(debt_period=0,
E38+F38,
IF(OR(A38="",B38="",B38="N/A"),"",IF(B38=1,((debt_interest*(1+debt_interest)^debt_period)/((1+debt_interest)^debt_period-1))*(-'Cash Flow Analysis'!G89),IF(G37=0,"",D37))))</f>
        <v>4235826.8767231647</v>
      </c>
      <c r="E38" s="1074">
        <f t="shared" ca="1" si="0"/>
        <v>4235826.8767231647</v>
      </c>
      <c r="F38" s="1074">
        <f t="shared" si="2"/>
        <v>0</v>
      </c>
      <c r="G38" s="1472">
        <f t="shared" ca="1" si="1"/>
        <v>114481807.47900446</v>
      </c>
    </row>
    <row r="39" spans="1:7" s="53" customFormat="1" ht="15" customHeight="1" x14ac:dyDescent="0.2">
      <c r="A39" s="1071">
        <f>'Cash Flow Analysis'!B90</f>
        <v>26</v>
      </c>
      <c r="B39" s="1471">
        <f>IF(B38="","",IF('Cash Flow Analysis'!$B$31=0,"N/A",IF(A39=1,1,IF(A38=debt_period,"",B38+1))))</f>
        <v>26</v>
      </c>
      <c r="C39" s="1074">
        <f ca="1">IF(OR(A39="",B39="",B39="N/A"),"",IF(B39=1,-'Cash Flow Analysis'!G90,IF(B39="N/A",0,G38)))</f>
        <v>114481807.47900446</v>
      </c>
      <c r="D39" s="1074">
        <f ca="1">IF(debt_period=0,
E39+F39,
IF(OR(A39="",B39="",B39="N/A"),"",IF(B39=1,((debt_interest*(1+debt_interest)^debt_period)/((1+debt_interest)^debt_period-1))*(-'Cash Flow Analysis'!G90),IF(G38=0,"",D38))))</f>
        <v>4235826.8767231647</v>
      </c>
      <c r="E39" s="1074">
        <f t="shared" ca="1" si="0"/>
        <v>4235826.8767231647</v>
      </c>
      <c r="F39" s="1074">
        <f t="shared" si="2"/>
        <v>0</v>
      </c>
      <c r="G39" s="1472">
        <f t="shared" ca="1" si="1"/>
        <v>114481807.47900446</v>
      </c>
    </row>
    <row r="40" spans="1:7" s="53" customFormat="1" ht="15" customHeight="1" x14ac:dyDescent="0.2">
      <c r="A40" s="1071">
        <f>'Cash Flow Analysis'!B91</f>
        <v>27</v>
      </c>
      <c r="B40" s="1471">
        <f>IF(B39="","",IF('Cash Flow Analysis'!$B$31=0,"N/A",IF(A40=1,1,IF(A39=debt_period,"",B39+1))))</f>
        <v>27</v>
      </c>
      <c r="C40" s="1074">
        <f ca="1">IF(OR(A40="",B40="",B40="N/A"),"",IF(B40=1,-'Cash Flow Analysis'!G91,IF(B40="N/A",0,G39)))</f>
        <v>114481807.47900446</v>
      </c>
      <c r="D40" s="1074">
        <f ca="1">IF(debt_period=0,
E40+F40,
IF(OR(A40="",B40="",B40="N/A"),"",IF(B40=1,((debt_interest*(1+debt_interest)^debt_period)/((1+debt_interest)^debt_period-1))*(-'Cash Flow Analysis'!G91),IF(G39=0,"",D39))))</f>
        <v>4235826.8767231647</v>
      </c>
      <c r="E40" s="1074">
        <f t="shared" ca="1" si="0"/>
        <v>4235826.8767231647</v>
      </c>
      <c r="F40" s="1074">
        <f t="shared" si="2"/>
        <v>0</v>
      </c>
      <c r="G40" s="1472">
        <f t="shared" ca="1" si="1"/>
        <v>114481807.47900446</v>
      </c>
    </row>
    <row r="41" spans="1:7" s="53" customFormat="1" ht="15" customHeight="1" x14ac:dyDescent="0.2">
      <c r="A41" s="1071">
        <f>'Cash Flow Analysis'!B92</f>
        <v>28</v>
      </c>
      <c r="B41" s="1471">
        <f>IF(B40="","",IF('Cash Flow Analysis'!$B$31=0,"N/A",IF(A41=1,1,IF(A40=debt_period,"",B40+1))))</f>
        <v>28</v>
      </c>
      <c r="C41" s="1074">
        <f ca="1">IF(OR(A41="",B41="",B41="N/A"),"",IF(B41=1,-'Cash Flow Analysis'!G92,IF(B41="N/A",0,G40)))</f>
        <v>114481807.47900446</v>
      </c>
      <c r="D41" s="1074">
        <f ca="1">IF(debt_period=0,
E41+F41,
IF(OR(A41="",B41="",B41="N/A"),"",IF(B41=1,((debt_interest*(1+debt_interest)^debt_period)/((1+debt_interest)^debt_period-1))*(-'Cash Flow Analysis'!G92),IF(G40=0,"",D40))))</f>
        <v>4235826.8767231647</v>
      </c>
      <c r="E41" s="1074">
        <f t="shared" ca="1" si="0"/>
        <v>4235826.8767231647</v>
      </c>
      <c r="F41" s="1074">
        <f t="shared" si="2"/>
        <v>0</v>
      </c>
      <c r="G41" s="1472">
        <f t="shared" ca="1" si="1"/>
        <v>114481807.47900446</v>
      </c>
    </row>
    <row r="42" spans="1:7" s="53" customFormat="1" ht="15" customHeight="1" x14ac:dyDescent="0.2">
      <c r="A42" s="1071">
        <f>'Cash Flow Analysis'!B93</f>
        <v>29</v>
      </c>
      <c r="B42" s="1471">
        <f>IF(B41="","",IF('Cash Flow Analysis'!$B$31=0,"N/A",IF(A42=1,1,IF(A41=debt_period,"",B41+1))))</f>
        <v>29</v>
      </c>
      <c r="C42" s="1074">
        <f ca="1">IF(OR(A42="",B42="",B42="N/A"),"",IF(B42=1,-'Cash Flow Analysis'!G93,IF(B42="N/A",0,G41)))</f>
        <v>114481807.47900446</v>
      </c>
      <c r="D42" s="1074">
        <f ca="1">IF(debt_period=0,
E42+F42,
IF(OR(A42="",B42="",B42="N/A"),"",IF(B42=1,((debt_interest*(1+debt_interest)^debt_period)/((1+debt_interest)^debt_period-1))*(-'Cash Flow Analysis'!G93),IF(G41=0,"",D41))))</f>
        <v>4235826.8767231647</v>
      </c>
      <c r="E42" s="1074">
        <f t="shared" ca="1" si="0"/>
        <v>4235826.8767231647</v>
      </c>
      <c r="F42" s="1074">
        <f t="shared" si="2"/>
        <v>0</v>
      </c>
      <c r="G42" s="1472">
        <f t="shared" ca="1" si="1"/>
        <v>114481807.47900446</v>
      </c>
    </row>
    <row r="43" spans="1:7" s="53" customFormat="1" ht="15" customHeight="1" x14ac:dyDescent="0.2">
      <c r="A43" s="1071">
        <f>'Cash Flow Analysis'!B94</f>
        <v>30</v>
      </c>
      <c r="B43" s="1471">
        <f>IF(B42="","",IF('Cash Flow Analysis'!$B$31=0,"N/A",IF(A43=1,1,IF(A42=debt_period,"",B42+1))))</f>
        <v>30</v>
      </c>
      <c r="C43" s="1074">
        <f ca="1">IF(OR(A43="",B43="",B43="N/A"),"",IF(B43=1,-'Cash Flow Analysis'!G94,IF(B43="N/A",0,G42)))</f>
        <v>114481807.47900446</v>
      </c>
      <c r="D43" s="1074">
        <f ca="1">IF(debt_period=0,
E43+F43,
IF(OR(A43="",B43="",B43="N/A"),"",IF(B43=1,((debt_interest*(1+debt_interest)^debt_period)/((1+debt_interest)^debt_period-1))*(-'Cash Flow Analysis'!G94),IF(G42=0,"",D42))))</f>
        <v>4235826.8767231647</v>
      </c>
      <c r="E43" s="1074">
        <f t="shared" ca="1" si="0"/>
        <v>4235826.8767231647</v>
      </c>
      <c r="F43" s="1074">
        <f t="shared" si="2"/>
        <v>0</v>
      </c>
      <c r="G43" s="1472">
        <f t="shared" ca="1" si="1"/>
        <v>114481807.47900446</v>
      </c>
    </row>
    <row r="44" spans="1:7" s="53" customFormat="1" ht="15" customHeight="1" x14ac:dyDescent="0.2">
      <c r="A44" s="1071">
        <f>'Cash Flow Analysis'!B95</f>
        <v>31</v>
      </c>
      <c r="B44" s="1471">
        <f>IF(B43="","",IF('Cash Flow Analysis'!$B$31=0,"N/A",IF(A44=1,1,IF(A43=debt_period,"",B43+1))))</f>
        <v>31</v>
      </c>
      <c r="C44" s="1074">
        <f ca="1">IF(OR(A44="",B44="",B44="N/A"),"",IF(B44=1,-'Cash Flow Analysis'!G95,IF(B44="N/A",0,G43)))</f>
        <v>114481807.47900446</v>
      </c>
      <c r="D44" s="1074">
        <f ca="1">IF(debt_period=0,
E44+F44,
IF(OR(A44="",B44="",B44="N/A"),"",IF(B44=1,((debt_interest*(1+debt_interest)^debt_period)/((1+debt_interest)^debt_period-1))*(-'Cash Flow Analysis'!G95),IF(G43=0,"",D43))))</f>
        <v>4235826.8767231647</v>
      </c>
      <c r="E44" s="1074">
        <f t="shared" ca="1" si="0"/>
        <v>4235826.8767231647</v>
      </c>
      <c r="F44" s="1074">
        <f t="shared" si="2"/>
        <v>0</v>
      </c>
      <c r="G44" s="1472">
        <f t="shared" ca="1" si="1"/>
        <v>114481807.47900446</v>
      </c>
    </row>
    <row r="45" spans="1:7" s="53" customFormat="1" ht="15" customHeight="1" x14ac:dyDescent="0.2">
      <c r="A45" s="1071">
        <f>'Cash Flow Analysis'!B96</f>
        <v>32</v>
      </c>
      <c r="B45" s="1471">
        <f>IF(B44="","",IF('Cash Flow Analysis'!$B$31=0,"N/A",IF(A45=1,1,IF(A44=debt_period,"",B44+1))))</f>
        <v>32</v>
      </c>
      <c r="C45" s="1074">
        <f ca="1">IF(OR(A45="",B45="",B45="N/A"),"",IF(B45=1,-'Cash Flow Analysis'!G96,IF(B45="N/A",0,G44)))</f>
        <v>114481807.47900446</v>
      </c>
      <c r="D45" s="1074">
        <f ca="1">IF(debt_period=0,
E45+F45,
IF(OR(A45="",B45="",B45="N/A"),"",IF(B45=1,((debt_interest*(1+debt_interest)^debt_period)/((1+debt_interest)^debt_period-1))*(-'Cash Flow Analysis'!G96),IF(G44=0,"",D44))))</f>
        <v>4235826.8767231647</v>
      </c>
      <c r="E45" s="1074">
        <f t="shared" ca="1" si="0"/>
        <v>4235826.8767231647</v>
      </c>
      <c r="F45" s="1074">
        <f t="shared" si="2"/>
        <v>0</v>
      </c>
      <c r="G45" s="1472">
        <f t="shared" ca="1" si="1"/>
        <v>114481807.47900446</v>
      </c>
    </row>
    <row r="46" spans="1:7" s="53" customFormat="1" ht="15" customHeight="1" x14ac:dyDescent="0.2">
      <c r="A46" s="1071">
        <f>'Cash Flow Analysis'!B97</f>
        <v>33</v>
      </c>
      <c r="B46" s="1471">
        <f>IF(B45="","",IF('Cash Flow Analysis'!$B$31=0,"N/A",IF(A46=1,1,IF(A45=debt_period,"",B45+1))))</f>
        <v>33</v>
      </c>
      <c r="C46" s="1074">
        <f ca="1">IF(OR(A46="",B46="",B46="N/A"),"",IF(B46=1,-'Cash Flow Analysis'!G97,IF(B46="N/A",0,G45)))</f>
        <v>114481807.47900446</v>
      </c>
      <c r="D46" s="1074">
        <f ca="1">IF(debt_period=0,
E46+F46,
IF(OR(A46="",B46="",B46="N/A"),"",IF(B46=1,((debt_interest*(1+debt_interest)^debt_period)/((1+debt_interest)^debt_period-1))*(-'Cash Flow Analysis'!G97),IF(G45=0,"",D45))))</f>
        <v>4235826.8767231647</v>
      </c>
      <c r="E46" s="1074">
        <f t="shared" ca="1" si="0"/>
        <v>4235826.8767231647</v>
      </c>
      <c r="F46" s="1074">
        <f t="shared" si="2"/>
        <v>0</v>
      </c>
      <c r="G46" s="1472">
        <f t="shared" ca="1" si="1"/>
        <v>114481807.47900446</v>
      </c>
    </row>
    <row r="47" spans="1:7" s="53" customFormat="1" ht="15" customHeight="1" x14ac:dyDescent="0.2">
      <c r="A47" s="1071">
        <f>'Cash Flow Analysis'!B98</f>
        <v>34</v>
      </c>
      <c r="B47" s="1471">
        <f>IF(B46="","",IF('Cash Flow Analysis'!$B$31=0,"N/A",IF(A47=1,1,IF(A46=debt_period,"",B46+1))))</f>
        <v>34</v>
      </c>
      <c r="C47" s="1074">
        <f ca="1">IF(OR(A47="",B47="",B47="N/A"),"",IF(B47=1,-'Cash Flow Analysis'!G98,IF(B47="N/A",0,G46)))</f>
        <v>114481807.47900446</v>
      </c>
      <c r="D47" s="1074">
        <f ca="1">IF(debt_period=0,
E47+F47,
IF(OR(A47="",B47="",B47="N/A"),"",IF(B47=1,((debt_interest*(1+debt_interest)^debt_period)/((1+debt_interest)^debt_period-1))*(-'Cash Flow Analysis'!G98),IF(G46=0,"",D46))))</f>
        <v>4235826.8767231647</v>
      </c>
      <c r="E47" s="1074">
        <f t="shared" ca="1" si="0"/>
        <v>4235826.8767231647</v>
      </c>
      <c r="F47" s="1074">
        <f t="shared" si="2"/>
        <v>0</v>
      </c>
      <c r="G47" s="1472">
        <f t="shared" ca="1" si="1"/>
        <v>114481807.47900446</v>
      </c>
    </row>
    <row r="48" spans="1:7" s="53" customFormat="1" ht="15" customHeight="1" x14ac:dyDescent="0.2">
      <c r="A48" s="1071">
        <f>'Cash Flow Analysis'!B99</f>
        <v>35</v>
      </c>
      <c r="B48" s="1471">
        <f>IF(B47="","",IF('Cash Flow Analysis'!$B$31=0,"N/A",IF(A48=1,1,IF(A47=debt_period,"",B47+1))))</f>
        <v>35</v>
      </c>
      <c r="C48" s="1074">
        <f ca="1">IF(OR(A48="",B48="",B48="N/A"),"",IF(B48=1,-'Cash Flow Analysis'!G99,IF(B48="N/A",0,G47)))</f>
        <v>114481807.47900446</v>
      </c>
      <c r="D48" s="1074">
        <f ca="1">IF(debt_period=0,
E48+F48,
IF(OR(A48="",B48="",B48="N/A"),"",IF(B48=1,((debt_interest*(1+debt_interest)^debt_period)/((1+debt_interest)^debt_period-1))*(-'Cash Flow Analysis'!G99),IF(G47=0,"",D47))))</f>
        <v>4235826.8767231647</v>
      </c>
      <c r="E48" s="1074">
        <f t="shared" ca="1" si="0"/>
        <v>4235826.8767231647</v>
      </c>
      <c r="F48" s="1074">
        <f t="shared" si="2"/>
        <v>0</v>
      </c>
      <c r="G48" s="1472">
        <f t="shared" ca="1" si="1"/>
        <v>114481807.47900446</v>
      </c>
    </row>
    <row r="49" spans="1:7" s="53" customFormat="1" ht="15" customHeight="1" x14ac:dyDescent="0.2">
      <c r="A49" s="1071">
        <f>'Cash Flow Analysis'!B100</f>
        <v>36</v>
      </c>
      <c r="B49" s="1471">
        <f>IF(B48="","",IF('Cash Flow Analysis'!$B$31=0,"N/A",IF(A49=1,1,IF(A48=debt_period,"",B48+1))))</f>
        <v>36</v>
      </c>
      <c r="C49" s="1074">
        <f ca="1">IF(OR(A49="",B49="",B49="N/A"),"",IF(B49=1,-'Cash Flow Analysis'!G100,IF(B49="N/A",0,G48)))</f>
        <v>114481807.47900446</v>
      </c>
      <c r="D49" s="1074">
        <f ca="1">IF(debt_period=0,
E49+F49,
IF(OR(A49="",B49="",B49="N/A"),"",IF(B49=1,((debt_interest*(1+debt_interest)^debt_period)/((1+debt_interest)^debt_period-1))*(-'Cash Flow Analysis'!G100),IF(G48=0,"",D48))))</f>
        <v>4235826.8767231647</v>
      </c>
      <c r="E49" s="1074">
        <f t="shared" ca="1" si="0"/>
        <v>4235826.8767231647</v>
      </c>
      <c r="F49" s="1074">
        <f t="shared" si="2"/>
        <v>0</v>
      </c>
      <c r="G49" s="1472">
        <f t="shared" ca="1" si="1"/>
        <v>114481807.47900446</v>
      </c>
    </row>
    <row r="50" spans="1:7" s="53" customFormat="1" ht="15" customHeight="1" x14ac:dyDescent="0.2">
      <c r="A50" s="1071">
        <f>'Cash Flow Analysis'!B101</f>
        <v>37</v>
      </c>
      <c r="B50" s="1471">
        <f>IF(B49="","",IF('Cash Flow Analysis'!$B$31=0,"N/A",IF(A50=1,1,IF(A49=debt_period,"",B49+1))))</f>
        <v>37</v>
      </c>
      <c r="C50" s="1074">
        <f ca="1">IF(OR(A50="",B50="",B50="N/A"),"",IF(B50=1,-'Cash Flow Analysis'!G101,IF(B50="N/A",0,G49)))</f>
        <v>114481807.47900446</v>
      </c>
      <c r="D50" s="1074">
        <f ca="1">IF(debt_period=0,
E50+F50,
IF(OR(A50="",B50="",B50="N/A"),"",IF(B50=1,((debt_interest*(1+debt_interest)^debt_period)/((1+debt_interest)^debt_period-1))*(-'Cash Flow Analysis'!G101),IF(G49=0,"",D49))))</f>
        <v>4235826.8767231647</v>
      </c>
      <c r="E50" s="1074">
        <f t="shared" ca="1" si="0"/>
        <v>4235826.8767231647</v>
      </c>
      <c r="F50" s="1074">
        <f t="shared" si="2"/>
        <v>0</v>
      </c>
      <c r="G50" s="1472">
        <f t="shared" ca="1" si="1"/>
        <v>114481807.47900446</v>
      </c>
    </row>
    <row r="51" spans="1:7" s="53" customFormat="1" ht="15" customHeight="1" x14ac:dyDescent="0.2">
      <c r="A51" s="1071">
        <f>'Cash Flow Analysis'!B102</f>
        <v>38</v>
      </c>
      <c r="B51" s="1471">
        <f>IF(B50="","",IF('Cash Flow Analysis'!$B$31=0,"N/A",IF(A51=1,1,IF(A50=debt_period,"",B50+1))))</f>
        <v>38</v>
      </c>
      <c r="C51" s="1074">
        <f ca="1">IF(OR(A51="",B51="",B51="N/A"),"",IF(B51=1,-'Cash Flow Analysis'!G102,IF(B51="N/A",0,G50)))</f>
        <v>114481807.47900446</v>
      </c>
      <c r="D51" s="1074">
        <f ca="1">IF(debt_period=0,
E51+F51,
IF(OR(A51="",B51="",B51="N/A"),"",IF(B51=1,((debt_interest*(1+debt_interest)^debt_period)/((1+debt_interest)^debt_period-1))*(-'Cash Flow Analysis'!G102),IF(G50=0,"",D50))))</f>
        <v>4235826.8767231647</v>
      </c>
      <c r="E51" s="1074">
        <f t="shared" ca="1" si="0"/>
        <v>4235826.8767231647</v>
      </c>
      <c r="F51" s="1074">
        <f t="shared" si="2"/>
        <v>0</v>
      </c>
      <c r="G51" s="1472">
        <f t="shared" ca="1" si="1"/>
        <v>114481807.47900446</v>
      </c>
    </row>
    <row r="52" spans="1:7" s="53" customFormat="1" ht="15" customHeight="1" x14ac:dyDescent="0.2">
      <c r="A52" s="1071">
        <f>'Cash Flow Analysis'!B103</f>
        <v>39</v>
      </c>
      <c r="B52" s="1471">
        <f>IF(B51="","",IF('Cash Flow Analysis'!$B$31=0,"N/A",IF(A52=1,1,IF(A51=debt_period,"",B51+1))))</f>
        <v>39</v>
      </c>
      <c r="C52" s="1074">
        <f ca="1">IF(OR(A52="",B52="",B52="N/A"),"",IF(B52=1,-'Cash Flow Analysis'!G103,IF(B52="N/A",0,G51)))</f>
        <v>114481807.47900446</v>
      </c>
      <c r="D52" s="1074">
        <f ca="1">IF(debt_period=0,
E52+F52,
IF(OR(A52="",B52="",B52="N/A"),"",IF(B52=1,((debt_interest*(1+debt_interest)^debt_period)/((1+debt_interest)^debt_period-1))*(-'Cash Flow Analysis'!G103),IF(G51=0,"",D51))))</f>
        <v>4235826.8767231647</v>
      </c>
      <c r="E52" s="1074">
        <f t="shared" ca="1" si="0"/>
        <v>4235826.8767231647</v>
      </c>
      <c r="F52" s="1074">
        <f t="shared" si="2"/>
        <v>0</v>
      </c>
      <c r="G52" s="1472">
        <f t="shared" ca="1" si="1"/>
        <v>114481807.47900446</v>
      </c>
    </row>
    <row r="53" spans="1:7" s="53" customFormat="1" ht="15" customHeight="1" x14ac:dyDescent="0.2">
      <c r="A53" s="1071">
        <f>'Cash Flow Analysis'!B104</f>
        <v>40</v>
      </c>
      <c r="B53" s="1471">
        <f>IF(B52="","",IF('Cash Flow Analysis'!$B$31=0,"N/A",IF(A53=1,1,IF(A52=debt_period,"",B52+1))))</f>
        <v>40</v>
      </c>
      <c r="C53" s="1074">
        <f ca="1">IF(OR(A53="",B53="",B53="N/A"),"",IF(B53=1,-'Cash Flow Analysis'!G104,IF(B53="N/A",0,G52)))</f>
        <v>114481807.47900446</v>
      </c>
      <c r="D53" s="1074">
        <f ca="1">IF(debt_period=0,
E53+F53,
IF(OR(A53="",B53="",B53="N/A"),"",IF(B53=1,((debt_interest*(1+debt_interest)^debt_period)/((1+debt_interest)^debt_period-1))*(-'Cash Flow Analysis'!G104),IF(G52=0,"",D52))))</f>
        <v>4235826.8767231647</v>
      </c>
      <c r="E53" s="1074">
        <f t="shared" ca="1" si="0"/>
        <v>4235826.8767231647</v>
      </c>
      <c r="F53" s="1074">
        <f t="shared" si="2"/>
        <v>0</v>
      </c>
      <c r="G53" s="1472">
        <f t="shared" ca="1" si="1"/>
        <v>114481807.47900446</v>
      </c>
    </row>
    <row r="54" spans="1:7" s="53" customFormat="1" ht="15" customHeight="1" x14ac:dyDescent="0.2">
      <c r="A54" s="1071">
        <f>'Cash Flow Analysis'!B105</f>
        <v>41</v>
      </c>
      <c r="B54" s="1471">
        <f>IF(B53="","",IF('Cash Flow Analysis'!$B$31=0,"N/A",IF(A54=1,1,IF(A53=debt_period,"",B53+1))))</f>
        <v>41</v>
      </c>
      <c r="C54" s="1074">
        <f ca="1">IF(OR(A54="",B54="",B54="N/A"),"",IF(B54=1,-'Cash Flow Analysis'!G105,IF(B54="N/A",0,G53)))</f>
        <v>114481807.47900446</v>
      </c>
      <c r="D54" s="1074">
        <f ca="1">IF(debt_period=0,
E54+F54,
IF(OR(A54="",B54="",B54="N/A"),"",IF(B54=1,((debt_interest*(1+debt_interest)^debt_period)/((1+debt_interest)^debt_period-1))*(-'Cash Flow Analysis'!G105),IF(G53=0,"",D53))))</f>
        <v>4235826.8767231647</v>
      </c>
      <c r="E54" s="1074">
        <f t="shared" ca="1" si="0"/>
        <v>4235826.8767231647</v>
      </c>
      <c r="F54" s="1074">
        <f t="shared" si="2"/>
        <v>0</v>
      </c>
      <c r="G54" s="1472">
        <f t="shared" ca="1" si="1"/>
        <v>114481807.47900446</v>
      </c>
    </row>
    <row r="55" spans="1:7" s="53" customFormat="1" ht="15" customHeight="1" x14ac:dyDescent="0.2">
      <c r="A55" s="1071">
        <f>'Cash Flow Analysis'!B106</f>
        <v>42</v>
      </c>
      <c r="B55" s="1471">
        <f>IF(B54="","",IF('Cash Flow Analysis'!$B$31=0,"N/A",IF(A55=1,1,IF(A54=debt_period,"",B54+1))))</f>
        <v>42</v>
      </c>
      <c r="C55" s="1074">
        <f ca="1">IF(OR(A55="",B55="",B55="N/A"),"",IF(B55=1,-'Cash Flow Analysis'!G106,IF(B55="N/A",0,G54)))</f>
        <v>114481807.47900446</v>
      </c>
      <c r="D55" s="1074">
        <f ca="1">IF(debt_period=0,
E55+F55,
IF(OR(A55="",B55="",B55="N/A"),"",IF(B55=1,((debt_interest*(1+debt_interest)^debt_period)/((1+debt_interest)^debt_period-1))*(-'Cash Flow Analysis'!G106),IF(G54=0,"",D54))))</f>
        <v>4235826.8767231647</v>
      </c>
      <c r="E55" s="1074">
        <f t="shared" ca="1" si="0"/>
        <v>4235826.8767231647</v>
      </c>
      <c r="F55" s="1074">
        <f t="shared" si="2"/>
        <v>0</v>
      </c>
      <c r="G55" s="1472">
        <f t="shared" ca="1" si="1"/>
        <v>114481807.47900446</v>
      </c>
    </row>
    <row r="56" spans="1:7" s="53" customFormat="1" ht="15" customHeight="1" x14ac:dyDescent="0.2">
      <c r="A56" s="1071">
        <f>'Cash Flow Analysis'!B107</f>
        <v>43</v>
      </c>
      <c r="B56" s="1471">
        <f>IF(B55="","",IF('Cash Flow Analysis'!$B$31=0,"N/A",IF(A56=1,1,IF(A55=debt_period,"",B55+1))))</f>
        <v>43</v>
      </c>
      <c r="C56" s="1074">
        <f ca="1">IF(OR(A56="",B56="",B56="N/A"),"",IF(B56=1,-'Cash Flow Analysis'!G107,IF(B56="N/A",0,G55)))</f>
        <v>114481807.47900446</v>
      </c>
      <c r="D56" s="1074">
        <f ca="1">IF(debt_period=0,
E56+F56,
IF(OR(A56="",B56="",B56="N/A"),"",IF(B56=1,((debt_interest*(1+debt_interest)^debt_period)/((1+debt_interest)^debt_period-1))*(-'Cash Flow Analysis'!G107),IF(G55=0,"",D55))))</f>
        <v>118717634.35572763</v>
      </c>
      <c r="E56" s="1074">
        <f t="shared" ca="1" si="0"/>
        <v>4235826.8767231647</v>
      </c>
      <c r="F56" s="1074">
        <f t="shared" ca="1" si="2"/>
        <v>114481807.47900446</v>
      </c>
      <c r="G56" s="1472">
        <f t="shared" ca="1" si="1"/>
        <v>0</v>
      </c>
    </row>
    <row r="57" spans="1:7" s="53" customFormat="1" ht="15" customHeight="1" thickBot="1" x14ac:dyDescent="0.25">
      <c r="A57" s="1473" t="str">
        <f>'Cash Flow Analysis'!B108</f>
        <v/>
      </c>
      <c r="B57" s="1474">
        <f>IF(B56="","",IF('Cash Flow Analysis'!$B$31=0,"N/A",IF(A57=1,1,IF(A56=debt_period,"",B56+1))))</f>
        <v>44</v>
      </c>
      <c r="C57" s="1475" t="str">
        <f>IF(OR(A57="",B57="",B57="N/A"),"",IF(B57=1,-'Cash Flow Analysis'!G108,IF(B57="N/A",0,G56)))</f>
        <v/>
      </c>
      <c r="D57" s="1475" t="str">
        <f>IF(F57=0,E57,
IF(OR(A57="",B57="",B57="N/A"),"",IF(B57=1,((debt_interest*(1+debt_interest)^debt_period)/((1+debt_interest)^debt_period-1))*(-'Cash Flow Analysis'!G108),IF(G56=0,"",D56))))</f>
        <v/>
      </c>
      <c r="E57" s="1475" t="str">
        <f t="shared" si="0"/>
        <v/>
      </c>
      <c r="F57" s="1475">
        <f t="shared" si="2"/>
        <v>0</v>
      </c>
      <c r="G57" s="1476" t="str">
        <f t="shared" si="1"/>
        <v/>
      </c>
    </row>
    <row r="58" spans="1:7" ht="13.5" thickTop="1" x14ac:dyDescent="0.2"/>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140625" defaultRowHeight="12.75" x14ac:dyDescent="0.2"/>
  <cols>
    <col min="1" max="1" width="31.140625" style="38" customWidth="1"/>
    <col min="2" max="2" width="23.5703125" style="38" customWidth="1"/>
    <col min="3" max="3" width="19" style="38" customWidth="1"/>
    <col min="4" max="4" width="11.28515625" style="38" customWidth="1"/>
    <col min="5" max="5" width="12.85546875" style="38" customWidth="1"/>
    <col min="6" max="6" width="10.85546875" style="38" customWidth="1"/>
    <col min="7" max="7" width="13.140625" style="38" customWidth="1"/>
    <col min="8" max="8" width="13.85546875" style="38" customWidth="1"/>
    <col min="9" max="9" width="11" style="38" customWidth="1"/>
    <col min="10" max="25" width="17.140625" style="38" customWidth="1"/>
    <col min="26" max="16384" width="9.140625" style="38"/>
  </cols>
  <sheetData>
    <row r="1" spans="1:8" ht="30.75" customHeight="1" x14ac:dyDescent="0.25">
      <c r="A1" s="37" t="s">
        <v>47</v>
      </c>
    </row>
    <row r="2" spans="1:8" ht="15" customHeight="1" x14ac:dyDescent="0.2">
      <c r="G2" s="39"/>
    </row>
    <row r="3" spans="1:8" ht="15" customHeight="1" x14ac:dyDescent="0.25">
      <c r="A3" s="42" t="s">
        <v>33</v>
      </c>
      <c r="B3" s="43"/>
      <c r="C3" s="43"/>
      <c r="D3" s="43"/>
      <c r="E3" s="44"/>
      <c r="F3" s="44"/>
      <c r="G3" s="44"/>
      <c r="H3" s="39"/>
    </row>
    <row r="4" spans="1:8" ht="15" customHeight="1" x14ac:dyDescent="0.25">
      <c r="A4" s="42" t="s">
        <v>34</v>
      </c>
      <c r="B4" s="43"/>
      <c r="C4" s="43"/>
      <c r="D4" s="43"/>
      <c r="E4" s="44"/>
      <c r="F4" s="44"/>
      <c r="G4" s="44"/>
      <c r="H4" s="39"/>
    </row>
    <row r="5" spans="1:8" ht="15" customHeight="1" x14ac:dyDescent="0.2">
      <c r="G5" s="39"/>
    </row>
    <row r="6" spans="1:8" ht="15" customHeight="1" x14ac:dyDescent="0.2">
      <c r="A6" s="36"/>
      <c r="B6" s="41" t="s">
        <v>35</v>
      </c>
    </row>
    <row r="7" spans="1:8" ht="15" customHeight="1" x14ac:dyDescent="0.2">
      <c r="A7" s="46"/>
      <c r="B7" s="41" t="s">
        <v>36</v>
      </c>
    </row>
    <row r="8" spans="1:8" ht="15" customHeight="1" x14ac:dyDescent="0.2">
      <c r="A8" s="47"/>
      <c r="B8" s="41" t="s">
        <v>37</v>
      </c>
    </row>
    <row r="9" spans="1:8" ht="15" customHeight="1" x14ac:dyDescent="0.2">
      <c r="A9" s="48"/>
      <c r="B9" s="41" t="s">
        <v>38</v>
      </c>
    </row>
    <row r="10" spans="1:8" ht="15" customHeight="1" x14ac:dyDescent="0.2"/>
    <row r="11" spans="1:8" ht="15" customHeight="1" thickBot="1" x14ac:dyDescent="0.25"/>
    <row r="12" spans="1:8" ht="29.25" customHeight="1" thickTop="1" thickBot="1" x14ac:dyDescent="0.25">
      <c r="B12" s="63" t="s">
        <v>48</v>
      </c>
      <c r="C12" s="64"/>
      <c r="D12" s="64"/>
      <c r="E12" s="64"/>
      <c r="F12" s="64"/>
      <c r="G12" s="64"/>
      <c r="H12" s="65"/>
    </row>
    <row r="13" spans="1:8" ht="15" customHeight="1" thickTop="1" thickBot="1" x14ac:dyDescent="0.25">
      <c r="B13" s="66"/>
      <c r="C13" s="1676" t="s">
        <v>49</v>
      </c>
      <c r="D13" s="1676"/>
      <c r="E13" s="1676"/>
      <c r="F13" s="1676"/>
      <c r="G13" s="1676"/>
      <c r="H13" s="1677"/>
    </row>
    <row r="14" spans="1:8" ht="15" customHeight="1" thickTop="1" thickBot="1" x14ac:dyDescent="0.25">
      <c r="B14" s="69" t="s">
        <v>49</v>
      </c>
      <c r="C14" s="70">
        <v>3</v>
      </c>
      <c r="D14" s="67">
        <v>5</v>
      </c>
      <c r="E14" s="67">
        <v>7</v>
      </c>
      <c r="F14" s="67">
        <v>10</v>
      </c>
      <c r="G14" s="67">
        <v>15</v>
      </c>
      <c r="H14" s="68">
        <v>20</v>
      </c>
    </row>
    <row r="15" spans="1:8" ht="15" customHeight="1" thickTop="1" x14ac:dyDescent="0.2">
      <c r="B15" s="71">
        <v>1</v>
      </c>
      <c r="C15" s="72">
        <v>0.33329999999999999</v>
      </c>
      <c r="D15" s="73">
        <v>0.2</v>
      </c>
      <c r="E15" s="73">
        <v>0.1429</v>
      </c>
      <c r="F15" s="73">
        <v>0.1</v>
      </c>
      <c r="G15" s="73">
        <v>0.05</v>
      </c>
      <c r="H15" s="74">
        <v>3.7499999999999999E-2</v>
      </c>
    </row>
    <row r="16" spans="1:8" ht="15" customHeight="1" x14ac:dyDescent="0.2">
      <c r="B16" s="75">
        <v>2</v>
      </c>
      <c r="C16" s="76">
        <v>0.44450000000000001</v>
      </c>
      <c r="D16" s="77">
        <v>0.32</v>
      </c>
      <c r="E16" s="77">
        <v>0.24490000000000001</v>
      </c>
      <c r="F16" s="77">
        <v>0.18</v>
      </c>
      <c r="G16" s="77">
        <v>9.5000000000000001E-2</v>
      </c>
      <c r="H16" s="78">
        <v>7.2190000000000004E-2</v>
      </c>
    </row>
    <row r="17" spans="2:8" ht="15" customHeight="1" x14ac:dyDescent="0.2">
      <c r="B17" s="75">
        <v>3</v>
      </c>
      <c r="C17" s="76">
        <v>0.14810000000000001</v>
      </c>
      <c r="D17" s="77">
        <v>0.192</v>
      </c>
      <c r="E17" s="77">
        <v>0.1749</v>
      </c>
      <c r="F17" s="77">
        <v>0.14399999999999999</v>
      </c>
      <c r="G17" s="77">
        <v>8.5500000000000007E-2</v>
      </c>
      <c r="H17" s="78">
        <v>6.6769999999999996E-2</v>
      </c>
    </row>
    <row r="18" spans="2:8" ht="15" customHeight="1" x14ac:dyDescent="0.2">
      <c r="B18" s="75">
        <v>4</v>
      </c>
      <c r="C18" s="76">
        <v>7.4099999999999999E-2</v>
      </c>
      <c r="D18" s="77">
        <v>0.1152</v>
      </c>
      <c r="E18" s="77">
        <v>0.1249</v>
      </c>
      <c r="F18" s="77">
        <v>0.1152</v>
      </c>
      <c r="G18" s="77">
        <v>7.6999999999999999E-2</v>
      </c>
      <c r="H18" s="78">
        <v>6.1769999999999999E-2</v>
      </c>
    </row>
    <row r="19" spans="2:8" ht="15" customHeight="1" x14ac:dyDescent="0.2">
      <c r="B19" s="75">
        <v>5</v>
      </c>
      <c r="C19" s="76"/>
      <c r="D19" s="77">
        <v>0.1152</v>
      </c>
      <c r="E19" s="77">
        <v>8.9300000000000004E-2</v>
      </c>
      <c r="F19" s="77">
        <v>9.2200000000000004E-2</v>
      </c>
      <c r="G19" s="77">
        <v>6.93E-2</v>
      </c>
      <c r="H19" s="78">
        <v>5.713E-2</v>
      </c>
    </row>
    <row r="20" spans="2:8" ht="15" customHeight="1" x14ac:dyDescent="0.2">
      <c r="B20" s="75">
        <v>6</v>
      </c>
      <c r="C20" s="76"/>
      <c r="D20" s="77">
        <v>5.7599999999999998E-2</v>
      </c>
      <c r="E20" s="77">
        <v>8.9200000000000002E-2</v>
      </c>
      <c r="F20" s="77">
        <v>7.3700000000000002E-2</v>
      </c>
      <c r="G20" s="77">
        <v>6.2300000000000001E-2</v>
      </c>
      <c r="H20" s="78">
        <v>5.2850000000000001E-2</v>
      </c>
    </row>
    <row r="21" spans="2:8" ht="15" customHeight="1" x14ac:dyDescent="0.2">
      <c r="B21" s="75">
        <v>7</v>
      </c>
      <c r="C21" s="76"/>
      <c r="D21" s="77"/>
      <c r="E21" s="77">
        <v>8.9300000000000004E-2</v>
      </c>
      <c r="F21" s="77">
        <v>6.5500000000000003E-2</v>
      </c>
      <c r="G21" s="77">
        <v>5.8999999999999997E-2</v>
      </c>
      <c r="H21" s="78">
        <v>4.888E-2</v>
      </c>
    </row>
    <row r="22" spans="2:8" ht="15" customHeight="1" x14ac:dyDescent="0.2">
      <c r="B22" s="75">
        <v>8</v>
      </c>
      <c r="C22" s="76"/>
      <c r="D22" s="77"/>
      <c r="E22" s="77">
        <v>4.4600000000000001E-2</v>
      </c>
      <c r="F22" s="77">
        <v>6.5500000000000003E-2</v>
      </c>
      <c r="G22" s="77">
        <v>5.8999999999999997E-2</v>
      </c>
      <c r="H22" s="78">
        <v>4.5220000000000003E-2</v>
      </c>
    </row>
    <row r="23" spans="2:8" ht="15" customHeight="1" x14ac:dyDescent="0.2">
      <c r="B23" s="75">
        <v>9</v>
      </c>
      <c r="C23" s="76"/>
      <c r="D23" s="77"/>
      <c r="E23" s="77"/>
      <c r="F23" s="77">
        <v>6.5600000000000006E-2</v>
      </c>
      <c r="G23" s="77">
        <v>5.91E-2</v>
      </c>
      <c r="H23" s="78">
        <v>4.462E-2</v>
      </c>
    </row>
    <row r="24" spans="2:8" ht="15" customHeight="1" x14ac:dyDescent="0.2">
      <c r="B24" s="75">
        <v>10</v>
      </c>
      <c r="C24" s="76"/>
      <c r="D24" s="77"/>
      <c r="E24" s="77"/>
      <c r="F24" s="77">
        <v>6.5500000000000003E-2</v>
      </c>
      <c r="G24" s="77">
        <v>5.8999999999999997E-2</v>
      </c>
      <c r="H24" s="78">
        <v>4.4609999999999997E-2</v>
      </c>
    </row>
    <row r="25" spans="2:8" ht="15" customHeight="1" x14ac:dyDescent="0.2">
      <c r="B25" s="75">
        <v>11</v>
      </c>
      <c r="C25" s="76"/>
      <c r="D25" s="77"/>
      <c r="E25" s="77"/>
      <c r="F25" s="77">
        <v>3.2800000000000003E-2</v>
      </c>
      <c r="G25" s="77">
        <v>5.91E-2</v>
      </c>
      <c r="H25" s="78">
        <v>4.462E-2</v>
      </c>
    </row>
    <row r="26" spans="2:8" ht="15" customHeight="1" x14ac:dyDescent="0.2">
      <c r="B26" s="75">
        <v>12</v>
      </c>
      <c r="C26" s="76"/>
      <c r="D26" s="77"/>
      <c r="E26" s="77"/>
      <c r="F26" s="77"/>
      <c r="G26" s="77">
        <v>5.8999999999999997E-2</v>
      </c>
      <c r="H26" s="78">
        <v>4.4609999999999997E-2</v>
      </c>
    </row>
    <row r="27" spans="2:8" ht="15" customHeight="1" x14ac:dyDescent="0.2">
      <c r="B27" s="75">
        <v>13</v>
      </c>
      <c r="C27" s="76"/>
      <c r="D27" s="77"/>
      <c r="E27" s="77"/>
      <c r="F27" s="77"/>
      <c r="G27" s="77">
        <v>5.91E-2</v>
      </c>
      <c r="H27" s="78">
        <v>4.462E-2</v>
      </c>
    </row>
    <row r="28" spans="2:8" ht="15" customHeight="1" x14ac:dyDescent="0.2">
      <c r="B28" s="75">
        <v>14</v>
      </c>
      <c r="C28" s="76"/>
      <c r="D28" s="77"/>
      <c r="E28" s="77"/>
      <c r="F28" s="77"/>
      <c r="G28" s="77">
        <v>5.8999999999999997E-2</v>
      </c>
      <c r="H28" s="78">
        <v>4.4609999999999997E-2</v>
      </c>
    </row>
    <row r="29" spans="2:8" ht="15" customHeight="1" x14ac:dyDescent="0.2">
      <c r="B29" s="75">
        <v>15</v>
      </c>
      <c r="C29" s="76"/>
      <c r="D29" s="77"/>
      <c r="E29" s="77"/>
      <c r="F29" s="77"/>
      <c r="G29" s="77">
        <v>5.91E-2</v>
      </c>
      <c r="H29" s="78">
        <v>4.462E-2</v>
      </c>
    </row>
    <row r="30" spans="2:8" ht="15" customHeight="1" x14ac:dyDescent="0.2">
      <c r="B30" s="75">
        <v>16</v>
      </c>
      <c r="C30" s="76"/>
      <c r="D30" s="77"/>
      <c r="E30" s="77"/>
      <c r="F30" s="77"/>
      <c r="G30" s="77">
        <v>2.9499999999999998E-2</v>
      </c>
      <c r="H30" s="78">
        <v>4.4609999999999997E-2</v>
      </c>
    </row>
    <row r="31" spans="2:8" ht="15" customHeight="1" x14ac:dyDescent="0.2">
      <c r="B31" s="75">
        <v>17</v>
      </c>
      <c r="C31" s="76"/>
      <c r="D31" s="77"/>
      <c r="E31" s="77"/>
      <c r="F31" s="77"/>
      <c r="G31" s="77"/>
      <c r="H31" s="78">
        <v>4.462E-2</v>
      </c>
    </row>
    <row r="32" spans="2:8" ht="15" customHeight="1" x14ac:dyDescent="0.2">
      <c r="B32" s="75">
        <v>18</v>
      </c>
      <c r="C32" s="76"/>
      <c r="D32" s="77"/>
      <c r="E32" s="77"/>
      <c r="F32" s="77"/>
      <c r="G32" s="77"/>
      <c r="H32" s="78">
        <v>4.4609999999999997E-2</v>
      </c>
    </row>
    <row r="33" spans="1:24" ht="15" customHeight="1" x14ac:dyDescent="0.2">
      <c r="B33" s="75">
        <v>19</v>
      </c>
      <c r="C33" s="76"/>
      <c r="D33" s="77"/>
      <c r="E33" s="77"/>
      <c r="F33" s="77"/>
      <c r="G33" s="77"/>
      <c r="H33" s="78">
        <v>4.462E-2</v>
      </c>
    </row>
    <row r="34" spans="1:24" ht="15" customHeight="1" x14ac:dyDescent="0.2">
      <c r="B34" s="75">
        <v>20</v>
      </c>
      <c r="C34" s="76"/>
      <c r="D34" s="77"/>
      <c r="E34" s="77"/>
      <c r="F34" s="77"/>
      <c r="G34" s="77"/>
      <c r="H34" s="78">
        <v>4.4609999999999997E-2</v>
      </c>
    </row>
    <row r="35" spans="1:24" ht="15" customHeight="1" thickBot="1" x14ac:dyDescent="0.25">
      <c r="B35" s="79">
        <v>21</v>
      </c>
      <c r="C35" s="80"/>
      <c r="D35" s="81"/>
      <c r="E35" s="81"/>
      <c r="F35" s="81"/>
      <c r="G35" s="81"/>
      <c r="H35" s="82">
        <v>2.231E-2</v>
      </c>
    </row>
    <row r="36" spans="1:24" ht="15" customHeight="1" thickTop="1" x14ac:dyDescent="0.2">
      <c r="B36" s="83" t="s">
        <v>50</v>
      </c>
      <c r="C36" s="84">
        <f t="shared" ref="C36:H36" ca="1" si="0">NPV(real_irr,C15:C35)</f>
        <v>0.861730483722558</v>
      </c>
      <c r="D36" s="85">
        <f t="shared" ca="1" si="0"/>
        <v>0.81132579180653486</v>
      </c>
      <c r="E36" s="85">
        <f t="shared" ca="1" si="0"/>
        <v>0.76611247423420981</v>
      </c>
      <c r="F36" s="85">
        <f t="shared" ca="1" si="0"/>
        <v>0.70592323058796147</v>
      </c>
      <c r="G36" s="85">
        <f t="shared" ca="1" si="0"/>
        <v>0.57966874115937961</v>
      </c>
      <c r="H36" s="86">
        <f t="shared" ca="1" si="0"/>
        <v>0.50624177952518146</v>
      </c>
    </row>
    <row r="37" spans="1:24" ht="15" customHeight="1" thickBot="1" x14ac:dyDescent="0.25">
      <c r="B37" s="79" t="s">
        <v>51</v>
      </c>
      <c r="C37" s="87">
        <f t="shared" ref="C37:H37" ca="1" si="1">NPV(nominal_irr,C15:C35)</f>
        <v>0.83149291060393982</v>
      </c>
      <c r="D37" s="88">
        <f t="shared" ca="1" si="1"/>
        <v>0.77231075823151107</v>
      </c>
      <c r="E37" s="88">
        <f t="shared" ca="1" si="1"/>
        <v>0.72034649543580254</v>
      </c>
      <c r="F37" s="88">
        <f t="shared" ca="1" si="1"/>
        <v>0.65286934217044934</v>
      </c>
      <c r="G37" s="88">
        <f t="shared" ca="1" si="1"/>
        <v>0.51586770297474116</v>
      </c>
      <c r="H37" s="89">
        <f t="shared" ca="1" si="1"/>
        <v>0.44094384285873256</v>
      </c>
    </row>
    <row r="38" spans="1:24" ht="15" customHeight="1" thickTop="1" x14ac:dyDescent="0.2"/>
    <row r="39" spans="1:24" ht="15" customHeight="1" x14ac:dyDescent="0.2"/>
    <row r="40" spans="1:24" ht="15" customHeight="1" thickBot="1" x14ac:dyDescent="0.25"/>
    <row r="41" spans="1:24" ht="29.25" customHeight="1" thickTop="1" thickBot="1" x14ac:dyDescent="0.25">
      <c r="A41" s="90" t="s">
        <v>52</v>
      </c>
      <c r="B41" s="91"/>
    </row>
    <row r="42" spans="1:24" ht="15" customHeight="1" thickTop="1" x14ac:dyDescent="0.2">
      <c r="A42" s="92" t="s">
        <v>389</v>
      </c>
      <c r="B42" s="93" t="str">
        <f>depr_type</f>
        <v>MACRS</v>
      </c>
    </row>
    <row r="43" spans="1:24" ht="15" customHeight="1" x14ac:dyDescent="0.2">
      <c r="A43" s="94" t="s">
        <v>53</v>
      </c>
      <c r="B43" s="95">
        <f>depr_length</f>
        <v>20</v>
      </c>
    </row>
    <row r="44" spans="1:24" ht="15" customHeight="1" thickBot="1" x14ac:dyDescent="0.25">
      <c r="A44" s="96" t="s">
        <v>54</v>
      </c>
      <c r="B44" s="97">
        <f ca="1">-('Cash Flow Analysis'!G65+SUM('Cash Flow Analysis'!H65:H113))</f>
        <v>192609956.68007764</v>
      </c>
    </row>
    <row r="45" spans="1:24" ht="15" customHeight="1" thickTop="1" x14ac:dyDescent="0.2"/>
    <row r="46" spans="1:24" ht="15" customHeight="1" thickBot="1" x14ac:dyDescent="0.25"/>
    <row r="47" spans="1:24" ht="27" customHeight="1" thickTop="1" thickBot="1" x14ac:dyDescent="0.25">
      <c r="A47" s="98" t="s">
        <v>55</v>
      </c>
      <c r="B47" s="64"/>
      <c r="C47" s="64"/>
      <c r="D47" s="64"/>
      <c r="E47" s="64"/>
      <c r="F47" s="64"/>
      <c r="G47" s="64"/>
      <c r="H47" s="64"/>
      <c r="I47" s="64"/>
      <c r="J47" s="64"/>
      <c r="K47" s="64"/>
      <c r="L47" s="64"/>
      <c r="M47" s="64"/>
      <c r="N47" s="64"/>
      <c r="O47" s="64"/>
      <c r="P47" s="64"/>
      <c r="Q47" s="64"/>
      <c r="R47" s="64"/>
      <c r="S47" s="64"/>
      <c r="T47" s="64"/>
      <c r="U47" s="64"/>
      <c r="V47" s="64"/>
      <c r="W47" s="64"/>
      <c r="X47" s="65"/>
    </row>
    <row r="48" spans="1:24" ht="30.75" customHeight="1" thickTop="1" thickBot="1" x14ac:dyDescent="0.25">
      <c r="A48" s="99" t="s">
        <v>56</v>
      </c>
      <c r="B48" s="100" t="s">
        <v>57</v>
      </c>
      <c r="C48" s="101">
        <v>1</v>
      </c>
      <c r="D48" s="102">
        <v>2</v>
      </c>
      <c r="E48" s="102">
        <v>3</v>
      </c>
      <c r="F48" s="102">
        <v>4</v>
      </c>
      <c r="G48" s="102">
        <v>5</v>
      </c>
      <c r="H48" s="102">
        <v>6</v>
      </c>
      <c r="I48" s="102">
        <v>7</v>
      </c>
      <c r="J48" s="102">
        <v>8</v>
      </c>
      <c r="K48" s="102">
        <v>9</v>
      </c>
      <c r="L48" s="102">
        <v>10</v>
      </c>
      <c r="M48" s="102">
        <v>11</v>
      </c>
      <c r="N48" s="102">
        <v>12</v>
      </c>
      <c r="O48" s="102">
        <v>13</v>
      </c>
      <c r="P48" s="102">
        <v>14</v>
      </c>
      <c r="Q48" s="102">
        <v>15</v>
      </c>
      <c r="R48" s="102">
        <v>16</v>
      </c>
      <c r="S48" s="102">
        <v>17</v>
      </c>
      <c r="T48" s="102">
        <v>18</v>
      </c>
      <c r="U48" s="102">
        <v>19</v>
      </c>
      <c r="V48" s="102">
        <v>20</v>
      </c>
      <c r="W48" s="91">
        <v>21</v>
      </c>
      <c r="X48" s="69" t="s">
        <v>58</v>
      </c>
    </row>
    <row r="49" spans="1:24" ht="15" customHeight="1" thickTop="1" x14ac:dyDescent="0.2">
      <c r="A49" s="83">
        <f>IF('Cash Flow Analysis'!C65="","",'Cash Flow Analysis'!C65)</f>
        <v>-3</v>
      </c>
      <c r="B49" s="1068">
        <f>IF(A49="","",IF(A49&lt;1,0,IF(A49=1,$B$44-'Cash Flow Analysis'!I65,-'Cash Flow Analysis'!I65)))</f>
        <v>0</v>
      </c>
      <c r="C49" s="103">
        <f>IF(B49="","",IF(AND($B$42="Straight Line",$C$48&lt;=depr_length),B49/depr_length,IF(AND($B$42="MACRS",$C$48&lt;=depr_length+1),B49*INDEX(MACRS_Table,MATCH($C$48,recovery_year,0),MATCH($B$43,recovery_period,0)),"")))</f>
        <v>0</v>
      </c>
      <c r="D49" s="104">
        <f t="shared" ref="D49:W49" si="2">IF($B$49="","",IF(AND($B$42="Straight Line",D48&lt;=depr_length),$B$49/depr_length,IF(AND($B$42="MACRS",D48&lt;=depr_length+1),$B$49*INDEX(MACRS_Table,MATCH(D48,recovery_year,0),MATCH($B$43,recovery_period,0)),"")))</f>
        <v>0</v>
      </c>
      <c r="E49" s="104">
        <f t="shared" si="2"/>
        <v>0</v>
      </c>
      <c r="F49" s="104">
        <f t="shared" si="2"/>
        <v>0</v>
      </c>
      <c r="G49" s="104">
        <f t="shared" si="2"/>
        <v>0</v>
      </c>
      <c r="H49" s="104">
        <f t="shared" si="2"/>
        <v>0</v>
      </c>
      <c r="I49" s="104">
        <f t="shared" si="2"/>
        <v>0</v>
      </c>
      <c r="J49" s="104">
        <f t="shared" si="2"/>
        <v>0</v>
      </c>
      <c r="K49" s="104">
        <f t="shared" si="2"/>
        <v>0</v>
      </c>
      <c r="L49" s="104">
        <f t="shared" si="2"/>
        <v>0</v>
      </c>
      <c r="M49" s="104">
        <f t="shared" si="2"/>
        <v>0</v>
      </c>
      <c r="N49" s="104">
        <f t="shared" si="2"/>
        <v>0</v>
      </c>
      <c r="O49" s="104">
        <f t="shared" si="2"/>
        <v>0</v>
      </c>
      <c r="P49" s="104">
        <f t="shared" si="2"/>
        <v>0</v>
      </c>
      <c r="Q49" s="104">
        <f t="shared" si="2"/>
        <v>0</v>
      </c>
      <c r="R49" s="104">
        <f t="shared" si="2"/>
        <v>0</v>
      </c>
      <c r="S49" s="104">
        <f t="shared" si="2"/>
        <v>0</v>
      </c>
      <c r="T49" s="104">
        <f t="shared" si="2"/>
        <v>0</v>
      </c>
      <c r="U49" s="104">
        <f t="shared" si="2"/>
        <v>0</v>
      </c>
      <c r="V49" s="104">
        <f t="shared" si="2"/>
        <v>0</v>
      </c>
      <c r="W49" s="105">
        <f t="shared" si="2"/>
        <v>0</v>
      </c>
      <c r="X49" s="106">
        <f t="shared" ref="X49:X92" si="3">SUM(C49:W49)</f>
        <v>0</v>
      </c>
    </row>
    <row r="50" spans="1:24" ht="15" customHeight="1" x14ac:dyDescent="0.2">
      <c r="A50" s="75">
        <f>IF('Cash Flow Analysis'!C66="","",'Cash Flow Analysis'!C66)</f>
        <v>-2</v>
      </c>
      <c r="B50" s="1069">
        <f>IF(A50="","",IF(A50&lt;1,0,IF(A50=1,$B$44-'Cash Flow Analysis'!I66,-'Cash Flow Analysis'!I66)))</f>
        <v>0</v>
      </c>
      <c r="C50" s="108">
        <f t="shared" ref="C50:W50" si="4">IF($B$50="","",IF(AND($B$42="Straight Line",C48&lt;=depr_length),$B$50/depr_length,IF(AND($B$42="MACRS",C48&lt;=depr_length+1),$B$50*INDEX(MACRS_Table,MATCH(C48,recovery_year,0),MATCH($B$43,recovery_period,0)),"")))</f>
        <v>0</v>
      </c>
      <c r="D50" s="109">
        <f t="shared" si="4"/>
        <v>0</v>
      </c>
      <c r="E50" s="109">
        <f t="shared" si="4"/>
        <v>0</v>
      </c>
      <c r="F50" s="109">
        <f t="shared" si="4"/>
        <v>0</v>
      </c>
      <c r="G50" s="109">
        <f t="shared" si="4"/>
        <v>0</v>
      </c>
      <c r="H50" s="109">
        <f t="shared" si="4"/>
        <v>0</v>
      </c>
      <c r="I50" s="109">
        <f t="shared" si="4"/>
        <v>0</v>
      </c>
      <c r="J50" s="109">
        <f t="shared" si="4"/>
        <v>0</v>
      </c>
      <c r="K50" s="109">
        <f t="shared" si="4"/>
        <v>0</v>
      </c>
      <c r="L50" s="109">
        <f t="shared" si="4"/>
        <v>0</v>
      </c>
      <c r="M50" s="109">
        <f t="shared" si="4"/>
        <v>0</v>
      </c>
      <c r="N50" s="109">
        <f t="shared" si="4"/>
        <v>0</v>
      </c>
      <c r="O50" s="109">
        <f t="shared" si="4"/>
        <v>0</v>
      </c>
      <c r="P50" s="109">
        <f t="shared" si="4"/>
        <v>0</v>
      </c>
      <c r="Q50" s="109">
        <f t="shared" si="4"/>
        <v>0</v>
      </c>
      <c r="R50" s="109">
        <f t="shared" si="4"/>
        <v>0</v>
      </c>
      <c r="S50" s="109">
        <f t="shared" si="4"/>
        <v>0</v>
      </c>
      <c r="T50" s="109">
        <f t="shared" si="4"/>
        <v>0</v>
      </c>
      <c r="U50" s="109">
        <f t="shared" si="4"/>
        <v>0</v>
      </c>
      <c r="V50" s="109">
        <f t="shared" si="4"/>
        <v>0</v>
      </c>
      <c r="W50" s="110">
        <f t="shared" si="4"/>
        <v>0</v>
      </c>
      <c r="X50" s="107">
        <f t="shared" si="3"/>
        <v>0</v>
      </c>
    </row>
    <row r="51" spans="1:24" ht="15" customHeight="1" x14ac:dyDescent="0.2">
      <c r="A51" s="75">
        <f>IF('Cash Flow Analysis'!C67="","",'Cash Flow Analysis'!C67)</f>
        <v>-1</v>
      </c>
      <c r="B51" s="1069">
        <f>IF(A51="","",IF(A51&lt;1,0,IF(A51=1,$B$44-'Cash Flow Analysis'!I67,-'Cash Flow Analysis'!I67)))</f>
        <v>0</v>
      </c>
      <c r="C51" s="108">
        <f t="shared" ref="C51:W51" si="5">IF($B$51="","",IF(AND($B$42="Straight Line",C48&lt;=depr_length),$B$51/depr_length,IF(AND($B$42="MACRS",C48&lt;=depr_length+1),$B$51*INDEX(MACRS_Table,MATCH(C48,recovery_year,0),MATCH($B$43,recovery_period,0)),"")))</f>
        <v>0</v>
      </c>
      <c r="D51" s="109">
        <f t="shared" si="5"/>
        <v>0</v>
      </c>
      <c r="E51" s="109">
        <f t="shared" si="5"/>
        <v>0</v>
      </c>
      <c r="F51" s="109">
        <f t="shared" si="5"/>
        <v>0</v>
      </c>
      <c r="G51" s="109">
        <f t="shared" si="5"/>
        <v>0</v>
      </c>
      <c r="H51" s="109">
        <f t="shared" si="5"/>
        <v>0</v>
      </c>
      <c r="I51" s="109">
        <f t="shared" si="5"/>
        <v>0</v>
      </c>
      <c r="J51" s="109">
        <f t="shared" si="5"/>
        <v>0</v>
      </c>
      <c r="K51" s="109">
        <f t="shared" si="5"/>
        <v>0</v>
      </c>
      <c r="L51" s="109">
        <f t="shared" si="5"/>
        <v>0</v>
      </c>
      <c r="M51" s="109">
        <f t="shared" si="5"/>
        <v>0</v>
      </c>
      <c r="N51" s="109">
        <f t="shared" si="5"/>
        <v>0</v>
      </c>
      <c r="O51" s="109">
        <f t="shared" si="5"/>
        <v>0</v>
      </c>
      <c r="P51" s="109">
        <f t="shared" si="5"/>
        <v>0</v>
      </c>
      <c r="Q51" s="109">
        <f t="shared" si="5"/>
        <v>0</v>
      </c>
      <c r="R51" s="109">
        <f t="shared" si="5"/>
        <v>0</v>
      </c>
      <c r="S51" s="109">
        <f t="shared" si="5"/>
        <v>0</v>
      </c>
      <c r="T51" s="109">
        <f t="shared" si="5"/>
        <v>0</v>
      </c>
      <c r="U51" s="109">
        <f t="shared" si="5"/>
        <v>0</v>
      </c>
      <c r="V51" s="109">
        <f t="shared" si="5"/>
        <v>0</v>
      </c>
      <c r="W51" s="110">
        <f t="shared" si="5"/>
        <v>0</v>
      </c>
      <c r="X51" s="107">
        <f t="shared" si="3"/>
        <v>0</v>
      </c>
    </row>
    <row r="52" spans="1:24" ht="15" customHeight="1" x14ac:dyDescent="0.2">
      <c r="A52" s="75">
        <f>IF('Cash Flow Analysis'!C68="","",'Cash Flow Analysis'!C68)</f>
        <v>1</v>
      </c>
      <c r="B52" s="1069">
        <f ca="1">IF(A52="","",IF(A52&lt;1,0,IF(A52=1,$B$44-'Cash Flow Analysis'!I68,-'Cash Flow Analysis'!I68)))</f>
        <v>193619390.342857</v>
      </c>
      <c r="C52" s="108">
        <f t="shared" ref="C52:W52" ca="1" si="6">IF($B$52="","",IF(AND($B$42="Straight Line",C48&lt;=depr_length),$B$52/depr_length,IF(AND($B$42="MACRS",C48&lt;=depr_length+1),$B$52*INDEX(MACRS_Table,MATCH(C48,recovery_year,0),MATCH($B$43,recovery_period,0)),"")))</f>
        <v>7260727.1378571372</v>
      </c>
      <c r="D52" s="109">
        <f t="shared" ca="1" si="6"/>
        <v>13977383.788850848</v>
      </c>
      <c r="E52" s="109">
        <f t="shared" ca="1" si="6"/>
        <v>12927966.693192562</v>
      </c>
      <c r="F52" s="109">
        <f t="shared" ca="1" si="6"/>
        <v>11959869.741478277</v>
      </c>
      <c r="G52" s="109">
        <f t="shared" ca="1" si="6"/>
        <v>11061475.770287421</v>
      </c>
      <c r="H52" s="109">
        <f t="shared" ca="1" si="6"/>
        <v>10232784.779619994</v>
      </c>
      <c r="I52" s="109">
        <f t="shared" ca="1" si="6"/>
        <v>9464115.7999588512</v>
      </c>
      <c r="J52" s="109">
        <f t="shared" ca="1" si="6"/>
        <v>8755468.8313039951</v>
      </c>
      <c r="K52" s="109">
        <f t="shared" ca="1" si="6"/>
        <v>8639297.1970982794</v>
      </c>
      <c r="L52" s="109">
        <f t="shared" ca="1" si="6"/>
        <v>8637361.0031948499</v>
      </c>
      <c r="M52" s="109">
        <f t="shared" ca="1" si="6"/>
        <v>8639297.1970982794</v>
      </c>
      <c r="N52" s="109">
        <f t="shared" ca="1" si="6"/>
        <v>8637361.0031948499</v>
      </c>
      <c r="O52" s="109">
        <f t="shared" ca="1" si="6"/>
        <v>8639297.1970982794</v>
      </c>
      <c r="P52" s="109">
        <f t="shared" ca="1" si="6"/>
        <v>8637361.0031948499</v>
      </c>
      <c r="Q52" s="109">
        <f t="shared" ca="1" si="6"/>
        <v>8639297.1970982794</v>
      </c>
      <c r="R52" s="109">
        <f t="shared" ca="1" si="6"/>
        <v>8637361.0031948499</v>
      </c>
      <c r="S52" s="109">
        <f t="shared" ca="1" si="6"/>
        <v>8639297.1970982794</v>
      </c>
      <c r="T52" s="109">
        <f t="shared" ca="1" si="6"/>
        <v>8637361.0031948499</v>
      </c>
      <c r="U52" s="109">
        <f t="shared" ca="1" si="6"/>
        <v>8639297.1970982794</v>
      </c>
      <c r="V52" s="109">
        <f t="shared" ca="1" si="6"/>
        <v>8637361.0031948499</v>
      </c>
      <c r="W52" s="110">
        <f t="shared" ca="1" si="6"/>
        <v>4319648.5985491397</v>
      </c>
      <c r="X52" s="107">
        <f t="shared" ca="1" si="3"/>
        <v>193619390.342857</v>
      </c>
    </row>
    <row r="53" spans="1:24" ht="15" customHeight="1" x14ac:dyDescent="0.2">
      <c r="A53" s="75">
        <f>IF('Cash Flow Analysis'!C69="","",'Cash Flow Analysis'!C69)</f>
        <v>2</v>
      </c>
      <c r="B53" s="1069">
        <f ca="1">IF(A53="","",IF(A53&lt;1,0,IF(A53=1,$B$44-'Cash Flow Analysis'!I69,-'Cash Flow Analysis'!I69)))</f>
        <v>1028612.9023721827</v>
      </c>
      <c r="C53" s="108">
        <f t="shared" ref="C53:W53" ca="1" si="7">IF($B$53="","",IF(AND($B$42="Straight Line",C48&lt;=depr_length),$B$53/depr_length,IF(AND($B$42="MACRS",C48&lt;=depr_length+1),$B$53*INDEX(MACRS_Table,MATCH(C48,recovery_year,0),MATCH($B$43,recovery_period,0)),"")))</f>
        <v>38572.983838956847</v>
      </c>
      <c r="D53" s="109">
        <f t="shared" ca="1" si="7"/>
        <v>74255.565422247877</v>
      </c>
      <c r="E53" s="109">
        <f t="shared" ca="1" si="7"/>
        <v>68680.483491390638</v>
      </c>
      <c r="F53" s="109">
        <f t="shared" ca="1" si="7"/>
        <v>63537.418979529721</v>
      </c>
      <c r="G53" s="109">
        <f t="shared" ca="1" si="7"/>
        <v>58764.6551125228</v>
      </c>
      <c r="H53" s="109">
        <f t="shared" ca="1" si="7"/>
        <v>54362.191890369853</v>
      </c>
      <c r="I53" s="109">
        <f t="shared" ca="1" si="7"/>
        <v>50278.59866795229</v>
      </c>
      <c r="J53" s="109">
        <f t="shared" ca="1" si="7"/>
        <v>46513.875445270103</v>
      </c>
      <c r="K53" s="109">
        <f t="shared" ca="1" si="7"/>
        <v>45896.707703846791</v>
      </c>
      <c r="L53" s="109">
        <f t="shared" ca="1" si="7"/>
        <v>45886.421574823064</v>
      </c>
      <c r="M53" s="109">
        <f t="shared" ca="1" si="7"/>
        <v>45896.707703846791</v>
      </c>
      <c r="N53" s="109">
        <f t="shared" ca="1" si="7"/>
        <v>45886.421574823064</v>
      </c>
      <c r="O53" s="109">
        <f t="shared" ca="1" si="7"/>
        <v>45896.707703846791</v>
      </c>
      <c r="P53" s="109">
        <f t="shared" ca="1" si="7"/>
        <v>45886.421574823064</v>
      </c>
      <c r="Q53" s="109">
        <f t="shared" ca="1" si="7"/>
        <v>45896.707703846791</v>
      </c>
      <c r="R53" s="109">
        <f t="shared" ca="1" si="7"/>
        <v>45886.421574823064</v>
      </c>
      <c r="S53" s="109">
        <f t="shared" ca="1" si="7"/>
        <v>45896.707703846791</v>
      </c>
      <c r="T53" s="109">
        <f t="shared" ca="1" si="7"/>
        <v>45886.421574823064</v>
      </c>
      <c r="U53" s="109">
        <f t="shared" ca="1" si="7"/>
        <v>45896.707703846791</v>
      </c>
      <c r="V53" s="109">
        <f t="shared" ca="1" si="7"/>
        <v>45886.421574823064</v>
      </c>
      <c r="W53" s="110">
        <f t="shared" ca="1" si="7"/>
        <v>22948.353851923395</v>
      </c>
      <c r="X53" s="107">
        <f t="shared" ca="1" si="3"/>
        <v>1028612.9023721826</v>
      </c>
    </row>
    <row r="54" spans="1:24" ht="15" customHeight="1" x14ac:dyDescent="0.2">
      <c r="A54" s="75">
        <f>IF('Cash Flow Analysis'!C70="","",'Cash Flow Analysis'!C70)</f>
        <v>3</v>
      </c>
      <c r="B54" s="1069">
        <f ca="1">IF(A54="","",IF(A54&lt;1,0,IF(A54=1,$B$44-'Cash Flow Analysis'!I70,-'Cash Flow Analysis'!I70)))</f>
        <v>1048156.5475172541</v>
      </c>
      <c r="C54" s="108">
        <f t="shared" ref="C54:W54" ca="1" si="8">IF($B$54="","",IF(AND($B$42="Straight Line",C48&lt;=depr_length),$B$54/depr_length,IF(AND($B$42="MACRS",C48&lt;=depr_length+1),$B$54*INDEX(MACRS_Table,MATCH(C48,recovery_year,0),MATCH($B$43,recovery_period,0)),"")))</f>
        <v>39305.870531897031</v>
      </c>
      <c r="D54" s="109">
        <f t="shared" ca="1" si="8"/>
        <v>75666.421165270585</v>
      </c>
      <c r="E54" s="109">
        <f t="shared" ca="1" si="8"/>
        <v>69985.412677727058</v>
      </c>
      <c r="F54" s="109">
        <f t="shared" ca="1" si="8"/>
        <v>64744.629940140789</v>
      </c>
      <c r="G54" s="109">
        <f t="shared" ca="1" si="8"/>
        <v>59881.183559660727</v>
      </c>
      <c r="H54" s="109">
        <f t="shared" ca="1" si="8"/>
        <v>55395.07353628688</v>
      </c>
      <c r="I54" s="109">
        <f t="shared" ca="1" si="8"/>
        <v>51233.892042643383</v>
      </c>
      <c r="J54" s="109">
        <f t="shared" ca="1" si="8"/>
        <v>47397.639078730237</v>
      </c>
      <c r="K54" s="109">
        <f t="shared" ca="1" si="8"/>
        <v>46768.745150219882</v>
      </c>
      <c r="L54" s="109">
        <f t="shared" ca="1" si="8"/>
        <v>46758.263584744702</v>
      </c>
      <c r="M54" s="109">
        <f t="shared" ca="1" si="8"/>
        <v>46768.745150219882</v>
      </c>
      <c r="N54" s="109">
        <f t="shared" ca="1" si="8"/>
        <v>46758.263584744702</v>
      </c>
      <c r="O54" s="109">
        <f t="shared" ca="1" si="8"/>
        <v>46768.745150219882</v>
      </c>
      <c r="P54" s="109">
        <f t="shared" ca="1" si="8"/>
        <v>46758.263584744702</v>
      </c>
      <c r="Q54" s="109">
        <f t="shared" ca="1" si="8"/>
        <v>46768.745150219882</v>
      </c>
      <c r="R54" s="109">
        <f t="shared" ca="1" si="8"/>
        <v>46758.263584744702</v>
      </c>
      <c r="S54" s="109">
        <f t="shared" ca="1" si="8"/>
        <v>46768.745150219882</v>
      </c>
      <c r="T54" s="109">
        <f t="shared" ca="1" si="8"/>
        <v>46758.263584744702</v>
      </c>
      <c r="U54" s="109">
        <f t="shared" ca="1" si="8"/>
        <v>46768.745150219882</v>
      </c>
      <c r="V54" s="109">
        <f t="shared" ca="1" si="8"/>
        <v>46758.263584744702</v>
      </c>
      <c r="W54" s="110">
        <f t="shared" ca="1" si="8"/>
        <v>23384.372575109941</v>
      </c>
      <c r="X54" s="107">
        <f t="shared" ca="1" si="3"/>
        <v>1048156.5475172539</v>
      </c>
    </row>
    <row r="55" spans="1:24" ht="15" customHeight="1" x14ac:dyDescent="0.2">
      <c r="A55" s="75">
        <f>IF('Cash Flow Analysis'!C71="","",'Cash Flow Analysis'!C71)</f>
        <v>4</v>
      </c>
      <c r="B55" s="1069">
        <f ca="1">IF(A55="","",IF(A55&lt;1,0,IF(A55=1,$B$44-'Cash Flow Analysis'!I71,-'Cash Flow Analysis'!I71)))</f>
        <v>1068071.5219200819</v>
      </c>
      <c r="C55" s="108">
        <f t="shared" ref="C55:W55" ca="1" si="9">IF($B$55="","",IF(AND($B$42="Straight Line",C48&lt;=depr_length),$B$55/depr_length,IF(AND($B$42="MACRS",C48&lt;=depr_length+1),$B$55*INDEX(MACRS_Table,MATCH(C48,recovery_year,0),MATCH($B$43,recovery_period,0)),"")))</f>
        <v>40052.682072003074</v>
      </c>
      <c r="D55" s="109">
        <f t="shared" ca="1" si="9"/>
        <v>77104.083167410718</v>
      </c>
      <c r="E55" s="109">
        <f t="shared" ca="1" si="9"/>
        <v>71315.135518603871</v>
      </c>
      <c r="F55" s="109">
        <f t="shared" ca="1" si="9"/>
        <v>65974.77790900346</v>
      </c>
      <c r="G55" s="109">
        <f t="shared" ca="1" si="9"/>
        <v>61018.926047294284</v>
      </c>
      <c r="H55" s="109">
        <f t="shared" ca="1" si="9"/>
        <v>56447.579933476329</v>
      </c>
      <c r="I55" s="109">
        <f t="shared" ca="1" si="9"/>
        <v>52207.335991453605</v>
      </c>
      <c r="J55" s="109">
        <f t="shared" ca="1" si="9"/>
        <v>48298.194221226106</v>
      </c>
      <c r="K55" s="109">
        <f t="shared" ca="1" si="9"/>
        <v>47657.351308074052</v>
      </c>
      <c r="L55" s="109">
        <f t="shared" ca="1" si="9"/>
        <v>47646.670592854854</v>
      </c>
      <c r="M55" s="109">
        <f t="shared" ca="1" si="9"/>
        <v>47657.351308074052</v>
      </c>
      <c r="N55" s="109">
        <f t="shared" ca="1" si="9"/>
        <v>47646.670592854854</v>
      </c>
      <c r="O55" s="109">
        <f t="shared" ca="1" si="9"/>
        <v>47657.351308074052</v>
      </c>
      <c r="P55" s="109">
        <f t="shared" ca="1" si="9"/>
        <v>47646.670592854854</v>
      </c>
      <c r="Q55" s="109">
        <f t="shared" ca="1" si="9"/>
        <v>47657.351308074052</v>
      </c>
      <c r="R55" s="109">
        <f t="shared" ca="1" si="9"/>
        <v>47646.670592854854</v>
      </c>
      <c r="S55" s="109">
        <f t="shared" ca="1" si="9"/>
        <v>47657.351308074052</v>
      </c>
      <c r="T55" s="109">
        <f t="shared" ca="1" si="9"/>
        <v>47646.670592854854</v>
      </c>
      <c r="U55" s="109">
        <f t="shared" ca="1" si="9"/>
        <v>47657.351308074052</v>
      </c>
      <c r="V55" s="109">
        <f t="shared" ca="1" si="9"/>
        <v>47646.670592854854</v>
      </c>
      <c r="W55" s="110">
        <f t="shared" ca="1" si="9"/>
        <v>23828.675654037026</v>
      </c>
      <c r="X55" s="107">
        <f t="shared" ca="1" si="3"/>
        <v>1068071.5219200819</v>
      </c>
    </row>
    <row r="56" spans="1:24" ht="15" customHeight="1" x14ac:dyDescent="0.2">
      <c r="A56" s="75">
        <f>IF('Cash Flow Analysis'!C72="","",'Cash Flow Analysis'!C72)</f>
        <v>5</v>
      </c>
      <c r="B56" s="1069">
        <f ca="1">IF(A56="","",IF(A56&lt;1,0,IF(A56=1,$B$44-'Cash Flow Analysis'!I72,-'Cash Flow Analysis'!I72)))</f>
        <v>1088364.8808365634</v>
      </c>
      <c r="C56" s="108">
        <f t="shared" ref="C56:W56" ca="1" si="10">IF($B$56="","",IF(AND($B$42="Straight Line",C48&lt;=depr_length),$B$56/depr_length,IF(AND($B$42="MACRS",C48&lt;=depr_length+1),$B$56*INDEX(MACRS_Table,MATCH(C48,recovery_year,0),MATCH($B$43,recovery_period,0)),"")))</f>
        <v>40813.683031371125</v>
      </c>
      <c r="D56" s="109">
        <f t="shared" ca="1" si="10"/>
        <v>78569.060747591517</v>
      </c>
      <c r="E56" s="109">
        <f t="shared" ca="1" si="10"/>
        <v>72670.12309345734</v>
      </c>
      <c r="F56" s="109">
        <f t="shared" ca="1" si="10"/>
        <v>67228.298689274525</v>
      </c>
      <c r="G56" s="109">
        <f t="shared" ca="1" si="10"/>
        <v>62178.285642192866</v>
      </c>
      <c r="H56" s="109">
        <f t="shared" ca="1" si="10"/>
        <v>57520.083952212379</v>
      </c>
      <c r="I56" s="109">
        <f t="shared" ca="1" si="10"/>
        <v>53199.275375291218</v>
      </c>
      <c r="J56" s="109">
        <f t="shared" ca="1" si="10"/>
        <v>49215.859911429405</v>
      </c>
      <c r="K56" s="109">
        <f t="shared" ca="1" si="10"/>
        <v>48562.840982927461</v>
      </c>
      <c r="L56" s="109">
        <f t="shared" ca="1" si="10"/>
        <v>48551.957334119092</v>
      </c>
      <c r="M56" s="109">
        <f t="shared" ca="1" si="10"/>
        <v>48562.840982927461</v>
      </c>
      <c r="N56" s="109">
        <f t="shared" ca="1" si="10"/>
        <v>48551.957334119092</v>
      </c>
      <c r="O56" s="109">
        <f t="shared" ca="1" si="10"/>
        <v>48562.840982927461</v>
      </c>
      <c r="P56" s="109">
        <f t="shared" ca="1" si="10"/>
        <v>48551.957334119092</v>
      </c>
      <c r="Q56" s="109">
        <f t="shared" ca="1" si="10"/>
        <v>48562.840982927461</v>
      </c>
      <c r="R56" s="109">
        <f t="shared" ca="1" si="10"/>
        <v>48551.957334119092</v>
      </c>
      <c r="S56" s="109">
        <f t="shared" ca="1" si="10"/>
        <v>48562.840982927461</v>
      </c>
      <c r="T56" s="109">
        <f t="shared" ca="1" si="10"/>
        <v>48551.957334119092</v>
      </c>
      <c r="U56" s="109">
        <f t="shared" ca="1" si="10"/>
        <v>48562.840982927461</v>
      </c>
      <c r="V56" s="109">
        <f t="shared" ca="1" si="10"/>
        <v>48551.957334119092</v>
      </c>
      <c r="W56" s="110">
        <f t="shared" ca="1" si="10"/>
        <v>24281.42049146373</v>
      </c>
      <c r="X56" s="107">
        <f t="shared" ca="1" si="3"/>
        <v>1088364.8808365637</v>
      </c>
    </row>
    <row r="57" spans="1:24" ht="15" customHeight="1" x14ac:dyDescent="0.2">
      <c r="A57" s="75">
        <f>IF('Cash Flow Analysis'!C73="","",'Cash Flow Analysis'!C73)</f>
        <v>6</v>
      </c>
      <c r="B57" s="1069">
        <f ca="1">IF(A57="","",IF(A57&lt;1,0,IF(A57=1,$B$44-'Cash Flow Analysis'!I73,-'Cash Flow Analysis'!I73)))</f>
        <v>1109043.813572458</v>
      </c>
      <c r="C57" s="108">
        <f t="shared" ref="C57:W57" ca="1" si="11">IF($B$57="","",IF(AND($B$42="Straight Line",C48&lt;=depr_length),$B$57/depr_length,IF(AND($B$42="MACRS",C48&lt;=depr_length+1),$B$57*INDEX(MACRS_Table,MATCH(C48,recovery_year,0),MATCH($B$43,recovery_period,0)),"")))</f>
        <v>41589.14300896717</v>
      </c>
      <c r="D57" s="109">
        <f t="shared" ca="1" si="11"/>
        <v>80061.872901795752</v>
      </c>
      <c r="E57" s="109">
        <f t="shared" ca="1" si="11"/>
        <v>74050.855432233016</v>
      </c>
      <c r="F57" s="109">
        <f t="shared" ca="1" si="11"/>
        <v>68505.63636437073</v>
      </c>
      <c r="G57" s="109">
        <f t="shared" ca="1" si="11"/>
        <v>63359.673069394528</v>
      </c>
      <c r="H57" s="109">
        <f t="shared" ca="1" si="11"/>
        <v>58612.965547304404</v>
      </c>
      <c r="I57" s="109">
        <f t="shared" ca="1" si="11"/>
        <v>54210.061607421747</v>
      </c>
      <c r="J57" s="109">
        <f t="shared" ca="1" si="11"/>
        <v>50150.961249746557</v>
      </c>
      <c r="K57" s="109">
        <f t="shared" ca="1" si="11"/>
        <v>49485.534961603073</v>
      </c>
      <c r="L57" s="109">
        <f t="shared" ca="1" si="11"/>
        <v>49474.444523467348</v>
      </c>
      <c r="M57" s="109">
        <f t="shared" ca="1" si="11"/>
        <v>49485.534961603073</v>
      </c>
      <c r="N57" s="109">
        <f t="shared" ca="1" si="11"/>
        <v>49474.444523467348</v>
      </c>
      <c r="O57" s="109">
        <f t="shared" ca="1" si="11"/>
        <v>49485.534961603073</v>
      </c>
      <c r="P57" s="109">
        <f t="shared" ca="1" si="11"/>
        <v>49474.444523467348</v>
      </c>
      <c r="Q57" s="109">
        <f t="shared" ca="1" si="11"/>
        <v>49485.534961603073</v>
      </c>
      <c r="R57" s="109">
        <f t="shared" ca="1" si="11"/>
        <v>49474.444523467348</v>
      </c>
      <c r="S57" s="109">
        <f t="shared" ca="1" si="11"/>
        <v>49485.534961603073</v>
      </c>
      <c r="T57" s="109">
        <f t="shared" ca="1" si="11"/>
        <v>49474.444523467348</v>
      </c>
      <c r="U57" s="109">
        <f t="shared" ca="1" si="11"/>
        <v>49485.534961603073</v>
      </c>
      <c r="V57" s="109">
        <f t="shared" ca="1" si="11"/>
        <v>49474.444523467348</v>
      </c>
      <c r="W57" s="110">
        <f t="shared" ca="1" si="11"/>
        <v>24742.767480801536</v>
      </c>
      <c r="X57" s="107">
        <f t="shared" ca="1" si="3"/>
        <v>1109043.8135724582</v>
      </c>
    </row>
    <row r="58" spans="1:24" ht="15" customHeight="1" x14ac:dyDescent="0.2">
      <c r="A58" s="75">
        <f>IF('Cash Flow Analysis'!C74="","",'Cash Flow Analysis'!C74)</f>
        <v>7</v>
      </c>
      <c r="B58" s="1069">
        <f ca="1">IF(A58="","",IF(A58&lt;1,0,IF(A58=1,$B$44-'Cash Flow Analysis'!I74,-'Cash Flow Analysis'!I74)))</f>
        <v>1130115.6460303348</v>
      </c>
      <c r="C58" s="108">
        <f t="shared" ref="C58:W58" ca="1" si="12">IF($B$58="","",IF(AND($B$42="Straight Line",C48&lt;=depr_length),$B$58/depr_length,IF(AND($B$42="MACRS",C48&lt;=depr_length+1),$B$58*INDEX(MACRS_Table,MATCH(C48,recovery_year,0),MATCH($B$43,recovery_period,0)),"")))</f>
        <v>42379.336726137553</v>
      </c>
      <c r="D58" s="109">
        <f t="shared" ca="1" si="12"/>
        <v>81583.048486929867</v>
      </c>
      <c r="E58" s="109">
        <f t="shared" ca="1" si="12"/>
        <v>75457.821685445451</v>
      </c>
      <c r="F58" s="109">
        <f t="shared" ca="1" si="12"/>
        <v>69807.243455293778</v>
      </c>
      <c r="G58" s="109">
        <f t="shared" ca="1" si="12"/>
        <v>64563.506857713022</v>
      </c>
      <c r="H58" s="109">
        <f t="shared" ca="1" si="12"/>
        <v>59726.611892703193</v>
      </c>
      <c r="I58" s="109">
        <f t="shared" ca="1" si="12"/>
        <v>55240.052777962759</v>
      </c>
      <c r="J58" s="109">
        <f t="shared" ca="1" si="12"/>
        <v>51103.829513491743</v>
      </c>
      <c r="K58" s="109">
        <f t="shared" ca="1" si="12"/>
        <v>50425.760125873538</v>
      </c>
      <c r="L58" s="109">
        <f t="shared" ca="1" si="12"/>
        <v>50414.45896941323</v>
      </c>
      <c r="M58" s="109">
        <f t="shared" ca="1" si="12"/>
        <v>50425.760125873538</v>
      </c>
      <c r="N58" s="109">
        <f t="shared" ca="1" si="12"/>
        <v>50414.45896941323</v>
      </c>
      <c r="O58" s="109">
        <f t="shared" ca="1" si="12"/>
        <v>50425.760125873538</v>
      </c>
      <c r="P58" s="109">
        <f t="shared" ca="1" si="12"/>
        <v>50414.45896941323</v>
      </c>
      <c r="Q58" s="109">
        <f t="shared" ca="1" si="12"/>
        <v>50425.760125873538</v>
      </c>
      <c r="R58" s="109">
        <f t="shared" ca="1" si="12"/>
        <v>50414.45896941323</v>
      </c>
      <c r="S58" s="109">
        <f t="shared" ca="1" si="12"/>
        <v>50425.760125873538</v>
      </c>
      <c r="T58" s="109">
        <f t="shared" ca="1" si="12"/>
        <v>50414.45896941323</v>
      </c>
      <c r="U58" s="109">
        <f t="shared" ca="1" si="12"/>
        <v>50425.760125873538</v>
      </c>
      <c r="V58" s="109">
        <f t="shared" ca="1" si="12"/>
        <v>50414.45896941323</v>
      </c>
      <c r="W58" s="110">
        <f t="shared" ca="1" si="12"/>
        <v>25212.880062936769</v>
      </c>
      <c r="X58" s="107">
        <f t="shared" ca="1" si="3"/>
        <v>1130115.6460303345</v>
      </c>
    </row>
    <row r="59" spans="1:24" ht="15" customHeight="1" x14ac:dyDescent="0.2">
      <c r="A59" s="75">
        <f>IF('Cash Flow Analysis'!C75="","",'Cash Flow Analysis'!C75)</f>
        <v>8</v>
      </c>
      <c r="B59" s="1069">
        <f ca="1">IF(A59="","",IF(A59&lt;1,0,IF(A59=1,$B$44-'Cash Flow Analysis'!I75,-'Cash Flow Analysis'!I75)))</f>
        <v>1151587.8433049112</v>
      </c>
      <c r="C59" s="108">
        <f t="shared" ref="C59:W59" ca="1" si="13">IF($B$59="","",IF(AND($B$42="Straight Line",C48&lt;=depr_length),$B$59/depr_length,IF(AND($B$42="MACRS",C48&lt;=depr_length+1),$B$59*INDEX(MACRS_Table,MATCH(C48,recovery_year,0),MATCH($B$43,recovery_period,0)),"")))</f>
        <v>43184.544123934167</v>
      </c>
      <c r="D59" s="109">
        <f t="shared" ca="1" si="13"/>
        <v>83133.126408181546</v>
      </c>
      <c r="E59" s="109">
        <f t="shared" ca="1" si="13"/>
        <v>76891.520297468916</v>
      </c>
      <c r="F59" s="109">
        <f t="shared" ca="1" si="13"/>
        <v>71133.581080944365</v>
      </c>
      <c r="G59" s="109">
        <f t="shared" ca="1" si="13"/>
        <v>65790.213488009569</v>
      </c>
      <c r="H59" s="109">
        <f t="shared" ca="1" si="13"/>
        <v>60861.417518664559</v>
      </c>
      <c r="I59" s="109">
        <f t="shared" ca="1" si="13"/>
        <v>56289.613780744061</v>
      </c>
      <c r="J59" s="109">
        <f t="shared" ca="1" si="13"/>
        <v>52074.80227424809</v>
      </c>
      <c r="K59" s="109">
        <f t="shared" ca="1" si="13"/>
        <v>51383.849568265134</v>
      </c>
      <c r="L59" s="109">
        <f t="shared" ca="1" si="13"/>
        <v>51372.333689832085</v>
      </c>
      <c r="M59" s="109">
        <f t="shared" ca="1" si="13"/>
        <v>51383.849568265134</v>
      </c>
      <c r="N59" s="109">
        <f t="shared" ca="1" si="13"/>
        <v>51372.333689832085</v>
      </c>
      <c r="O59" s="109">
        <f t="shared" ca="1" si="13"/>
        <v>51383.849568265134</v>
      </c>
      <c r="P59" s="109">
        <f t="shared" ca="1" si="13"/>
        <v>51372.333689832085</v>
      </c>
      <c r="Q59" s="109">
        <f t="shared" ca="1" si="13"/>
        <v>51383.849568265134</v>
      </c>
      <c r="R59" s="109">
        <f t="shared" ca="1" si="13"/>
        <v>51372.333689832085</v>
      </c>
      <c r="S59" s="109">
        <f t="shared" ca="1" si="13"/>
        <v>51383.849568265134</v>
      </c>
      <c r="T59" s="109">
        <f t="shared" ca="1" si="13"/>
        <v>51372.333689832085</v>
      </c>
      <c r="U59" s="109">
        <f t="shared" ca="1" si="13"/>
        <v>51383.849568265134</v>
      </c>
      <c r="V59" s="109">
        <f t="shared" ca="1" si="13"/>
        <v>51372.333689832085</v>
      </c>
      <c r="W59" s="110">
        <f t="shared" ca="1" si="13"/>
        <v>25691.924784132567</v>
      </c>
      <c r="X59" s="107">
        <f t="shared" ca="1" si="3"/>
        <v>1151587.8433049114</v>
      </c>
    </row>
    <row r="60" spans="1:24" ht="15" customHeight="1" x14ac:dyDescent="0.2">
      <c r="A60" s="75">
        <f>IF('Cash Flow Analysis'!C76="","",'Cash Flow Analysis'!C76)</f>
        <v>9</v>
      </c>
      <c r="B60" s="1069">
        <f ca="1">IF(A60="","",IF(A60&lt;1,0,IF(A60=1,$B$44-'Cash Flow Analysis'!I76,-'Cash Flow Analysis'!I76)))</f>
        <v>1173468.0123277043</v>
      </c>
      <c r="C60" s="108">
        <f t="shared" ref="C60:W60" ca="1" si="14">IF($B$60="","",IF(AND($B$42="Straight Line",C48&lt;=depr_length),$B$60/depr_length,IF(AND($B$42="MACRS",C48&lt;=depr_length+1),$B$60*INDEX(MACRS_Table,MATCH(C48,recovery_year,0),MATCH($B$43,recovery_period,0)),"")))</f>
        <v>44005.050462288913</v>
      </c>
      <c r="D60" s="109">
        <f t="shared" ca="1" si="14"/>
        <v>84712.655809936987</v>
      </c>
      <c r="E60" s="109">
        <f t="shared" ca="1" si="14"/>
        <v>78352.459183120809</v>
      </c>
      <c r="F60" s="109">
        <f t="shared" ca="1" si="14"/>
        <v>72485.11912148229</v>
      </c>
      <c r="G60" s="109">
        <f t="shared" ca="1" si="14"/>
        <v>67040.227544281748</v>
      </c>
      <c r="H60" s="109">
        <f t="shared" ca="1" si="14"/>
        <v>62017.784451519175</v>
      </c>
      <c r="I60" s="109">
        <f t="shared" ca="1" si="14"/>
        <v>57359.11644257819</v>
      </c>
      <c r="J60" s="109">
        <f t="shared" ca="1" si="14"/>
        <v>53064.223517458791</v>
      </c>
      <c r="K60" s="109">
        <f t="shared" ca="1" si="14"/>
        <v>52360.142710062166</v>
      </c>
      <c r="L60" s="109">
        <f t="shared" ca="1" si="14"/>
        <v>52348.408029938888</v>
      </c>
      <c r="M60" s="109">
        <f t="shared" ca="1" si="14"/>
        <v>52360.142710062166</v>
      </c>
      <c r="N60" s="109">
        <f t="shared" ca="1" si="14"/>
        <v>52348.408029938888</v>
      </c>
      <c r="O60" s="109">
        <f t="shared" ca="1" si="14"/>
        <v>52360.142710062166</v>
      </c>
      <c r="P60" s="109">
        <f t="shared" ca="1" si="14"/>
        <v>52348.408029938888</v>
      </c>
      <c r="Q60" s="109">
        <f t="shared" ca="1" si="14"/>
        <v>52360.142710062166</v>
      </c>
      <c r="R60" s="109">
        <f t="shared" ca="1" si="14"/>
        <v>52348.408029938888</v>
      </c>
      <c r="S60" s="109">
        <f t="shared" ca="1" si="14"/>
        <v>52360.142710062166</v>
      </c>
      <c r="T60" s="109">
        <f t="shared" ca="1" si="14"/>
        <v>52348.408029938888</v>
      </c>
      <c r="U60" s="109">
        <f t="shared" ca="1" si="14"/>
        <v>52360.142710062166</v>
      </c>
      <c r="V60" s="109">
        <f t="shared" ca="1" si="14"/>
        <v>52348.408029938888</v>
      </c>
      <c r="W60" s="110">
        <f t="shared" ca="1" si="14"/>
        <v>26180.071355031083</v>
      </c>
      <c r="X60" s="107">
        <f t="shared" ca="1" si="3"/>
        <v>1173468.0123277046</v>
      </c>
    </row>
    <row r="61" spans="1:24" ht="15" customHeight="1" x14ac:dyDescent="0.2">
      <c r="A61" s="75">
        <f>IF('Cash Flow Analysis'!C77="","",'Cash Flow Analysis'!C77)</f>
        <v>10</v>
      </c>
      <c r="B61" s="1069">
        <f ca="1">IF(A61="","",IF(A61&lt;1,0,IF(A61=1,$B$44-'Cash Flow Analysis'!I77,-'Cash Flow Analysis'!I77)))</f>
        <v>1195763.9045619306</v>
      </c>
      <c r="C61" s="108">
        <f t="shared" ref="C61:W61" ca="1" si="15">IF($B$61="","",IF(AND($B$42="Straight Line",C48&lt;=depr_length),$B$61/depr_length,IF(AND($B$42="MACRS",C48&lt;=depr_length+1),$B$61*INDEX(MACRS_Table,MATCH(C48,recovery_year,0),MATCH($B$43,recovery_period,0)),"")))</f>
        <v>44841.146421072393</v>
      </c>
      <c r="D61" s="109">
        <f t="shared" ca="1" si="15"/>
        <v>86322.196270325774</v>
      </c>
      <c r="E61" s="109">
        <f t="shared" ca="1" si="15"/>
        <v>79841.155907600099</v>
      </c>
      <c r="F61" s="109">
        <f t="shared" ca="1" si="15"/>
        <v>73862.336384790455</v>
      </c>
      <c r="G61" s="109">
        <f t="shared" ca="1" si="15"/>
        <v>68313.991867623088</v>
      </c>
      <c r="H61" s="109">
        <f t="shared" ca="1" si="15"/>
        <v>63196.122356098029</v>
      </c>
      <c r="I61" s="109">
        <f t="shared" ca="1" si="15"/>
        <v>58448.939654987167</v>
      </c>
      <c r="J61" s="109">
        <f t="shared" ca="1" si="15"/>
        <v>54072.443764290503</v>
      </c>
      <c r="K61" s="109">
        <f t="shared" ca="1" si="15"/>
        <v>53354.985421553341</v>
      </c>
      <c r="L61" s="109">
        <f t="shared" ca="1" si="15"/>
        <v>53343.027782507721</v>
      </c>
      <c r="M61" s="109">
        <f t="shared" ca="1" si="15"/>
        <v>53354.985421553341</v>
      </c>
      <c r="N61" s="109">
        <f t="shared" ca="1" si="15"/>
        <v>53343.027782507721</v>
      </c>
      <c r="O61" s="109">
        <f t="shared" ca="1" si="15"/>
        <v>53354.985421553341</v>
      </c>
      <c r="P61" s="109">
        <f t="shared" ca="1" si="15"/>
        <v>53343.027782507721</v>
      </c>
      <c r="Q61" s="109">
        <f t="shared" ca="1" si="15"/>
        <v>53354.985421553341</v>
      </c>
      <c r="R61" s="109">
        <f t="shared" ca="1" si="15"/>
        <v>53343.027782507721</v>
      </c>
      <c r="S61" s="109">
        <f t="shared" ca="1" si="15"/>
        <v>53354.985421553341</v>
      </c>
      <c r="T61" s="109">
        <f t="shared" ca="1" si="15"/>
        <v>53343.027782507721</v>
      </c>
      <c r="U61" s="109">
        <f t="shared" ca="1" si="15"/>
        <v>53354.985421553341</v>
      </c>
      <c r="V61" s="109">
        <f t="shared" ca="1" si="15"/>
        <v>53343.027782507721</v>
      </c>
      <c r="W61" s="110">
        <f t="shared" ca="1" si="15"/>
        <v>26677.492710776671</v>
      </c>
      <c r="X61" s="107">
        <f t="shared" ca="1" si="3"/>
        <v>1195763.9045619306</v>
      </c>
    </row>
    <row r="62" spans="1:24" ht="15" customHeight="1" x14ac:dyDescent="0.2">
      <c r="A62" s="75">
        <f>IF('Cash Flow Analysis'!C78="","",'Cash Flow Analysis'!C78)</f>
        <v>11</v>
      </c>
      <c r="B62" s="1069">
        <f ca="1">IF(A62="","",IF(A62&lt;1,0,IF(A62=1,$B$44-'Cash Flow Analysis'!I78,-'Cash Flow Analysis'!I78)))</f>
        <v>1218483.4187486072</v>
      </c>
      <c r="C62" s="108">
        <f t="shared" ref="C62:W62" ca="1" si="16">IF($B$62="","",IF(AND($B$42="Straight Line",C48&lt;=depr_length),$B$62/depr_length,IF(AND($B$42="MACRS",C48&lt;=depr_length+1),$B$62*INDEX(MACRS_Table,MATCH(C48,recovery_year,0),MATCH($B$43,recovery_period,0)),"")))</f>
        <v>45693.128203072767</v>
      </c>
      <c r="D62" s="109">
        <f t="shared" ca="1" si="16"/>
        <v>87962.317999461957</v>
      </c>
      <c r="E62" s="109">
        <f t="shared" ca="1" si="16"/>
        <v>81358.13786984449</v>
      </c>
      <c r="F62" s="109">
        <f t="shared" ca="1" si="16"/>
        <v>75265.720776101458</v>
      </c>
      <c r="G62" s="109">
        <f t="shared" ca="1" si="16"/>
        <v>69611.957713107928</v>
      </c>
      <c r="H62" s="109">
        <f t="shared" ca="1" si="16"/>
        <v>64396.848680863892</v>
      </c>
      <c r="I62" s="109">
        <f t="shared" ca="1" si="16"/>
        <v>59559.469508431917</v>
      </c>
      <c r="J62" s="109">
        <f t="shared" ca="1" si="16"/>
        <v>55099.820195812019</v>
      </c>
      <c r="K62" s="109">
        <f t="shared" ca="1" si="16"/>
        <v>54368.730144562855</v>
      </c>
      <c r="L62" s="109">
        <f t="shared" ca="1" si="16"/>
        <v>54356.545310375361</v>
      </c>
      <c r="M62" s="109">
        <f t="shared" ca="1" si="16"/>
        <v>54368.730144562855</v>
      </c>
      <c r="N62" s="109">
        <f t="shared" ca="1" si="16"/>
        <v>54356.545310375361</v>
      </c>
      <c r="O62" s="109">
        <f t="shared" ca="1" si="16"/>
        <v>54368.730144562855</v>
      </c>
      <c r="P62" s="109">
        <f t="shared" ca="1" si="16"/>
        <v>54356.545310375361</v>
      </c>
      <c r="Q62" s="109">
        <f t="shared" ca="1" si="16"/>
        <v>54368.730144562855</v>
      </c>
      <c r="R62" s="109">
        <f t="shared" ca="1" si="16"/>
        <v>54356.545310375361</v>
      </c>
      <c r="S62" s="109">
        <f t="shared" ca="1" si="16"/>
        <v>54368.730144562855</v>
      </c>
      <c r="T62" s="109">
        <f t="shared" ca="1" si="16"/>
        <v>54356.545310375361</v>
      </c>
      <c r="U62" s="109">
        <f t="shared" ca="1" si="16"/>
        <v>54368.730144562855</v>
      </c>
      <c r="V62" s="109">
        <f t="shared" ca="1" si="16"/>
        <v>54356.545310375361</v>
      </c>
      <c r="W62" s="110">
        <f t="shared" ca="1" si="16"/>
        <v>27184.365072281427</v>
      </c>
      <c r="X62" s="107">
        <f t="shared" ca="1" si="3"/>
        <v>1218483.4187486074</v>
      </c>
    </row>
    <row r="63" spans="1:24" ht="15" customHeight="1" x14ac:dyDescent="0.2">
      <c r="A63" s="75">
        <f>IF('Cash Flow Analysis'!C79="","",'Cash Flow Analysis'!C79)</f>
        <v>12</v>
      </c>
      <c r="B63" s="1069">
        <f ca="1">IF(A63="","",IF(A63&lt;1,0,IF(A63=1,$B$44-'Cash Flow Analysis'!I79,-'Cash Flow Analysis'!I79)))</f>
        <v>1241634.6037048309</v>
      </c>
      <c r="C63" s="108">
        <f t="shared" ref="C63:W63" ca="1" si="17">IF($B$63="","",IF(AND($B$42="Straight Line",C48&lt;=depr_length),$B$63/depr_length,IF(AND($B$42="MACRS",C48&lt;=depr_length+1),$B$63*INDEX(MACRS_Table,MATCH(C48,recovery_year,0),MATCH($B$43,recovery_period,0)),"")))</f>
        <v>46561.297638931159</v>
      </c>
      <c r="D63" s="109">
        <f t="shared" ca="1" si="17"/>
        <v>89633.602041451741</v>
      </c>
      <c r="E63" s="109">
        <f t="shared" ca="1" si="17"/>
        <v>82903.942489371548</v>
      </c>
      <c r="F63" s="109">
        <f t="shared" ca="1" si="17"/>
        <v>76695.769470847401</v>
      </c>
      <c r="G63" s="109">
        <f t="shared" ca="1" si="17"/>
        <v>70934.584909656987</v>
      </c>
      <c r="H63" s="109">
        <f t="shared" ca="1" si="17"/>
        <v>65620.388805800307</v>
      </c>
      <c r="I63" s="109">
        <f t="shared" ca="1" si="17"/>
        <v>60691.09942909213</v>
      </c>
      <c r="J63" s="109">
        <f t="shared" ca="1" si="17"/>
        <v>56146.716779532457</v>
      </c>
      <c r="K63" s="109">
        <f t="shared" ca="1" si="17"/>
        <v>55401.736017309551</v>
      </c>
      <c r="L63" s="109">
        <f t="shared" ca="1" si="17"/>
        <v>55389.319671272504</v>
      </c>
      <c r="M63" s="109">
        <f t="shared" ca="1" si="17"/>
        <v>55401.736017309551</v>
      </c>
      <c r="N63" s="109">
        <f t="shared" ca="1" si="17"/>
        <v>55389.319671272504</v>
      </c>
      <c r="O63" s="109">
        <f t="shared" ca="1" si="17"/>
        <v>55401.736017309551</v>
      </c>
      <c r="P63" s="109">
        <f t="shared" ca="1" si="17"/>
        <v>55389.319671272504</v>
      </c>
      <c r="Q63" s="109">
        <f t="shared" ca="1" si="17"/>
        <v>55401.736017309551</v>
      </c>
      <c r="R63" s="109">
        <f t="shared" ca="1" si="17"/>
        <v>55389.319671272504</v>
      </c>
      <c r="S63" s="109">
        <f t="shared" ca="1" si="17"/>
        <v>55401.736017309551</v>
      </c>
      <c r="T63" s="109">
        <f t="shared" ca="1" si="17"/>
        <v>55389.319671272504</v>
      </c>
      <c r="U63" s="109">
        <f t="shared" ca="1" si="17"/>
        <v>55401.736017309551</v>
      </c>
      <c r="V63" s="109">
        <f t="shared" ca="1" si="17"/>
        <v>55389.319671272504</v>
      </c>
      <c r="W63" s="110">
        <f t="shared" ca="1" si="17"/>
        <v>27700.868008654776</v>
      </c>
      <c r="X63" s="107">
        <f t="shared" ca="1" si="3"/>
        <v>1241634.6037048311</v>
      </c>
    </row>
    <row r="64" spans="1:24" ht="15" customHeight="1" x14ac:dyDescent="0.2">
      <c r="A64" s="75">
        <f>IF('Cash Flow Analysis'!C80="","",'Cash Flow Analysis'!C80)</f>
        <v>13</v>
      </c>
      <c r="B64" s="1069">
        <f ca="1">IF(A64="","",IF(A64&lt;1,0,IF(A64=1,$B$44-'Cash Flow Analysis'!I80,-'Cash Flow Analysis'!I80)))</f>
        <v>1265225.6611752224</v>
      </c>
      <c r="C64" s="108">
        <f t="shared" ref="C64:W64" ca="1" si="18">IF($B$64="","",IF(AND($B$42="Straight Line",C48&lt;=depr_length),$B$64/depr_length,IF(AND($B$42="MACRS",C48&lt;=depr_length+1),$B$64*INDEX(MACRS_Table,MATCH(C48,recovery_year,0),MATCH($B$43,recovery_period,0)),"")))</f>
        <v>47445.962294070836</v>
      </c>
      <c r="D64" s="109">
        <f t="shared" ca="1" si="18"/>
        <v>91336.640480239308</v>
      </c>
      <c r="E64" s="109">
        <f t="shared" ca="1" si="18"/>
        <v>84479.117396669593</v>
      </c>
      <c r="F64" s="109">
        <f t="shared" ca="1" si="18"/>
        <v>78152.98909079349</v>
      </c>
      <c r="G64" s="109">
        <f t="shared" ca="1" si="18"/>
        <v>72282.342022940458</v>
      </c>
      <c r="H64" s="109">
        <f t="shared" ca="1" si="18"/>
        <v>66867.176193110499</v>
      </c>
      <c r="I64" s="109">
        <f t="shared" ca="1" si="18"/>
        <v>61844.230318244867</v>
      </c>
      <c r="J64" s="109">
        <f t="shared" ca="1" si="18"/>
        <v>57213.504398343561</v>
      </c>
      <c r="K64" s="109">
        <f t="shared" ca="1" si="18"/>
        <v>56454.369001638421</v>
      </c>
      <c r="L64" s="109">
        <f t="shared" ca="1" si="18"/>
        <v>56441.716745026664</v>
      </c>
      <c r="M64" s="109">
        <f t="shared" ca="1" si="18"/>
        <v>56454.369001638421</v>
      </c>
      <c r="N64" s="109">
        <f t="shared" ca="1" si="18"/>
        <v>56441.716745026664</v>
      </c>
      <c r="O64" s="109">
        <f t="shared" ca="1" si="18"/>
        <v>56454.369001638421</v>
      </c>
      <c r="P64" s="109">
        <f t="shared" ca="1" si="18"/>
        <v>56441.716745026664</v>
      </c>
      <c r="Q64" s="109">
        <f t="shared" ca="1" si="18"/>
        <v>56454.369001638421</v>
      </c>
      <c r="R64" s="109">
        <f t="shared" ca="1" si="18"/>
        <v>56441.716745026664</v>
      </c>
      <c r="S64" s="109">
        <f t="shared" ca="1" si="18"/>
        <v>56454.369001638421</v>
      </c>
      <c r="T64" s="109">
        <f t="shared" ca="1" si="18"/>
        <v>56441.716745026664</v>
      </c>
      <c r="U64" s="109">
        <f t="shared" ca="1" si="18"/>
        <v>56454.369001638421</v>
      </c>
      <c r="V64" s="109">
        <f t="shared" ca="1" si="18"/>
        <v>56441.716745026664</v>
      </c>
      <c r="W64" s="110">
        <f t="shared" ca="1" si="18"/>
        <v>28227.18450081921</v>
      </c>
      <c r="X64" s="107">
        <f t="shared" ca="1" si="3"/>
        <v>1265225.6611752221</v>
      </c>
    </row>
    <row r="65" spans="1:24" ht="15" customHeight="1" x14ac:dyDescent="0.2">
      <c r="A65" s="75">
        <f>IF('Cash Flow Analysis'!C81="","",'Cash Flow Analysis'!C81)</f>
        <v>14</v>
      </c>
      <c r="B65" s="1069">
        <f ca="1">IF(A65="","",IF(A65&lt;1,0,IF(A65=1,$B$44-'Cash Flow Analysis'!I81,-'Cash Flow Analysis'!I81)))</f>
        <v>1289264.9487375515</v>
      </c>
      <c r="C65" s="108">
        <f t="shared" ref="C65:W65" ca="1" si="19">IF($B$65="","",IF(AND($B$42="Straight Line",C48&lt;=depr_length),$B$65/depr_length,IF(AND($B$42="MACRS",C48&lt;=depr_length+1),$B$65*INDEX(MACRS_Table,MATCH(C48,recovery_year,0),MATCH($B$43,recovery_period,0)),"")))</f>
        <v>48347.43557765818</v>
      </c>
      <c r="D65" s="109">
        <f t="shared" ca="1" si="19"/>
        <v>93072.036649363843</v>
      </c>
      <c r="E65" s="109">
        <f t="shared" ca="1" si="19"/>
        <v>86084.220627206305</v>
      </c>
      <c r="F65" s="109">
        <f t="shared" ca="1" si="19"/>
        <v>79637.895883518548</v>
      </c>
      <c r="G65" s="109">
        <f t="shared" ca="1" si="19"/>
        <v>73655.706521376313</v>
      </c>
      <c r="H65" s="109">
        <f t="shared" ca="1" si="19"/>
        <v>68137.6525407796</v>
      </c>
      <c r="I65" s="109">
        <f t="shared" ca="1" si="19"/>
        <v>63019.270694291517</v>
      </c>
      <c r="J65" s="109">
        <f t="shared" ca="1" si="19"/>
        <v>58300.56098191208</v>
      </c>
      <c r="K65" s="109">
        <f t="shared" ca="1" si="19"/>
        <v>57527.002012669545</v>
      </c>
      <c r="L65" s="109">
        <f t="shared" ca="1" si="19"/>
        <v>57514.109363182164</v>
      </c>
      <c r="M65" s="109">
        <f t="shared" ca="1" si="19"/>
        <v>57527.002012669545</v>
      </c>
      <c r="N65" s="109">
        <f t="shared" ca="1" si="19"/>
        <v>57514.109363182164</v>
      </c>
      <c r="O65" s="109">
        <f t="shared" ca="1" si="19"/>
        <v>57527.002012669545</v>
      </c>
      <c r="P65" s="109">
        <f t="shared" ca="1" si="19"/>
        <v>57514.109363182164</v>
      </c>
      <c r="Q65" s="109">
        <f t="shared" ca="1" si="19"/>
        <v>57527.002012669545</v>
      </c>
      <c r="R65" s="109">
        <f t="shared" ca="1" si="19"/>
        <v>57514.109363182164</v>
      </c>
      <c r="S65" s="109">
        <f t="shared" ca="1" si="19"/>
        <v>57527.002012669545</v>
      </c>
      <c r="T65" s="109">
        <f t="shared" ca="1" si="19"/>
        <v>57514.109363182164</v>
      </c>
      <c r="U65" s="109">
        <f t="shared" ca="1" si="19"/>
        <v>57527.002012669545</v>
      </c>
      <c r="V65" s="109">
        <f t="shared" ca="1" si="19"/>
        <v>57514.109363182164</v>
      </c>
      <c r="W65" s="110">
        <f t="shared" ca="1" si="19"/>
        <v>28763.501006334773</v>
      </c>
      <c r="X65" s="107">
        <f t="shared" ca="1" si="3"/>
        <v>1289264.9487375519</v>
      </c>
    </row>
    <row r="66" spans="1:24" ht="15" customHeight="1" x14ac:dyDescent="0.2">
      <c r="A66" s="75">
        <f>IF('Cash Flow Analysis'!C82="","",'Cash Flow Analysis'!C82)</f>
        <v>15</v>
      </c>
      <c r="B66" s="1069">
        <f ca="1">IF(A66="","",IF(A66&lt;1,0,IF(A66=1,$B$44-'Cash Flow Analysis'!I82,-'Cash Flow Analysis'!I82)))</f>
        <v>1313760.9827635651</v>
      </c>
      <c r="C66" s="108">
        <f t="shared" ref="C66:W66" ca="1" si="20">IF($B$66="","",IF(AND($B$42="Straight Line",C48&lt;=depr_length),$B$66/depr_length,IF(AND($B$42="MACRS",C48&lt;=depr_length+1),$B$66*INDEX(MACRS_Table,MATCH(C48,recovery_year,0),MATCH($B$43,recovery_period,0)),"")))</f>
        <v>49266.03685363369</v>
      </c>
      <c r="D66" s="109">
        <f t="shared" ca="1" si="20"/>
        <v>94840.405345701773</v>
      </c>
      <c r="E66" s="109">
        <f t="shared" ca="1" si="20"/>
        <v>87719.820819123241</v>
      </c>
      <c r="F66" s="109">
        <f t="shared" ca="1" si="20"/>
        <v>81151.015905305423</v>
      </c>
      <c r="G66" s="109">
        <f t="shared" ca="1" si="20"/>
        <v>75055.164945282479</v>
      </c>
      <c r="H66" s="109">
        <f t="shared" ca="1" si="20"/>
        <v>69432.267939054422</v>
      </c>
      <c r="I66" s="109">
        <f t="shared" ca="1" si="20"/>
        <v>64216.636837483064</v>
      </c>
      <c r="J66" s="109">
        <f t="shared" ca="1" si="20"/>
        <v>59408.271640568419</v>
      </c>
      <c r="K66" s="109">
        <f t="shared" ca="1" si="20"/>
        <v>58620.015050910275</v>
      </c>
      <c r="L66" s="109">
        <f t="shared" ca="1" si="20"/>
        <v>58606.877441082637</v>
      </c>
      <c r="M66" s="109">
        <f t="shared" ca="1" si="20"/>
        <v>58620.015050910275</v>
      </c>
      <c r="N66" s="109">
        <f t="shared" ca="1" si="20"/>
        <v>58606.877441082637</v>
      </c>
      <c r="O66" s="109">
        <f t="shared" ca="1" si="20"/>
        <v>58620.015050910275</v>
      </c>
      <c r="P66" s="109">
        <f t="shared" ca="1" si="20"/>
        <v>58606.877441082637</v>
      </c>
      <c r="Q66" s="109">
        <f t="shared" ca="1" si="20"/>
        <v>58620.015050910275</v>
      </c>
      <c r="R66" s="109">
        <f t="shared" ca="1" si="20"/>
        <v>58606.877441082637</v>
      </c>
      <c r="S66" s="109">
        <f t="shared" ca="1" si="20"/>
        <v>58620.015050910275</v>
      </c>
      <c r="T66" s="109">
        <f t="shared" ca="1" si="20"/>
        <v>58606.877441082637</v>
      </c>
      <c r="U66" s="109">
        <f t="shared" ca="1" si="20"/>
        <v>58620.015050910275</v>
      </c>
      <c r="V66" s="109">
        <f t="shared" ca="1" si="20"/>
        <v>58606.877441082637</v>
      </c>
      <c r="W66" s="110">
        <f t="shared" ca="1" si="20"/>
        <v>29310.007525455138</v>
      </c>
      <c r="X66" s="107">
        <f t="shared" ca="1" si="3"/>
        <v>1313760.9827635649</v>
      </c>
    </row>
    <row r="67" spans="1:24" ht="15" customHeight="1" x14ac:dyDescent="0.2">
      <c r="A67" s="75">
        <f>IF('Cash Flow Analysis'!C83="","",'Cash Flow Analysis'!C83)</f>
        <v>16</v>
      </c>
      <c r="B67" s="1069">
        <f ca="1">IF(A67="","",IF(A67&lt;1,0,IF(A67=1,$B$44-'Cash Flow Analysis'!I83,-'Cash Flow Analysis'!I83)))</f>
        <v>1338722.4414360728</v>
      </c>
      <c r="C67" s="108">
        <f t="shared" ref="C67:W67" ca="1" si="21">IF($B$67="","",IF(AND($B$42="Straight Line",C48&lt;=depr_length),$B$67/depr_length,IF(AND($B$42="MACRS",C48&lt;=depr_length+1),$B$67*INDEX(MACRS_Table,MATCH(C48,recovery_year,0),MATCH($B$43,recovery_period,0)),"")))</f>
        <v>50202.091553852726</v>
      </c>
      <c r="D67" s="109">
        <f t="shared" ca="1" si="21"/>
        <v>96642.373047270099</v>
      </c>
      <c r="E67" s="109">
        <f t="shared" ca="1" si="21"/>
        <v>89386.497414686572</v>
      </c>
      <c r="F67" s="109">
        <f t="shared" ca="1" si="21"/>
        <v>82692.885207506217</v>
      </c>
      <c r="G67" s="109">
        <f t="shared" ca="1" si="21"/>
        <v>76481.213079242836</v>
      </c>
      <c r="H67" s="109">
        <f t="shared" ca="1" si="21"/>
        <v>70751.481029896444</v>
      </c>
      <c r="I67" s="109">
        <f t="shared" ca="1" si="21"/>
        <v>65436.752937395242</v>
      </c>
      <c r="J67" s="109">
        <f t="shared" ca="1" si="21"/>
        <v>60537.028801739216</v>
      </c>
      <c r="K67" s="109">
        <f t="shared" ca="1" si="21"/>
        <v>59733.795336877571</v>
      </c>
      <c r="L67" s="109">
        <f t="shared" ca="1" si="21"/>
        <v>59720.408112463207</v>
      </c>
      <c r="M67" s="109">
        <f t="shared" ca="1" si="21"/>
        <v>59733.795336877571</v>
      </c>
      <c r="N67" s="109">
        <f t="shared" ca="1" si="21"/>
        <v>59720.408112463207</v>
      </c>
      <c r="O67" s="109">
        <f t="shared" ca="1" si="21"/>
        <v>59733.795336877571</v>
      </c>
      <c r="P67" s="109">
        <f t="shared" ca="1" si="21"/>
        <v>59720.408112463207</v>
      </c>
      <c r="Q67" s="109">
        <f t="shared" ca="1" si="21"/>
        <v>59733.795336877571</v>
      </c>
      <c r="R67" s="109">
        <f t="shared" ca="1" si="21"/>
        <v>59720.408112463207</v>
      </c>
      <c r="S67" s="109">
        <f t="shared" ca="1" si="21"/>
        <v>59733.795336877571</v>
      </c>
      <c r="T67" s="109">
        <f t="shared" ca="1" si="21"/>
        <v>59720.408112463207</v>
      </c>
      <c r="U67" s="109">
        <f t="shared" ca="1" si="21"/>
        <v>59733.795336877571</v>
      </c>
      <c r="V67" s="109">
        <f t="shared" ca="1" si="21"/>
        <v>59720.408112463207</v>
      </c>
      <c r="W67" s="110">
        <f t="shared" ca="1" si="21"/>
        <v>29866.897668438785</v>
      </c>
      <c r="X67" s="107">
        <f t="shared" ca="1" si="3"/>
        <v>1338722.4414360728</v>
      </c>
    </row>
    <row r="68" spans="1:24" ht="15" customHeight="1" x14ac:dyDescent="0.2">
      <c r="A68" s="75">
        <f>IF('Cash Flow Analysis'!C84="","",'Cash Flow Analysis'!C84)</f>
        <v>17</v>
      </c>
      <c r="B68" s="1069">
        <f ca="1">IF(A68="","",IF(A68&lt;1,0,IF(A68=1,$B$44-'Cash Flow Analysis'!I84,-'Cash Flow Analysis'!I84)))</f>
        <v>1364158.1678233582</v>
      </c>
      <c r="C68" s="108">
        <f t="shared" ref="C68:W68" ca="1" si="22">IF($B$68="","",IF(AND($B$42="Straight Line",C48&lt;=depr_length),$B$68/depr_length,IF(AND($B$42="MACRS",C48&lt;=depr_length+1),$B$68*INDEX(MACRS_Table,MATCH(C48,recovery_year,0),MATCH($B$43,recovery_period,0)),"")))</f>
        <v>51155.931293375928</v>
      </c>
      <c r="D68" s="109">
        <f t="shared" ca="1" si="22"/>
        <v>98478.578135168238</v>
      </c>
      <c r="E68" s="109">
        <f t="shared" ca="1" si="22"/>
        <v>91084.840865565624</v>
      </c>
      <c r="F68" s="109">
        <f t="shared" ca="1" si="22"/>
        <v>84264.050026448836</v>
      </c>
      <c r="G68" s="109">
        <f t="shared" ca="1" si="22"/>
        <v>77934.356127748455</v>
      </c>
      <c r="H68" s="109">
        <f t="shared" ca="1" si="22"/>
        <v>72095.75916946448</v>
      </c>
      <c r="I68" s="109">
        <f t="shared" ca="1" si="22"/>
        <v>66680.051243205744</v>
      </c>
      <c r="J68" s="109">
        <f t="shared" ca="1" si="22"/>
        <v>61687.232348972262</v>
      </c>
      <c r="K68" s="109">
        <f t="shared" ca="1" si="22"/>
        <v>60868.73744827824</v>
      </c>
      <c r="L68" s="109">
        <f t="shared" ca="1" si="22"/>
        <v>60855.095866600008</v>
      </c>
      <c r="M68" s="109">
        <f t="shared" ca="1" si="22"/>
        <v>60868.73744827824</v>
      </c>
      <c r="N68" s="109">
        <f t="shared" ca="1" si="22"/>
        <v>60855.095866600008</v>
      </c>
      <c r="O68" s="109">
        <f t="shared" ca="1" si="22"/>
        <v>60868.73744827824</v>
      </c>
      <c r="P68" s="109">
        <f t="shared" ca="1" si="22"/>
        <v>60855.095866600008</v>
      </c>
      <c r="Q68" s="109">
        <f t="shared" ca="1" si="22"/>
        <v>60868.73744827824</v>
      </c>
      <c r="R68" s="109">
        <f t="shared" ca="1" si="22"/>
        <v>60855.095866600008</v>
      </c>
      <c r="S68" s="109">
        <f t="shared" ca="1" si="22"/>
        <v>60868.73744827824</v>
      </c>
      <c r="T68" s="109">
        <f t="shared" ca="1" si="22"/>
        <v>60855.095866600008</v>
      </c>
      <c r="U68" s="109">
        <f t="shared" ca="1" si="22"/>
        <v>60868.73744827824</v>
      </c>
      <c r="V68" s="109">
        <f t="shared" ca="1" si="22"/>
        <v>60855.095866600008</v>
      </c>
      <c r="W68" s="110">
        <f t="shared" ca="1" si="22"/>
        <v>30434.36872413912</v>
      </c>
      <c r="X68" s="107">
        <f t="shared" ca="1" si="3"/>
        <v>1364158.1678233587</v>
      </c>
    </row>
    <row r="69" spans="1:24" ht="15" customHeight="1" x14ac:dyDescent="0.2">
      <c r="A69" s="75">
        <f>IF('Cash Flow Analysis'!C85="","",'Cash Flow Analysis'!C85)</f>
        <v>18</v>
      </c>
      <c r="B69" s="1069">
        <f ca="1">IF(A69="","",IF(A69&lt;1,0,IF(A69=1,$B$44-'Cash Flow Analysis'!I85,-'Cash Flow Analysis'!I85)))</f>
        <v>1390077.1730120019</v>
      </c>
      <c r="C69" s="108">
        <f t="shared" ref="C69:W69" ca="1" si="23">IF($B$69="","",IF(AND($B$42="Straight Line",C48&lt;=depr_length),$B$69/depr_length,IF(AND($B$42="MACRS",C48&lt;=depr_length+1),$B$69*INDEX(MACRS_Table,MATCH(C48,recovery_year,0),MATCH($B$43,recovery_period,0)),"")))</f>
        <v>52127.893987950069</v>
      </c>
      <c r="D69" s="109">
        <f t="shared" ca="1" si="23"/>
        <v>100349.67111973642</v>
      </c>
      <c r="E69" s="109">
        <f t="shared" ca="1" si="23"/>
        <v>92815.452842011364</v>
      </c>
      <c r="F69" s="109">
        <f t="shared" ca="1" si="23"/>
        <v>85865.066976951362</v>
      </c>
      <c r="G69" s="109">
        <f t="shared" ca="1" si="23"/>
        <v>79415.108894175675</v>
      </c>
      <c r="H69" s="109">
        <f t="shared" ca="1" si="23"/>
        <v>73465.578593684302</v>
      </c>
      <c r="I69" s="109">
        <f t="shared" ca="1" si="23"/>
        <v>67946.97221682666</v>
      </c>
      <c r="J69" s="109">
        <f t="shared" ca="1" si="23"/>
        <v>62859.289763602734</v>
      </c>
      <c r="K69" s="109">
        <f t="shared" ca="1" si="23"/>
        <v>62025.243459795522</v>
      </c>
      <c r="L69" s="109">
        <f t="shared" ca="1" si="23"/>
        <v>62011.342688065401</v>
      </c>
      <c r="M69" s="109">
        <f t="shared" ca="1" si="23"/>
        <v>62025.243459795522</v>
      </c>
      <c r="N69" s="109">
        <f t="shared" ca="1" si="23"/>
        <v>62011.342688065401</v>
      </c>
      <c r="O69" s="109">
        <f t="shared" ca="1" si="23"/>
        <v>62025.243459795522</v>
      </c>
      <c r="P69" s="109">
        <f t="shared" ca="1" si="23"/>
        <v>62011.342688065401</v>
      </c>
      <c r="Q69" s="109">
        <f t="shared" ca="1" si="23"/>
        <v>62025.243459795522</v>
      </c>
      <c r="R69" s="109">
        <f t="shared" ca="1" si="23"/>
        <v>62011.342688065401</v>
      </c>
      <c r="S69" s="109">
        <f t="shared" ca="1" si="23"/>
        <v>62025.243459795522</v>
      </c>
      <c r="T69" s="109">
        <f t="shared" ca="1" si="23"/>
        <v>62011.342688065401</v>
      </c>
      <c r="U69" s="109">
        <f t="shared" ca="1" si="23"/>
        <v>62025.243459795522</v>
      </c>
      <c r="V69" s="109">
        <f t="shared" ca="1" si="23"/>
        <v>62011.342688065401</v>
      </c>
      <c r="W69" s="110">
        <f t="shared" ca="1" si="23"/>
        <v>31012.621729897761</v>
      </c>
      <c r="X69" s="107">
        <f t="shared" ca="1" si="3"/>
        <v>1390077.1730120021</v>
      </c>
    </row>
    <row r="70" spans="1:24" ht="15" customHeight="1" x14ac:dyDescent="0.2">
      <c r="A70" s="75">
        <f>IF('Cash Flow Analysis'!C86="","",'Cash Flow Analysis'!C86)</f>
        <v>19</v>
      </c>
      <c r="B70" s="1069">
        <f ca="1">IF(A70="","",IF(A70&lt;1,0,IF(A70=1,$B$44-'Cash Flow Analysis'!I86,-'Cash Flow Analysis'!I86)))</f>
        <v>1416488.6392992297</v>
      </c>
      <c r="C70" s="108">
        <f t="shared" ref="C70:W70" ca="1" si="24">IF($B$70="","",IF(AND($B$42="Straight Line",C48&lt;=depr_length),$B$70/depr_length,IF(AND($B$42="MACRS",C48&lt;=depr_length+1),$B$70*INDEX(MACRS_Table,MATCH(C48,recovery_year,0),MATCH($B$43,recovery_period,0)),"")))</f>
        <v>53118.323973721112</v>
      </c>
      <c r="D70" s="109">
        <f t="shared" ca="1" si="24"/>
        <v>102256.3148710114</v>
      </c>
      <c r="E70" s="109">
        <f t="shared" ca="1" si="24"/>
        <v>94578.946446009562</v>
      </c>
      <c r="F70" s="109">
        <f t="shared" ca="1" si="24"/>
        <v>87496.503249513422</v>
      </c>
      <c r="G70" s="109">
        <f t="shared" ca="1" si="24"/>
        <v>80923.995963164998</v>
      </c>
      <c r="H70" s="109">
        <f t="shared" ca="1" si="24"/>
        <v>74861.424586964291</v>
      </c>
      <c r="I70" s="109">
        <f t="shared" ca="1" si="24"/>
        <v>69237.964688946347</v>
      </c>
      <c r="J70" s="109">
        <f t="shared" ca="1" si="24"/>
        <v>64053.616269111175</v>
      </c>
      <c r="K70" s="109">
        <f t="shared" ca="1" si="24"/>
        <v>63203.72308553163</v>
      </c>
      <c r="L70" s="109">
        <f t="shared" ca="1" si="24"/>
        <v>63189.558199138635</v>
      </c>
      <c r="M70" s="109">
        <f t="shared" ca="1" si="24"/>
        <v>63203.72308553163</v>
      </c>
      <c r="N70" s="109">
        <f t="shared" ca="1" si="24"/>
        <v>63189.558199138635</v>
      </c>
      <c r="O70" s="109">
        <f t="shared" ca="1" si="24"/>
        <v>63203.72308553163</v>
      </c>
      <c r="P70" s="109">
        <f t="shared" ca="1" si="24"/>
        <v>63189.558199138635</v>
      </c>
      <c r="Q70" s="109">
        <f t="shared" ca="1" si="24"/>
        <v>63203.72308553163</v>
      </c>
      <c r="R70" s="109">
        <f t="shared" ca="1" si="24"/>
        <v>63189.558199138635</v>
      </c>
      <c r="S70" s="109">
        <f t="shared" ca="1" si="24"/>
        <v>63203.72308553163</v>
      </c>
      <c r="T70" s="109">
        <f t="shared" ca="1" si="24"/>
        <v>63189.558199138635</v>
      </c>
      <c r="U70" s="109">
        <f t="shared" ca="1" si="24"/>
        <v>63203.72308553163</v>
      </c>
      <c r="V70" s="109">
        <f t="shared" ca="1" si="24"/>
        <v>63189.558199138635</v>
      </c>
      <c r="W70" s="110">
        <f t="shared" ca="1" si="24"/>
        <v>31601.861542765815</v>
      </c>
      <c r="X70" s="107">
        <f t="shared" ca="1" si="3"/>
        <v>1416488.6392992297</v>
      </c>
    </row>
    <row r="71" spans="1:24" ht="15" customHeight="1" x14ac:dyDescent="0.2">
      <c r="A71" s="75">
        <f>IF('Cash Flow Analysis'!C87="","",'Cash Flow Analysis'!C87)</f>
        <v>20</v>
      </c>
      <c r="B71" s="1069">
        <f ca="1">IF(A71="","",IF(A71&lt;1,0,IF(A71=1,$B$44-'Cash Flow Analysis'!I87,-'Cash Flow Analysis'!I87)))</f>
        <v>1443401.9234459151</v>
      </c>
      <c r="C71" s="108">
        <f t="shared" ref="C71:W71" ca="1" si="25">IF($B$71="","",IF(AND($B$42="Straight Line",C48&lt;=depr_length),$B$71/depr_length,IF(AND($B$42="MACRS",C48&lt;=depr_length+1),$B$71*INDEX(MACRS_Table,MATCH(C48,recovery_year,0),MATCH($B$43,recovery_period,0)),"")))</f>
        <v>54127.572129221815</v>
      </c>
      <c r="D71" s="109">
        <f t="shared" ca="1" si="25"/>
        <v>104199.18485356061</v>
      </c>
      <c r="E71" s="109">
        <f t="shared" ca="1" si="25"/>
        <v>96375.946428483745</v>
      </c>
      <c r="F71" s="109">
        <f t="shared" ca="1" si="25"/>
        <v>89158.936811254171</v>
      </c>
      <c r="G71" s="109">
        <f t="shared" ca="1" si="25"/>
        <v>82461.551886465124</v>
      </c>
      <c r="H71" s="109">
        <f t="shared" ca="1" si="25"/>
        <v>76283.79165411662</v>
      </c>
      <c r="I71" s="109">
        <f t="shared" ca="1" si="25"/>
        <v>70553.486018036332</v>
      </c>
      <c r="J71" s="109">
        <f t="shared" ca="1" si="25"/>
        <v>65270.634978224283</v>
      </c>
      <c r="K71" s="109">
        <f t="shared" ca="1" si="25"/>
        <v>64404.593824156735</v>
      </c>
      <c r="L71" s="109">
        <f t="shared" ca="1" si="25"/>
        <v>64390.159804922267</v>
      </c>
      <c r="M71" s="109">
        <f t="shared" ca="1" si="25"/>
        <v>64404.593824156735</v>
      </c>
      <c r="N71" s="109">
        <f t="shared" ca="1" si="25"/>
        <v>64390.159804922267</v>
      </c>
      <c r="O71" s="109">
        <f t="shared" ca="1" si="25"/>
        <v>64404.593824156735</v>
      </c>
      <c r="P71" s="109">
        <f t="shared" ca="1" si="25"/>
        <v>64390.159804922267</v>
      </c>
      <c r="Q71" s="109">
        <f t="shared" ca="1" si="25"/>
        <v>64404.593824156735</v>
      </c>
      <c r="R71" s="109">
        <f t="shared" ca="1" si="25"/>
        <v>64390.159804922267</v>
      </c>
      <c r="S71" s="109">
        <f t="shared" ca="1" si="25"/>
        <v>64404.593824156735</v>
      </c>
      <c r="T71" s="109">
        <f t="shared" ca="1" si="25"/>
        <v>64390.159804922267</v>
      </c>
      <c r="U71" s="109">
        <f t="shared" ca="1" si="25"/>
        <v>64404.593824156735</v>
      </c>
      <c r="V71" s="109">
        <f t="shared" ca="1" si="25"/>
        <v>64390.159804922267</v>
      </c>
      <c r="W71" s="110">
        <f t="shared" ca="1" si="25"/>
        <v>32202.296912078367</v>
      </c>
      <c r="X71" s="107">
        <f t="shared" ca="1" si="3"/>
        <v>1443401.9234459156</v>
      </c>
    </row>
    <row r="72" spans="1:24" ht="15" customHeight="1" x14ac:dyDescent="0.2">
      <c r="A72" s="75">
        <f>IF('Cash Flow Analysis'!C88="","",'Cash Flow Analysis'!C88)</f>
        <v>21</v>
      </c>
      <c r="B72" s="1069">
        <f ca="1">IF(A72="","",IF(A72&lt;1,0,IF(A72=1,$B$44-'Cash Flow Analysis'!I88,-'Cash Flow Analysis'!I88)))</f>
        <v>1470826.5599913874</v>
      </c>
      <c r="C72" s="108">
        <f t="shared" ref="C72:W72" ca="1" si="26">IF($B$72="","",IF(AND($B$42="Straight Line",C48&lt;=depr_length),$B$72/depr_length,IF(AND($B$42="MACRS",C48&lt;=depr_length+1),$B$72*INDEX(MACRS_Table,MATCH(C48,recovery_year,0),MATCH($B$43,recovery_period,0)),"")))</f>
        <v>55155.995999677027</v>
      </c>
      <c r="D72" s="109">
        <f t="shared" ca="1" si="26"/>
        <v>106178.96936577826</v>
      </c>
      <c r="E72" s="109">
        <f t="shared" ca="1" si="26"/>
        <v>98207.089410624932</v>
      </c>
      <c r="F72" s="109">
        <f t="shared" ca="1" si="26"/>
        <v>90852.956610667999</v>
      </c>
      <c r="G72" s="109">
        <f t="shared" ca="1" si="26"/>
        <v>84028.321372307968</v>
      </c>
      <c r="H72" s="109">
        <f t="shared" ca="1" si="26"/>
        <v>77733.183695544823</v>
      </c>
      <c r="I72" s="109">
        <f t="shared" ca="1" si="26"/>
        <v>71894.00225237901</v>
      </c>
      <c r="J72" s="109">
        <f t="shared" ca="1" si="26"/>
        <v>66510.777042810543</v>
      </c>
      <c r="K72" s="109">
        <f t="shared" ca="1" si="26"/>
        <v>65628.281106815703</v>
      </c>
      <c r="L72" s="109">
        <f t="shared" ca="1" si="26"/>
        <v>65613.572841215791</v>
      </c>
      <c r="M72" s="109">
        <f t="shared" ca="1" si="26"/>
        <v>65628.281106815703</v>
      </c>
      <c r="N72" s="109">
        <f t="shared" ca="1" si="26"/>
        <v>65613.572841215791</v>
      </c>
      <c r="O72" s="109">
        <f t="shared" ca="1" si="26"/>
        <v>65628.281106815703</v>
      </c>
      <c r="P72" s="109">
        <f t="shared" ca="1" si="26"/>
        <v>65613.572841215791</v>
      </c>
      <c r="Q72" s="109">
        <f t="shared" ca="1" si="26"/>
        <v>65628.281106815703</v>
      </c>
      <c r="R72" s="109">
        <f t="shared" ca="1" si="26"/>
        <v>65613.572841215791</v>
      </c>
      <c r="S72" s="109">
        <f t="shared" ca="1" si="26"/>
        <v>65628.281106815703</v>
      </c>
      <c r="T72" s="109">
        <f t="shared" ca="1" si="26"/>
        <v>65613.572841215791</v>
      </c>
      <c r="U72" s="109">
        <f t="shared" ca="1" si="26"/>
        <v>65628.281106815703</v>
      </c>
      <c r="V72" s="109">
        <f t="shared" ca="1" si="26"/>
        <v>65613.572841215791</v>
      </c>
      <c r="W72" s="110">
        <f t="shared" ca="1" si="26"/>
        <v>32814.140553407851</v>
      </c>
      <c r="X72" s="107">
        <f t="shared" ca="1" si="3"/>
        <v>1470826.5599913874</v>
      </c>
    </row>
    <row r="73" spans="1:24" ht="15" customHeight="1" x14ac:dyDescent="0.2">
      <c r="A73" s="75">
        <f>IF('Cash Flow Analysis'!C89="","",'Cash Flow Analysis'!C89)</f>
        <v>22</v>
      </c>
      <c r="B73" s="1069">
        <f ca="1">IF(A73="","",IF(A73&lt;1,0,IF(A73=1,$B$44-'Cash Flow Analysis'!I89,-'Cash Flow Analysis'!I89)))</f>
        <v>1498772.2646312236</v>
      </c>
      <c r="C73" s="108">
        <f t="shared" ref="C73:W73" ca="1" si="27">IF($B$73="","",IF(AND($B$42="Straight Line",C48&lt;=depr_length),$B$73/depr_length,IF(AND($B$42="MACRS",C48&lt;=depr_length+1),$B$73*INDEX(MACRS_Table,MATCH(C48,recovery_year,0),MATCH($B$43,recovery_period,0)),"")))</f>
        <v>56203.959923670882</v>
      </c>
      <c r="D73" s="109">
        <f t="shared" ca="1" si="27"/>
        <v>108196.36978372803</v>
      </c>
      <c r="E73" s="109">
        <f t="shared" ca="1" si="27"/>
        <v>100073.0241094268</v>
      </c>
      <c r="F73" s="109">
        <f t="shared" ca="1" si="27"/>
        <v>92579.162786270681</v>
      </c>
      <c r="G73" s="109">
        <f t="shared" ca="1" si="27"/>
        <v>85624.859478381812</v>
      </c>
      <c r="H73" s="109">
        <f t="shared" ca="1" si="27"/>
        <v>79210.114185760176</v>
      </c>
      <c r="I73" s="109">
        <f t="shared" ca="1" si="27"/>
        <v>73259.988295174204</v>
      </c>
      <c r="J73" s="109">
        <f t="shared" ca="1" si="27"/>
        <v>67774.481806623939</v>
      </c>
      <c r="K73" s="109">
        <f t="shared" ca="1" si="27"/>
        <v>66875.218447845196</v>
      </c>
      <c r="L73" s="109">
        <f t="shared" ca="1" si="27"/>
        <v>66860.230725198882</v>
      </c>
      <c r="M73" s="109">
        <f t="shared" ca="1" si="27"/>
        <v>66875.218447845196</v>
      </c>
      <c r="N73" s="109">
        <f t="shared" ca="1" si="27"/>
        <v>66860.230725198882</v>
      </c>
      <c r="O73" s="109">
        <f t="shared" ca="1" si="27"/>
        <v>66875.218447845196</v>
      </c>
      <c r="P73" s="109">
        <f t="shared" ca="1" si="27"/>
        <v>66860.230725198882</v>
      </c>
      <c r="Q73" s="109">
        <f t="shared" ca="1" si="27"/>
        <v>66875.218447845196</v>
      </c>
      <c r="R73" s="109">
        <f t="shared" ca="1" si="27"/>
        <v>66860.230725198882</v>
      </c>
      <c r="S73" s="109">
        <f t="shared" ca="1" si="27"/>
        <v>66875.218447845196</v>
      </c>
      <c r="T73" s="109">
        <f t="shared" ca="1" si="27"/>
        <v>66860.230725198882</v>
      </c>
      <c r="U73" s="109">
        <f t="shared" ca="1" si="27"/>
        <v>66875.218447845196</v>
      </c>
      <c r="V73" s="109">
        <f t="shared" ca="1" si="27"/>
        <v>66860.230725198882</v>
      </c>
      <c r="W73" s="110">
        <f t="shared" ca="1" si="27"/>
        <v>33437.609223922598</v>
      </c>
      <c r="X73" s="107">
        <f t="shared" ca="1" si="3"/>
        <v>1498772.2646312239</v>
      </c>
    </row>
    <row r="74" spans="1:24" ht="15" customHeight="1" x14ac:dyDescent="0.2">
      <c r="A74" s="75">
        <f>IF('Cash Flow Analysis'!C90="","",'Cash Flow Analysis'!C90)</f>
        <v>23</v>
      </c>
      <c r="B74" s="1069">
        <f ca="1">IF(A74="","",IF(A74&lt;1,0,IF(A74=1,$B$44-'Cash Flow Analysis'!I90,-'Cash Flow Analysis'!I90)))</f>
        <v>1527248.937659217</v>
      </c>
      <c r="C74" s="108">
        <f t="shared" ref="C74:W74" ca="1" si="28">IF($B$74="","",IF(AND($B$42="Straight Line",C48&lt;=depr_length),$B$74/depr_length,IF(AND($B$42="MACRS",C48&lt;=depr_length+1),$B$74*INDEX(MACRS_Table,MATCH(C48,recovery_year,0),MATCH($B$43,recovery_period,0)),"")))</f>
        <v>57271.835162220639</v>
      </c>
      <c r="D74" s="109">
        <f t="shared" ca="1" si="28"/>
        <v>110252.10080961889</v>
      </c>
      <c r="E74" s="109">
        <f t="shared" ca="1" si="28"/>
        <v>101974.41156750591</v>
      </c>
      <c r="F74" s="109">
        <f t="shared" ca="1" si="28"/>
        <v>94338.166879209835</v>
      </c>
      <c r="G74" s="109">
        <f t="shared" ca="1" si="28"/>
        <v>87251.731808471071</v>
      </c>
      <c r="H74" s="109">
        <f t="shared" ca="1" si="28"/>
        <v>80715.106355289623</v>
      </c>
      <c r="I74" s="109">
        <f t="shared" ca="1" si="28"/>
        <v>74651.928072782524</v>
      </c>
      <c r="J74" s="109">
        <f t="shared" ca="1" si="28"/>
        <v>69062.196960949805</v>
      </c>
      <c r="K74" s="109">
        <f t="shared" ca="1" si="28"/>
        <v>68145.847598354259</v>
      </c>
      <c r="L74" s="109">
        <f t="shared" ca="1" si="28"/>
        <v>68130.57510897766</v>
      </c>
      <c r="M74" s="109">
        <f t="shared" ca="1" si="28"/>
        <v>68145.847598354259</v>
      </c>
      <c r="N74" s="109">
        <f t="shared" ca="1" si="28"/>
        <v>68130.57510897766</v>
      </c>
      <c r="O74" s="109">
        <f t="shared" ca="1" si="28"/>
        <v>68145.847598354259</v>
      </c>
      <c r="P74" s="109">
        <f t="shared" ca="1" si="28"/>
        <v>68130.57510897766</v>
      </c>
      <c r="Q74" s="109">
        <f t="shared" ca="1" si="28"/>
        <v>68145.847598354259</v>
      </c>
      <c r="R74" s="109">
        <f t="shared" ca="1" si="28"/>
        <v>68130.57510897766</v>
      </c>
      <c r="S74" s="109">
        <f t="shared" ca="1" si="28"/>
        <v>68145.847598354259</v>
      </c>
      <c r="T74" s="109">
        <f t="shared" ca="1" si="28"/>
        <v>68130.57510897766</v>
      </c>
      <c r="U74" s="109">
        <f t="shared" ca="1" si="28"/>
        <v>68145.847598354259</v>
      </c>
      <c r="V74" s="109">
        <f t="shared" ca="1" si="28"/>
        <v>68130.57510897766</v>
      </c>
      <c r="W74" s="110">
        <f t="shared" ca="1" si="28"/>
        <v>34072.92379917713</v>
      </c>
      <c r="X74" s="107">
        <f t="shared" ca="1" si="3"/>
        <v>1527248.9376592173</v>
      </c>
    </row>
    <row r="75" spans="1:24" ht="15" customHeight="1" x14ac:dyDescent="0.2">
      <c r="A75" s="75">
        <f>IF('Cash Flow Analysis'!C91="","",'Cash Flow Analysis'!C91)</f>
        <v>24</v>
      </c>
      <c r="B75" s="1069">
        <f ca="1">IF(A75="","",IF(A75&lt;1,0,IF(A75=1,$B$44-'Cash Flow Analysis'!I91,-'Cash Flow Analysis'!I91)))</f>
        <v>1556266.667474742</v>
      </c>
      <c r="C75" s="108">
        <f t="shared" ref="C75:W75" ca="1" si="29">IF($B$75="","",IF(AND($B$42="Straight Line",C48&lt;=depr_length),$B$75/depr_length,IF(AND($B$42="MACRS",C48&lt;=depr_length+1),$B$75*INDEX(MACRS_Table,MATCH(C48,recovery_year,0),MATCH($B$43,recovery_period,0)),"")))</f>
        <v>58360.000030302828</v>
      </c>
      <c r="D75" s="109">
        <f t="shared" ca="1" si="29"/>
        <v>112346.89072500163</v>
      </c>
      <c r="E75" s="109">
        <f t="shared" ca="1" si="29"/>
        <v>103911.92538728852</v>
      </c>
      <c r="F75" s="109">
        <f t="shared" ca="1" si="29"/>
        <v>96130.59204991482</v>
      </c>
      <c r="G75" s="109">
        <f t="shared" ca="1" si="29"/>
        <v>88909.51471283201</v>
      </c>
      <c r="H75" s="109">
        <f t="shared" ca="1" si="29"/>
        <v>82248.693376040115</v>
      </c>
      <c r="I75" s="109">
        <f t="shared" ca="1" si="29"/>
        <v>76070.314706165387</v>
      </c>
      <c r="J75" s="109">
        <f t="shared" ca="1" si="29"/>
        <v>70374.37870320784</v>
      </c>
      <c r="K75" s="109">
        <f t="shared" ca="1" si="29"/>
        <v>69440.61870272299</v>
      </c>
      <c r="L75" s="109">
        <f t="shared" ca="1" si="29"/>
        <v>69425.056036048234</v>
      </c>
      <c r="M75" s="109">
        <f t="shared" ca="1" si="29"/>
        <v>69440.61870272299</v>
      </c>
      <c r="N75" s="109">
        <f t="shared" ca="1" si="29"/>
        <v>69425.056036048234</v>
      </c>
      <c r="O75" s="109">
        <f t="shared" ca="1" si="29"/>
        <v>69440.61870272299</v>
      </c>
      <c r="P75" s="109">
        <f t="shared" ca="1" si="29"/>
        <v>69425.056036048234</v>
      </c>
      <c r="Q75" s="109">
        <f t="shared" ca="1" si="29"/>
        <v>69440.61870272299</v>
      </c>
      <c r="R75" s="109">
        <f t="shared" ca="1" si="29"/>
        <v>69425.056036048234</v>
      </c>
      <c r="S75" s="109">
        <f t="shared" ca="1" si="29"/>
        <v>69440.61870272299</v>
      </c>
      <c r="T75" s="109">
        <f t="shared" ca="1" si="29"/>
        <v>69425.056036048234</v>
      </c>
      <c r="U75" s="109">
        <f t="shared" ca="1" si="29"/>
        <v>69440.61870272299</v>
      </c>
      <c r="V75" s="109">
        <f t="shared" ca="1" si="29"/>
        <v>69425.056036048234</v>
      </c>
      <c r="W75" s="110">
        <f t="shared" ca="1" si="29"/>
        <v>34720.309351361495</v>
      </c>
      <c r="X75" s="107">
        <f t="shared" ca="1" si="3"/>
        <v>1556266.667474742</v>
      </c>
    </row>
    <row r="76" spans="1:24" ht="15" customHeight="1" x14ac:dyDescent="0.2">
      <c r="A76" s="75">
        <f>IF('Cash Flow Analysis'!C92="","",'Cash Flow Analysis'!C92)</f>
        <v>25</v>
      </c>
      <c r="B76" s="1069">
        <f ca="1">IF(A76="","",IF(A76&lt;1,0,IF(A76=1,$B$44-'Cash Flow Analysis'!I92,-'Cash Flow Analysis'!I92)))</f>
        <v>1585835.734156762</v>
      </c>
      <c r="C76" s="108">
        <f t="shared" ref="C76:W76" ca="1" si="30">IF($B$76="","",IF(AND($B$42="Straight Line",C48&lt;=depr_length),$B$76/depr_length,IF(AND($B$42="MACRS",C48&lt;=depr_length+1),$B$76*INDEX(MACRS_Table,MATCH(C48,recovery_year,0),MATCH($B$43,recovery_period,0)),"")))</f>
        <v>59468.840030878571</v>
      </c>
      <c r="D76" s="109">
        <f t="shared" ca="1" si="30"/>
        <v>114481.48164877665</v>
      </c>
      <c r="E76" s="109">
        <f t="shared" ca="1" si="30"/>
        <v>105886.251969647</v>
      </c>
      <c r="F76" s="109">
        <f t="shared" ca="1" si="30"/>
        <v>97957.073298863193</v>
      </c>
      <c r="G76" s="109">
        <f t="shared" ca="1" si="30"/>
        <v>90598.795492375808</v>
      </c>
      <c r="H76" s="109">
        <f t="shared" ca="1" si="30"/>
        <v>83811.41855018487</v>
      </c>
      <c r="I76" s="109">
        <f t="shared" ca="1" si="30"/>
        <v>77515.650685582528</v>
      </c>
      <c r="J76" s="109">
        <f t="shared" ca="1" si="30"/>
        <v>71711.491898568784</v>
      </c>
      <c r="K76" s="109">
        <f t="shared" ca="1" si="30"/>
        <v>70759.990458074724</v>
      </c>
      <c r="L76" s="109">
        <f t="shared" ca="1" si="30"/>
        <v>70744.132100733143</v>
      </c>
      <c r="M76" s="109">
        <f t="shared" ca="1" si="30"/>
        <v>70759.990458074724</v>
      </c>
      <c r="N76" s="109">
        <f t="shared" ca="1" si="30"/>
        <v>70744.132100733143</v>
      </c>
      <c r="O76" s="109">
        <f t="shared" ca="1" si="30"/>
        <v>70759.990458074724</v>
      </c>
      <c r="P76" s="109">
        <f t="shared" ca="1" si="30"/>
        <v>70744.132100733143</v>
      </c>
      <c r="Q76" s="109">
        <f t="shared" ca="1" si="30"/>
        <v>70759.990458074724</v>
      </c>
      <c r="R76" s="109">
        <f t="shared" ca="1" si="30"/>
        <v>70744.132100733143</v>
      </c>
      <c r="S76" s="109">
        <f t="shared" ca="1" si="30"/>
        <v>70759.990458074724</v>
      </c>
      <c r="T76" s="109">
        <f t="shared" ca="1" si="30"/>
        <v>70744.132100733143</v>
      </c>
      <c r="U76" s="109">
        <f t="shared" ca="1" si="30"/>
        <v>70759.990458074724</v>
      </c>
      <c r="V76" s="109">
        <f t="shared" ca="1" si="30"/>
        <v>70744.132100733143</v>
      </c>
      <c r="W76" s="110">
        <f t="shared" ca="1" si="30"/>
        <v>35379.995229037362</v>
      </c>
      <c r="X76" s="107">
        <f t="shared" ca="1" si="3"/>
        <v>1585835.7341567622</v>
      </c>
    </row>
    <row r="77" spans="1:24" ht="15" customHeight="1" x14ac:dyDescent="0.2">
      <c r="A77" s="75">
        <f>IF('Cash Flow Analysis'!C93="","",'Cash Flow Analysis'!C93)</f>
        <v>26</v>
      </c>
      <c r="B77" s="1069">
        <f ca="1">IF(A77="","",IF(A77&lt;1,0,IF(A77=1,$B$44-'Cash Flow Analysis'!I93,-'Cash Flow Analysis'!I93)))</f>
        <v>1615966.6131057404</v>
      </c>
      <c r="C77" s="108">
        <f t="shared" ref="C77:W77" ca="1" si="31">IF($B$77="","",IF(AND($B$42="Straight Line",C48&lt;=depr_length),$B$77/depr_length,IF(AND($B$42="MACRS",C48&lt;=depr_length+1),$B$77*INDEX(MACRS_Table,MATCH(C48,recovery_year,0),MATCH($B$43,recovery_period,0)),"")))</f>
        <v>60598.747991465265</v>
      </c>
      <c r="D77" s="109">
        <f t="shared" ca="1" si="31"/>
        <v>116656.6298001034</v>
      </c>
      <c r="E77" s="109">
        <f t="shared" ca="1" si="31"/>
        <v>107898.09075707028</v>
      </c>
      <c r="F77" s="109">
        <f t="shared" ca="1" si="31"/>
        <v>99818.257691541585</v>
      </c>
      <c r="G77" s="109">
        <f t="shared" ca="1" si="31"/>
        <v>92320.17260673095</v>
      </c>
      <c r="H77" s="109">
        <f t="shared" ca="1" si="31"/>
        <v>85403.83550263838</v>
      </c>
      <c r="I77" s="109">
        <f t="shared" ca="1" si="31"/>
        <v>78988.448048608596</v>
      </c>
      <c r="J77" s="109">
        <f t="shared" ca="1" si="31"/>
        <v>73074.010244641584</v>
      </c>
      <c r="K77" s="109">
        <f t="shared" ca="1" si="31"/>
        <v>72104.430276778134</v>
      </c>
      <c r="L77" s="109">
        <f t="shared" ca="1" si="31"/>
        <v>72088.270610647072</v>
      </c>
      <c r="M77" s="109">
        <f t="shared" ca="1" si="31"/>
        <v>72104.430276778134</v>
      </c>
      <c r="N77" s="109">
        <f t="shared" ca="1" si="31"/>
        <v>72088.270610647072</v>
      </c>
      <c r="O77" s="109">
        <f t="shared" ca="1" si="31"/>
        <v>72104.430276778134</v>
      </c>
      <c r="P77" s="109">
        <f t="shared" ca="1" si="31"/>
        <v>72088.270610647072</v>
      </c>
      <c r="Q77" s="109">
        <f t="shared" ca="1" si="31"/>
        <v>72104.430276778134</v>
      </c>
      <c r="R77" s="109">
        <f t="shared" ca="1" si="31"/>
        <v>72088.270610647072</v>
      </c>
      <c r="S77" s="109">
        <f t="shared" ca="1" si="31"/>
        <v>72104.430276778134</v>
      </c>
      <c r="T77" s="109">
        <f t="shared" ca="1" si="31"/>
        <v>72088.270610647072</v>
      </c>
      <c r="U77" s="109">
        <f t="shared" ca="1" si="31"/>
        <v>72104.430276778134</v>
      </c>
      <c r="V77" s="109">
        <f t="shared" ca="1" si="31"/>
        <v>72088.270610647072</v>
      </c>
      <c r="W77" s="110">
        <f t="shared" ca="1" si="31"/>
        <v>36052.215138389067</v>
      </c>
      <c r="X77" s="107">
        <f t="shared" ca="1" si="3"/>
        <v>1615966.6131057399</v>
      </c>
    </row>
    <row r="78" spans="1:24" ht="15" customHeight="1" x14ac:dyDescent="0.2">
      <c r="A78" s="75">
        <f>IF('Cash Flow Analysis'!C94="","",'Cash Flow Analysis'!C94)</f>
        <v>27</v>
      </c>
      <c r="B78" s="1069">
        <f ca="1">IF(A78="","",IF(A78&lt;1,0,IF(A78=1,$B$44-'Cash Flow Analysis'!I94,-'Cash Flow Analysis'!I94)))</f>
        <v>1646669.9787547495</v>
      </c>
      <c r="C78" s="108">
        <f t="shared" ref="C78:W78" ca="1" si="32">IF($B$78="","",IF(AND($B$42="Straight Line",C48&lt;=depr_length),$B$78/depr_length,IF(AND($B$42="MACRS",C48&lt;=depr_length+1),$B$78*INDEX(MACRS_Table,MATCH(C48,recovery_year,0),MATCH($B$43,recovery_period,0)),"")))</f>
        <v>61750.124203303101</v>
      </c>
      <c r="D78" s="109">
        <f t="shared" ca="1" si="32"/>
        <v>118873.10576630538</v>
      </c>
      <c r="E78" s="109">
        <f t="shared" ca="1" si="32"/>
        <v>109948.15448145462</v>
      </c>
      <c r="F78" s="109">
        <f t="shared" ca="1" si="32"/>
        <v>101714.80458768088</v>
      </c>
      <c r="G78" s="109">
        <f t="shared" ca="1" si="32"/>
        <v>94074.255886258834</v>
      </c>
      <c r="H78" s="109">
        <f t="shared" ca="1" si="32"/>
        <v>87026.508377188511</v>
      </c>
      <c r="I78" s="109">
        <f t="shared" ca="1" si="32"/>
        <v>80489.22856153216</v>
      </c>
      <c r="J78" s="109">
        <f t="shared" ca="1" si="32"/>
        <v>74462.41643928978</v>
      </c>
      <c r="K78" s="109">
        <f t="shared" ca="1" si="32"/>
        <v>73474.41445203693</v>
      </c>
      <c r="L78" s="109">
        <f t="shared" ca="1" si="32"/>
        <v>73457.947752249369</v>
      </c>
      <c r="M78" s="109">
        <f t="shared" ca="1" si="32"/>
        <v>73474.41445203693</v>
      </c>
      <c r="N78" s="109">
        <f t="shared" ca="1" si="32"/>
        <v>73457.947752249369</v>
      </c>
      <c r="O78" s="109">
        <f t="shared" ca="1" si="32"/>
        <v>73474.41445203693</v>
      </c>
      <c r="P78" s="109">
        <f t="shared" ca="1" si="32"/>
        <v>73457.947752249369</v>
      </c>
      <c r="Q78" s="109">
        <f t="shared" ca="1" si="32"/>
        <v>73474.41445203693</v>
      </c>
      <c r="R78" s="109">
        <f t="shared" ca="1" si="32"/>
        <v>73457.947752249369</v>
      </c>
      <c r="S78" s="109">
        <f t="shared" ca="1" si="32"/>
        <v>73474.41445203693</v>
      </c>
      <c r="T78" s="109">
        <f t="shared" ca="1" si="32"/>
        <v>73457.947752249369</v>
      </c>
      <c r="U78" s="109">
        <f t="shared" ca="1" si="32"/>
        <v>73474.41445203693</v>
      </c>
      <c r="V78" s="109">
        <f t="shared" ca="1" si="32"/>
        <v>73457.947752249369</v>
      </c>
      <c r="W78" s="110">
        <f t="shared" ca="1" si="32"/>
        <v>36737.207226018465</v>
      </c>
      <c r="X78" s="107">
        <f t="shared" ca="1" si="3"/>
        <v>1646669.9787547495</v>
      </c>
    </row>
    <row r="79" spans="1:24" ht="15" customHeight="1" x14ac:dyDescent="0.2">
      <c r="A79" s="75">
        <f>IF('Cash Flow Analysis'!C95="","",'Cash Flow Analysis'!C95)</f>
        <v>28</v>
      </c>
      <c r="B79" s="1069">
        <f ca="1">IF(A79="","",IF(A79&lt;1,0,IF(A79=1,$B$44-'Cash Flow Analysis'!I95,-'Cash Flow Analysis'!I95)))</f>
        <v>1677956.7083510896</v>
      </c>
      <c r="C79" s="108">
        <f t="shared" ref="C79:W79" ca="1" si="33">IF($B$79="","",IF(AND($B$42="Straight Line",C48&lt;=depr_length),$B$79/depr_length,IF(AND($B$42="MACRS",C48&lt;=depr_length+1),$B$79*INDEX(MACRS_Table,MATCH(C48,recovery_year,0),MATCH($B$43,recovery_period,0)),"")))</f>
        <v>62923.376563165861</v>
      </c>
      <c r="D79" s="109">
        <f t="shared" ca="1" si="33"/>
        <v>121131.69477586517</v>
      </c>
      <c r="E79" s="109">
        <f t="shared" ca="1" si="33"/>
        <v>112037.16941660225</v>
      </c>
      <c r="F79" s="109">
        <f t="shared" ca="1" si="33"/>
        <v>103647.3858748468</v>
      </c>
      <c r="G79" s="109">
        <f t="shared" ca="1" si="33"/>
        <v>95861.666748097748</v>
      </c>
      <c r="H79" s="109">
        <f t="shared" ca="1" si="33"/>
        <v>88680.012036355081</v>
      </c>
      <c r="I79" s="109">
        <f t="shared" ca="1" si="33"/>
        <v>82018.523904201254</v>
      </c>
      <c r="J79" s="109">
        <f t="shared" ca="1" si="33"/>
        <v>75877.202351636282</v>
      </c>
      <c r="K79" s="109">
        <f t="shared" ca="1" si="33"/>
        <v>74870.428326625624</v>
      </c>
      <c r="L79" s="109">
        <f t="shared" ca="1" si="33"/>
        <v>74853.648759542106</v>
      </c>
      <c r="M79" s="109">
        <f t="shared" ca="1" si="33"/>
        <v>74870.428326625624</v>
      </c>
      <c r="N79" s="109">
        <f t="shared" ca="1" si="33"/>
        <v>74853.648759542106</v>
      </c>
      <c r="O79" s="109">
        <f t="shared" ca="1" si="33"/>
        <v>74870.428326625624</v>
      </c>
      <c r="P79" s="109">
        <f t="shared" ca="1" si="33"/>
        <v>74853.648759542106</v>
      </c>
      <c r="Q79" s="109">
        <f t="shared" ca="1" si="33"/>
        <v>74870.428326625624</v>
      </c>
      <c r="R79" s="109">
        <f t="shared" ca="1" si="33"/>
        <v>74853.648759542106</v>
      </c>
      <c r="S79" s="109">
        <f t="shared" ca="1" si="33"/>
        <v>74870.428326625624</v>
      </c>
      <c r="T79" s="109">
        <f t="shared" ca="1" si="33"/>
        <v>74853.648759542106</v>
      </c>
      <c r="U79" s="109">
        <f t="shared" ca="1" si="33"/>
        <v>74870.428326625624</v>
      </c>
      <c r="V79" s="109">
        <f t="shared" ca="1" si="33"/>
        <v>74853.648759542106</v>
      </c>
      <c r="W79" s="110">
        <f t="shared" ca="1" si="33"/>
        <v>37435.214163312812</v>
      </c>
      <c r="X79" s="107">
        <f t="shared" ca="1" si="3"/>
        <v>1677956.7083510894</v>
      </c>
    </row>
    <row r="80" spans="1:24" ht="15" customHeight="1" x14ac:dyDescent="0.2">
      <c r="A80" s="75">
        <f>IF('Cash Flow Analysis'!C96="","",'Cash Flow Analysis'!C96)</f>
        <v>29</v>
      </c>
      <c r="B80" s="1069">
        <f ca="1">IF(A80="","",IF(A80&lt;1,0,IF(A80=1,$B$44-'Cash Flow Analysis'!I96,-'Cash Flow Analysis'!I96)))</f>
        <v>1709837.8858097601</v>
      </c>
      <c r="C80" s="108">
        <f t="shared" ref="C80:W80" ca="1" si="34">IF($B$80="","",IF(AND($B$42="Straight Line",C48&lt;=depr_length),$B$80/depr_length,IF(AND($B$42="MACRS",C48&lt;=depr_length+1),$B$80*INDEX(MACRS_Table,MATCH(C48,recovery_year,0),MATCH($B$43,recovery_period,0)),"")))</f>
        <v>64118.920717866</v>
      </c>
      <c r="D80" s="109">
        <f t="shared" ca="1" si="34"/>
        <v>123433.19697660659</v>
      </c>
      <c r="E80" s="109">
        <f t="shared" ca="1" si="34"/>
        <v>114165.87563551767</v>
      </c>
      <c r="F80" s="109">
        <f t="shared" ca="1" si="34"/>
        <v>105616.68620646888</v>
      </c>
      <c r="G80" s="109">
        <f t="shared" ca="1" si="34"/>
        <v>97683.038416311596</v>
      </c>
      <c r="H80" s="109">
        <f t="shared" ca="1" si="34"/>
        <v>90364.93226504582</v>
      </c>
      <c r="I80" s="109">
        <f t="shared" ca="1" si="34"/>
        <v>83576.87585838107</v>
      </c>
      <c r="J80" s="109">
        <f t="shared" ca="1" si="34"/>
        <v>77318.869196317362</v>
      </c>
      <c r="K80" s="109">
        <f t="shared" ca="1" si="34"/>
        <v>76292.966464831494</v>
      </c>
      <c r="L80" s="109">
        <f t="shared" ca="1" si="34"/>
        <v>76275.868085973387</v>
      </c>
      <c r="M80" s="109">
        <f t="shared" ca="1" si="34"/>
        <v>76292.966464831494</v>
      </c>
      <c r="N80" s="109">
        <f t="shared" ca="1" si="34"/>
        <v>76275.868085973387</v>
      </c>
      <c r="O80" s="109">
        <f t="shared" ca="1" si="34"/>
        <v>76292.966464831494</v>
      </c>
      <c r="P80" s="109">
        <f t="shared" ca="1" si="34"/>
        <v>76275.868085973387</v>
      </c>
      <c r="Q80" s="109">
        <f t="shared" ca="1" si="34"/>
        <v>76292.966464831494</v>
      </c>
      <c r="R80" s="109">
        <f t="shared" ca="1" si="34"/>
        <v>76275.868085973387</v>
      </c>
      <c r="S80" s="109">
        <f t="shared" ca="1" si="34"/>
        <v>76292.966464831494</v>
      </c>
      <c r="T80" s="109">
        <f t="shared" ca="1" si="34"/>
        <v>76275.868085973387</v>
      </c>
      <c r="U80" s="109">
        <f t="shared" ca="1" si="34"/>
        <v>76292.966464831494</v>
      </c>
      <c r="V80" s="109">
        <f t="shared" ca="1" si="34"/>
        <v>76275.868085973387</v>
      </c>
      <c r="W80" s="110">
        <f t="shared" ca="1" si="34"/>
        <v>38146.483232415747</v>
      </c>
      <c r="X80" s="107">
        <f t="shared" ca="1" si="3"/>
        <v>1709837.8858097603</v>
      </c>
    </row>
    <row r="81" spans="1:24" ht="15" customHeight="1" x14ac:dyDescent="0.2">
      <c r="A81" s="75">
        <f>IF('Cash Flow Analysis'!C97="","",'Cash Flow Analysis'!C97)</f>
        <v>30</v>
      </c>
      <c r="B81" s="1069">
        <f ca="1">IF(A81="","",IF(A81&lt;1,0,IF(A81=1,$B$44-'Cash Flow Analysis'!I97,-'Cash Flow Analysis'!I97)))</f>
        <v>1742324.8056401452</v>
      </c>
      <c r="C81" s="108">
        <f t="shared" ref="C81:W81" ca="1" si="35">IF($B$81="","",IF(AND($B$42="Straight Line",C48&lt;=depr_length),$B$81/depr_length,IF(AND($B$42="MACRS",C48&lt;=depr_length+1),$B$81*INDEX(MACRS_Table,MATCH(C48,recovery_year,0),MATCH($B$43,recovery_period,0)),"")))</f>
        <v>65337.180211505445</v>
      </c>
      <c r="D81" s="109">
        <f t="shared" ca="1" si="35"/>
        <v>125778.42771916209</v>
      </c>
      <c r="E81" s="109">
        <f t="shared" ca="1" si="35"/>
        <v>116335.02727259249</v>
      </c>
      <c r="F81" s="109">
        <f t="shared" ca="1" si="35"/>
        <v>107623.40324439177</v>
      </c>
      <c r="G81" s="109">
        <f t="shared" ca="1" si="35"/>
        <v>99539.016146221489</v>
      </c>
      <c r="H81" s="109">
        <f t="shared" ca="1" si="35"/>
        <v>92081.865978081682</v>
      </c>
      <c r="I81" s="109">
        <f t="shared" ca="1" si="35"/>
        <v>85164.836499690296</v>
      </c>
      <c r="J81" s="109">
        <f t="shared" ca="1" si="35"/>
        <v>78787.927711047378</v>
      </c>
      <c r="K81" s="109">
        <f t="shared" ca="1" si="35"/>
        <v>77742.532827663279</v>
      </c>
      <c r="L81" s="109">
        <f t="shared" ca="1" si="35"/>
        <v>77725.109579606869</v>
      </c>
      <c r="M81" s="109">
        <f t="shared" ca="1" si="35"/>
        <v>77742.532827663279</v>
      </c>
      <c r="N81" s="109">
        <f t="shared" ca="1" si="35"/>
        <v>77725.109579606869</v>
      </c>
      <c r="O81" s="109">
        <f t="shared" ca="1" si="35"/>
        <v>77742.532827663279</v>
      </c>
      <c r="P81" s="109">
        <f t="shared" ca="1" si="35"/>
        <v>77725.109579606869</v>
      </c>
      <c r="Q81" s="109">
        <f t="shared" ca="1" si="35"/>
        <v>77742.532827663279</v>
      </c>
      <c r="R81" s="109">
        <f t="shared" ca="1" si="35"/>
        <v>77725.109579606869</v>
      </c>
      <c r="S81" s="109">
        <f t="shared" ca="1" si="35"/>
        <v>77742.532827663279</v>
      </c>
      <c r="T81" s="109">
        <f t="shared" ca="1" si="35"/>
        <v>77725.109579606869</v>
      </c>
      <c r="U81" s="109">
        <f t="shared" ca="1" si="35"/>
        <v>77742.532827663279</v>
      </c>
      <c r="V81" s="109">
        <f t="shared" ca="1" si="35"/>
        <v>77725.109579606869</v>
      </c>
      <c r="W81" s="110">
        <f t="shared" ca="1" si="35"/>
        <v>38871.26641383164</v>
      </c>
      <c r="X81" s="107">
        <f t="shared" ca="1" si="3"/>
        <v>1742324.805640145</v>
      </c>
    </row>
    <row r="82" spans="1:24" ht="15" customHeight="1" x14ac:dyDescent="0.2">
      <c r="A82" s="75">
        <f>IF('Cash Flow Analysis'!C98="","",'Cash Flow Analysis'!C98)</f>
        <v>31</v>
      </c>
      <c r="B82" s="1069">
        <f ca="1">IF(A82="","",IF(A82&lt;1,0,IF(A82=1,$B$44-'Cash Flow Analysis'!I98,-'Cash Flow Analysis'!I98)))</f>
        <v>1775428.9769473085</v>
      </c>
      <c r="C82" s="108">
        <f t="shared" ref="C82:W82" ca="1" si="36">IF($B$82="","",IF(AND($B$42="Straight Line",C48&lt;=depr_length),$B$82/depr_length,IF(AND($B$42="MACRS",C48&lt;=depr_length+1),$B$82*INDEX(MACRS_Table,MATCH(C48,recovery_year,0),MATCH($B$43,recovery_period,0)),"")))</f>
        <v>66578.586635524072</v>
      </c>
      <c r="D82" s="109">
        <f t="shared" ca="1" si="36"/>
        <v>128168.21784582621</v>
      </c>
      <c r="E82" s="109">
        <f t="shared" ca="1" si="36"/>
        <v>118545.39279077179</v>
      </c>
      <c r="F82" s="109">
        <f t="shared" ca="1" si="36"/>
        <v>109668.24790603525</v>
      </c>
      <c r="G82" s="109">
        <f t="shared" ca="1" si="36"/>
        <v>101430.25745299974</v>
      </c>
      <c r="H82" s="109">
        <f t="shared" ca="1" si="36"/>
        <v>93831.421431665251</v>
      </c>
      <c r="I82" s="109">
        <f t="shared" ca="1" si="36"/>
        <v>86782.968393184434</v>
      </c>
      <c r="J82" s="109">
        <f t="shared" ca="1" si="36"/>
        <v>80284.898337557301</v>
      </c>
      <c r="K82" s="109">
        <f t="shared" ca="1" si="36"/>
        <v>79219.640951388908</v>
      </c>
      <c r="L82" s="109">
        <f t="shared" ca="1" si="36"/>
        <v>79201.886661619428</v>
      </c>
      <c r="M82" s="109">
        <f t="shared" ca="1" si="36"/>
        <v>79219.640951388908</v>
      </c>
      <c r="N82" s="109">
        <f t="shared" ca="1" si="36"/>
        <v>79201.886661619428</v>
      </c>
      <c r="O82" s="109">
        <f t="shared" ca="1" si="36"/>
        <v>79219.640951388908</v>
      </c>
      <c r="P82" s="109">
        <f t="shared" ca="1" si="36"/>
        <v>79201.886661619428</v>
      </c>
      <c r="Q82" s="109">
        <f t="shared" ca="1" si="36"/>
        <v>79219.640951388908</v>
      </c>
      <c r="R82" s="109">
        <f t="shared" ca="1" si="36"/>
        <v>79201.886661619428</v>
      </c>
      <c r="S82" s="109">
        <f t="shared" ca="1" si="36"/>
        <v>79219.640951388908</v>
      </c>
      <c r="T82" s="109">
        <f t="shared" ca="1" si="36"/>
        <v>79201.886661619428</v>
      </c>
      <c r="U82" s="109">
        <f t="shared" ca="1" si="36"/>
        <v>79219.640951388908</v>
      </c>
      <c r="V82" s="109">
        <f t="shared" ca="1" si="36"/>
        <v>79201.886661619428</v>
      </c>
      <c r="W82" s="110">
        <f t="shared" ca="1" si="36"/>
        <v>39609.820475694454</v>
      </c>
      <c r="X82" s="107">
        <f t="shared" ca="1" si="3"/>
        <v>1775428.9769473088</v>
      </c>
    </row>
    <row r="83" spans="1:24" ht="15" customHeight="1" x14ac:dyDescent="0.2">
      <c r="A83" s="75">
        <f>IF('Cash Flow Analysis'!C99="","",'Cash Flow Analysis'!C99)</f>
        <v>32</v>
      </c>
      <c r="B83" s="1069">
        <f ca="1">IF(A83="","",IF(A83&lt;1,0,IF(A83=1,$B$44-'Cash Flow Analysis'!I99,-'Cash Flow Analysis'!I99)))</f>
        <v>1809162.1275093071</v>
      </c>
      <c r="C83" s="108">
        <f t="shared" ref="C83:W83" ca="1" si="37">IF($B$83="","",IF(AND($B$42="Straight Line",C48&lt;=depr_length),$B$83/depr_length,IF(AND($B$42="MACRS",C48&lt;=depr_length+1),$B$83*INDEX(MACRS_Table,MATCH(C48,recovery_year,0),MATCH($B$43,recovery_period,0)),"")))</f>
        <v>67843.579781599008</v>
      </c>
      <c r="D83" s="109">
        <f t="shared" ca="1" si="37"/>
        <v>130603.41398489689</v>
      </c>
      <c r="E83" s="109">
        <f t="shared" ca="1" si="37"/>
        <v>120797.75525379642</v>
      </c>
      <c r="F83" s="109">
        <f t="shared" ca="1" si="37"/>
        <v>111751.94461624989</v>
      </c>
      <c r="G83" s="109">
        <f t="shared" ca="1" si="37"/>
        <v>103357.43234460671</v>
      </c>
      <c r="H83" s="109">
        <f t="shared" ca="1" si="37"/>
        <v>95614.218438866883</v>
      </c>
      <c r="I83" s="109">
        <f t="shared" ca="1" si="37"/>
        <v>88431.844792654927</v>
      </c>
      <c r="J83" s="109">
        <f t="shared" ca="1" si="37"/>
        <v>81810.311405970875</v>
      </c>
      <c r="K83" s="109">
        <f t="shared" ca="1" si="37"/>
        <v>80724.814129465289</v>
      </c>
      <c r="L83" s="109">
        <f t="shared" ca="1" si="37"/>
        <v>80706.722508190185</v>
      </c>
      <c r="M83" s="109">
        <f t="shared" ca="1" si="37"/>
        <v>80724.814129465289</v>
      </c>
      <c r="N83" s="109">
        <f t="shared" ca="1" si="37"/>
        <v>80706.722508190185</v>
      </c>
      <c r="O83" s="109">
        <f t="shared" ca="1" si="37"/>
        <v>80724.814129465289</v>
      </c>
      <c r="P83" s="109">
        <f t="shared" ca="1" si="37"/>
        <v>80706.722508190185</v>
      </c>
      <c r="Q83" s="109">
        <f t="shared" ca="1" si="37"/>
        <v>80724.814129465289</v>
      </c>
      <c r="R83" s="109">
        <f t="shared" ca="1" si="37"/>
        <v>80706.722508190185</v>
      </c>
      <c r="S83" s="109">
        <f t="shared" ca="1" si="37"/>
        <v>80724.814129465289</v>
      </c>
      <c r="T83" s="109">
        <f t="shared" ca="1" si="37"/>
        <v>80706.722508190185</v>
      </c>
      <c r="U83" s="109">
        <f t="shared" ca="1" si="37"/>
        <v>80724.814129465289</v>
      </c>
      <c r="V83" s="109">
        <f t="shared" ca="1" si="37"/>
        <v>80706.722508190185</v>
      </c>
      <c r="W83" s="110">
        <f t="shared" ca="1" si="37"/>
        <v>40362.407064732644</v>
      </c>
      <c r="X83" s="107">
        <f t="shared" ca="1" si="3"/>
        <v>1809162.1275093069</v>
      </c>
    </row>
    <row r="84" spans="1:24" ht="15" customHeight="1" x14ac:dyDescent="0.2">
      <c r="A84" s="75">
        <f>IF('Cash Flow Analysis'!C100="","",'Cash Flow Analysis'!C100)</f>
        <v>33</v>
      </c>
      <c r="B84" s="1069">
        <f ca="1">IF(A84="","",IF(A84&lt;1,0,IF(A84=1,$B$44-'Cash Flow Analysis'!I100,-'Cash Flow Analysis'!I100)))</f>
        <v>1843536.207931984</v>
      </c>
      <c r="C84" s="108">
        <f t="shared" ref="C84:W84" ca="1" si="38">IF($B$84="","",IF(AND($B$42="Straight Line",C48&lt;=depr_length),$B$84/depr_length,IF(AND($B$42="MACRS",C48&lt;=depr_length+1),$B$84*INDEX(MACRS_Table,MATCH(C48,recovery_year,0),MATCH($B$43,recovery_period,0)),"")))</f>
        <v>69132.607797449396</v>
      </c>
      <c r="D84" s="109">
        <f t="shared" ca="1" si="38"/>
        <v>133084.87885060994</v>
      </c>
      <c r="E84" s="109">
        <f t="shared" ca="1" si="38"/>
        <v>123092.91260361856</v>
      </c>
      <c r="F84" s="109">
        <f t="shared" ca="1" si="38"/>
        <v>113875.23156395864</v>
      </c>
      <c r="G84" s="109">
        <f t="shared" ca="1" si="38"/>
        <v>105321.22355915424</v>
      </c>
      <c r="H84" s="109">
        <f t="shared" ca="1" si="38"/>
        <v>97430.888589205351</v>
      </c>
      <c r="I84" s="109">
        <f t="shared" ca="1" si="38"/>
        <v>90112.049843715373</v>
      </c>
      <c r="J84" s="109">
        <f t="shared" ca="1" si="38"/>
        <v>83364.70732268432</v>
      </c>
      <c r="K84" s="109">
        <f t="shared" ca="1" si="38"/>
        <v>82258.585597925121</v>
      </c>
      <c r="L84" s="109">
        <f t="shared" ca="1" si="38"/>
        <v>82240.150235845795</v>
      </c>
      <c r="M84" s="109">
        <f t="shared" ca="1" si="38"/>
        <v>82258.585597925121</v>
      </c>
      <c r="N84" s="109">
        <f t="shared" ca="1" si="38"/>
        <v>82240.150235845795</v>
      </c>
      <c r="O84" s="109">
        <f t="shared" ca="1" si="38"/>
        <v>82258.585597925121</v>
      </c>
      <c r="P84" s="109">
        <f t="shared" ca="1" si="38"/>
        <v>82240.150235845795</v>
      </c>
      <c r="Q84" s="109">
        <f t="shared" ca="1" si="38"/>
        <v>82258.585597925121</v>
      </c>
      <c r="R84" s="109">
        <f t="shared" ca="1" si="38"/>
        <v>82240.150235845795</v>
      </c>
      <c r="S84" s="109">
        <f t="shared" ca="1" si="38"/>
        <v>82258.585597925121</v>
      </c>
      <c r="T84" s="109">
        <f t="shared" ca="1" si="38"/>
        <v>82240.150235845795</v>
      </c>
      <c r="U84" s="109">
        <f t="shared" ca="1" si="38"/>
        <v>82258.585597925121</v>
      </c>
      <c r="V84" s="109">
        <f t="shared" ca="1" si="38"/>
        <v>82240.150235845795</v>
      </c>
      <c r="W84" s="110">
        <f t="shared" ca="1" si="38"/>
        <v>41129.29279896256</v>
      </c>
      <c r="X84" s="107">
        <f t="shared" ca="1" si="3"/>
        <v>1843536.2079319833</v>
      </c>
    </row>
    <row r="85" spans="1:24" ht="15" customHeight="1" x14ac:dyDescent="0.2">
      <c r="A85" s="75">
        <f>IF('Cash Flow Analysis'!C101="","",'Cash Flow Analysis'!C101)</f>
        <v>34</v>
      </c>
      <c r="B85" s="1069">
        <f ca="1">IF(A85="","",IF(A85&lt;1,0,IF(A85=1,$B$44-'Cash Flow Analysis'!I101,-'Cash Flow Analysis'!I101)))</f>
        <v>1878563.3958826913</v>
      </c>
      <c r="C85" s="108">
        <f t="shared" ref="C85:W85" ca="1" si="39">IF($B$85="","",IF(AND($B$42="Straight Line",C48&lt;=depr_length),$B$85/depr_length,IF(AND($B$42="MACRS",C48&lt;=depr_length+1),$B$85*INDEX(MACRS_Table,MATCH(C48,recovery_year,0),MATCH($B$43,recovery_period,0)),"")))</f>
        <v>70446.127345600922</v>
      </c>
      <c r="D85" s="109">
        <f t="shared" ca="1" si="39"/>
        <v>135613.49154877148</v>
      </c>
      <c r="E85" s="109">
        <f t="shared" ca="1" si="39"/>
        <v>125431.67794308728</v>
      </c>
      <c r="F85" s="109">
        <f t="shared" ca="1" si="39"/>
        <v>116038.86096367384</v>
      </c>
      <c r="G85" s="109">
        <f t="shared" ca="1" si="39"/>
        <v>107322.32680677815</v>
      </c>
      <c r="H85" s="109">
        <f t="shared" ca="1" si="39"/>
        <v>99282.075472400233</v>
      </c>
      <c r="I85" s="109">
        <f t="shared" ca="1" si="39"/>
        <v>91824.178790745951</v>
      </c>
      <c r="J85" s="109">
        <f t="shared" ca="1" si="39"/>
        <v>84948.636761815302</v>
      </c>
      <c r="K85" s="109">
        <f t="shared" ca="1" si="39"/>
        <v>83821.498724285688</v>
      </c>
      <c r="L85" s="109">
        <f t="shared" ca="1" si="39"/>
        <v>83802.713090326855</v>
      </c>
      <c r="M85" s="109">
        <f t="shared" ca="1" si="39"/>
        <v>83821.498724285688</v>
      </c>
      <c r="N85" s="109">
        <f t="shared" ca="1" si="39"/>
        <v>83802.713090326855</v>
      </c>
      <c r="O85" s="109">
        <f t="shared" ca="1" si="39"/>
        <v>83821.498724285688</v>
      </c>
      <c r="P85" s="109">
        <f t="shared" ca="1" si="39"/>
        <v>83802.713090326855</v>
      </c>
      <c r="Q85" s="109">
        <f t="shared" ca="1" si="39"/>
        <v>83821.498724285688</v>
      </c>
      <c r="R85" s="109">
        <f t="shared" ca="1" si="39"/>
        <v>83802.713090326855</v>
      </c>
      <c r="S85" s="109">
        <f t="shared" ca="1" si="39"/>
        <v>83821.498724285688</v>
      </c>
      <c r="T85" s="109">
        <f t="shared" ca="1" si="39"/>
        <v>83802.713090326855</v>
      </c>
      <c r="U85" s="109">
        <f t="shared" ca="1" si="39"/>
        <v>83821.498724285688</v>
      </c>
      <c r="V85" s="109">
        <f t="shared" ca="1" si="39"/>
        <v>83802.713090326855</v>
      </c>
      <c r="W85" s="110">
        <f t="shared" ca="1" si="39"/>
        <v>41910.749362142844</v>
      </c>
      <c r="X85" s="107">
        <f t="shared" ca="1" si="3"/>
        <v>1878563.3958826915</v>
      </c>
    </row>
    <row r="86" spans="1:24" ht="15" customHeight="1" x14ac:dyDescent="0.2">
      <c r="A86" s="75">
        <f>IF('Cash Flow Analysis'!C102="","",'Cash Flow Analysis'!C102)</f>
        <v>35</v>
      </c>
      <c r="B86" s="1069">
        <f ca="1">IF(A86="","",IF(A86&lt;1,0,IF(A86=1,$B$44-'Cash Flow Analysis'!I102,-'Cash Flow Analysis'!I102)))</f>
        <v>1914256.1004044625</v>
      </c>
      <c r="C86" s="108">
        <f t="shared" ref="C86:W86" ca="1" si="40">IF($B$86="","",IF(AND($B$42="Straight Line",C48&lt;=depr_length),$B$86/depr_length,IF(AND($B$42="MACRS",C48&lt;=depr_length+1),$B$86*INDEX(MACRS_Table,MATCH(C48,recovery_year,0),MATCH($B$43,recovery_period,0)),"")))</f>
        <v>71784.60376516734</v>
      </c>
      <c r="D86" s="109">
        <f t="shared" ca="1" si="40"/>
        <v>138190.14788819815</v>
      </c>
      <c r="E86" s="109">
        <f t="shared" ca="1" si="40"/>
        <v>127814.87982400596</v>
      </c>
      <c r="F86" s="109">
        <f t="shared" ca="1" si="40"/>
        <v>118243.59932198365</v>
      </c>
      <c r="G86" s="109">
        <f t="shared" ca="1" si="40"/>
        <v>109361.45101610695</v>
      </c>
      <c r="H86" s="109">
        <f t="shared" ca="1" si="40"/>
        <v>101168.43490637584</v>
      </c>
      <c r="I86" s="109">
        <f t="shared" ca="1" si="40"/>
        <v>93568.838187770132</v>
      </c>
      <c r="J86" s="109">
        <f t="shared" ca="1" si="40"/>
        <v>86562.660860289805</v>
      </c>
      <c r="K86" s="109">
        <f t="shared" ca="1" si="40"/>
        <v>85414.107200047118</v>
      </c>
      <c r="L86" s="109">
        <f t="shared" ca="1" si="40"/>
        <v>85394.964639043072</v>
      </c>
      <c r="M86" s="109">
        <f t="shared" ca="1" si="40"/>
        <v>85414.107200047118</v>
      </c>
      <c r="N86" s="109">
        <f t="shared" ca="1" si="40"/>
        <v>85394.964639043072</v>
      </c>
      <c r="O86" s="109">
        <f t="shared" ca="1" si="40"/>
        <v>85414.107200047118</v>
      </c>
      <c r="P86" s="109">
        <f t="shared" ca="1" si="40"/>
        <v>85394.964639043072</v>
      </c>
      <c r="Q86" s="109">
        <f t="shared" ca="1" si="40"/>
        <v>85414.107200047118</v>
      </c>
      <c r="R86" s="109">
        <f t="shared" ca="1" si="40"/>
        <v>85394.964639043072</v>
      </c>
      <c r="S86" s="109">
        <f t="shared" ca="1" si="40"/>
        <v>85414.107200047118</v>
      </c>
      <c r="T86" s="109">
        <f t="shared" ca="1" si="40"/>
        <v>85394.964639043072</v>
      </c>
      <c r="U86" s="109">
        <f t="shared" ca="1" si="40"/>
        <v>85414.107200047118</v>
      </c>
      <c r="V86" s="109">
        <f t="shared" ca="1" si="40"/>
        <v>85394.964639043072</v>
      </c>
      <c r="W86" s="110">
        <f t="shared" ca="1" si="40"/>
        <v>42707.053600023559</v>
      </c>
      <c r="X86" s="107">
        <f t="shared" ca="1" si="3"/>
        <v>1914256.1004044614</v>
      </c>
    </row>
    <row r="87" spans="1:24" ht="15" customHeight="1" x14ac:dyDescent="0.2">
      <c r="A87" s="75">
        <f>IF('Cash Flow Analysis'!C103="","",'Cash Flow Analysis'!C103)</f>
        <v>36</v>
      </c>
      <c r="B87" s="1069">
        <f ca="1">IF(A87="","",IF(A87&lt;1,0,IF(A87=1,$B$44-'Cash Flow Analysis'!I103,-'Cash Flow Analysis'!I103)))</f>
        <v>1950626.9663121472</v>
      </c>
      <c r="C87" s="108">
        <f t="shared" ref="C87:W87" ca="1" si="41">IF($B$87="","",IF(AND($B$42="Straight Line",C48&lt;=depr_length),$B$87/depr_length,IF(AND($B$42="MACRS",C48&lt;=depr_length+1),$B$87*INDEX(MACRS_Table,MATCH(C48,recovery_year,0),MATCH($B$43,recovery_period,0)),"")))</f>
        <v>73148.511236705512</v>
      </c>
      <c r="D87" s="109">
        <f t="shared" ca="1" si="41"/>
        <v>140815.76069807392</v>
      </c>
      <c r="E87" s="109">
        <f t="shared" ca="1" si="41"/>
        <v>130243.36254066206</v>
      </c>
      <c r="F87" s="109">
        <f t="shared" ca="1" si="41"/>
        <v>120490.22770910132</v>
      </c>
      <c r="G87" s="109">
        <f t="shared" ca="1" si="41"/>
        <v>111439.31858541297</v>
      </c>
      <c r="H87" s="109">
        <f t="shared" ca="1" si="41"/>
        <v>103090.63516959698</v>
      </c>
      <c r="I87" s="109">
        <f t="shared" ca="1" si="41"/>
        <v>95346.64611333776</v>
      </c>
      <c r="J87" s="109">
        <f t="shared" ca="1" si="41"/>
        <v>88207.351416635298</v>
      </c>
      <c r="K87" s="109">
        <f t="shared" ca="1" si="41"/>
        <v>87036.975236848011</v>
      </c>
      <c r="L87" s="109">
        <f t="shared" ca="1" si="41"/>
        <v>87017.468967184876</v>
      </c>
      <c r="M87" s="109">
        <f t="shared" ca="1" si="41"/>
        <v>87036.975236848011</v>
      </c>
      <c r="N87" s="109">
        <f t="shared" ca="1" si="41"/>
        <v>87017.468967184876</v>
      </c>
      <c r="O87" s="109">
        <f t="shared" ca="1" si="41"/>
        <v>87036.975236848011</v>
      </c>
      <c r="P87" s="109">
        <f t="shared" ca="1" si="41"/>
        <v>87017.468967184876</v>
      </c>
      <c r="Q87" s="109">
        <f t="shared" ca="1" si="41"/>
        <v>87036.975236848011</v>
      </c>
      <c r="R87" s="109">
        <f t="shared" ca="1" si="41"/>
        <v>87017.468967184876</v>
      </c>
      <c r="S87" s="109">
        <f t="shared" ca="1" si="41"/>
        <v>87036.975236848011</v>
      </c>
      <c r="T87" s="109">
        <f t="shared" ca="1" si="41"/>
        <v>87017.468967184876</v>
      </c>
      <c r="U87" s="109">
        <f t="shared" ca="1" si="41"/>
        <v>87036.975236848011</v>
      </c>
      <c r="V87" s="109">
        <f t="shared" ca="1" si="41"/>
        <v>87017.468967184876</v>
      </c>
      <c r="W87" s="110">
        <f t="shared" ca="1" si="41"/>
        <v>43518.487618424006</v>
      </c>
      <c r="X87" s="107">
        <f t="shared" ca="1" si="3"/>
        <v>1950626.9663121472</v>
      </c>
    </row>
    <row r="88" spans="1:24" ht="15" customHeight="1" x14ac:dyDescent="0.2">
      <c r="A88" s="75">
        <f>IF('Cash Flow Analysis'!C104="","",'Cash Flow Analysis'!C104)</f>
        <v>37</v>
      </c>
      <c r="B88" s="1069">
        <f ca="1">IF(A88="","",IF(A88&lt;1,0,IF(A88=1,$B$44-'Cash Flow Analysis'!I104,-'Cash Flow Analysis'!I104)))</f>
        <v>1987688.878672078</v>
      </c>
      <c r="C88" s="108">
        <f t="shared" ref="C88:W88" ca="1" si="42">IF($B$88="","",IF(AND($B$42="Straight Line",C48&lt;=depr_length),$B$88/depr_length,IF(AND($B$42="MACRS",C48&lt;=depr_length+1),$B$88*INDEX(MACRS_Table,MATCH(C48,recovery_year,0),MATCH($B$43,recovery_period,0)),"")))</f>
        <v>74538.332950202923</v>
      </c>
      <c r="D88" s="109">
        <f t="shared" ca="1" si="42"/>
        <v>143491.26015133731</v>
      </c>
      <c r="E88" s="109">
        <f t="shared" ca="1" si="42"/>
        <v>132717.98642893464</v>
      </c>
      <c r="F88" s="109">
        <f t="shared" ca="1" si="42"/>
        <v>122779.54203557425</v>
      </c>
      <c r="G88" s="109">
        <f t="shared" ca="1" si="42"/>
        <v>113556.66563853582</v>
      </c>
      <c r="H88" s="109">
        <f t="shared" ca="1" si="42"/>
        <v>105049.35723781932</v>
      </c>
      <c r="I88" s="109">
        <f t="shared" ca="1" si="42"/>
        <v>97158.232389491168</v>
      </c>
      <c r="J88" s="109">
        <f t="shared" ca="1" si="42"/>
        <v>89883.291093551379</v>
      </c>
      <c r="K88" s="109">
        <f t="shared" ca="1" si="42"/>
        <v>88690.677766348119</v>
      </c>
      <c r="L88" s="109">
        <f t="shared" ca="1" si="42"/>
        <v>88670.8008775614</v>
      </c>
      <c r="M88" s="109">
        <f t="shared" ca="1" si="42"/>
        <v>88690.677766348119</v>
      </c>
      <c r="N88" s="109">
        <f t="shared" ca="1" si="42"/>
        <v>88670.8008775614</v>
      </c>
      <c r="O88" s="109">
        <f t="shared" ca="1" si="42"/>
        <v>88690.677766348119</v>
      </c>
      <c r="P88" s="109">
        <f t="shared" ca="1" si="42"/>
        <v>88670.8008775614</v>
      </c>
      <c r="Q88" s="109">
        <f t="shared" ca="1" si="42"/>
        <v>88690.677766348119</v>
      </c>
      <c r="R88" s="109">
        <f t="shared" ca="1" si="42"/>
        <v>88670.8008775614</v>
      </c>
      <c r="S88" s="109">
        <f t="shared" ca="1" si="42"/>
        <v>88690.677766348119</v>
      </c>
      <c r="T88" s="109">
        <f t="shared" ca="1" si="42"/>
        <v>88670.8008775614</v>
      </c>
      <c r="U88" s="109">
        <f t="shared" ca="1" si="42"/>
        <v>88690.677766348119</v>
      </c>
      <c r="V88" s="109">
        <f t="shared" ca="1" si="42"/>
        <v>88670.8008775614</v>
      </c>
      <c r="W88" s="110">
        <f t="shared" ca="1" si="42"/>
        <v>44345.338883174059</v>
      </c>
      <c r="X88" s="107">
        <f t="shared" ca="1" si="3"/>
        <v>1987688.8786720783</v>
      </c>
    </row>
    <row r="89" spans="1:24" ht="15" customHeight="1" x14ac:dyDescent="0.2">
      <c r="A89" s="75">
        <f>IF('Cash Flow Analysis'!C105="","",'Cash Flow Analysis'!C105)</f>
        <v>38</v>
      </c>
      <c r="B89" s="1069">
        <f ca="1">IF(A89="","",IF(A89&lt;1,0,IF(A89=1,$B$44-'Cash Flow Analysis'!I105,-'Cash Flow Analysis'!I105)))</f>
        <v>2025454.967366847</v>
      </c>
      <c r="C89" s="108">
        <f t="shared" ref="C89:W89" ca="1" si="43">IF($B$89="","",IF(AND($B$42="Straight Line",C48&lt;=depr_length),$B$89/depr_length,IF(AND($B$42="MACRS",C48&lt;=depr_length+1),$B$89*INDEX(MACRS_Table,MATCH(C48,recovery_year,0),MATCH($B$43,recovery_period,0)),"")))</f>
        <v>75954.561276256762</v>
      </c>
      <c r="D89" s="109">
        <f t="shared" ca="1" si="43"/>
        <v>146217.59409421269</v>
      </c>
      <c r="E89" s="109">
        <f t="shared" ca="1" si="43"/>
        <v>135239.62817108436</v>
      </c>
      <c r="F89" s="109">
        <f t="shared" ca="1" si="43"/>
        <v>125112.35333425013</v>
      </c>
      <c r="G89" s="109">
        <f t="shared" ca="1" si="43"/>
        <v>115714.24228566796</v>
      </c>
      <c r="H89" s="109">
        <f t="shared" ca="1" si="43"/>
        <v>107045.29502533787</v>
      </c>
      <c r="I89" s="109">
        <f t="shared" ca="1" si="43"/>
        <v>99004.238804891473</v>
      </c>
      <c r="J89" s="109">
        <f t="shared" ca="1" si="43"/>
        <v>91591.073624328827</v>
      </c>
      <c r="K89" s="109">
        <f t="shared" ca="1" si="43"/>
        <v>90375.800643908718</v>
      </c>
      <c r="L89" s="109">
        <f t="shared" ca="1" si="43"/>
        <v>90355.546094235033</v>
      </c>
      <c r="M89" s="109">
        <f t="shared" ca="1" si="43"/>
        <v>90375.800643908718</v>
      </c>
      <c r="N89" s="109">
        <f t="shared" ca="1" si="43"/>
        <v>90355.546094235033</v>
      </c>
      <c r="O89" s="109">
        <f t="shared" ca="1" si="43"/>
        <v>90375.800643908718</v>
      </c>
      <c r="P89" s="109">
        <f t="shared" ca="1" si="43"/>
        <v>90355.546094235033</v>
      </c>
      <c r="Q89" s="109">
        <f t="shared" ca="1" si="43"/>
        <v>90375.800643908718</v>
      </c>
      <c r="R89" s="109">
        <f t="shared" ca="1" si="43"/>
        <v>90355.546094235033</v>
      </c>
      <c r="S89" s="109">
        <f t="shared" ca="1" si="43"/>
        <v>90375.800643908718</v>
      </c>
      <c r="T89" s="109">
        <f t="shared" ca="1" si="43"/>
        <v>90355.546094235033</v>
      </c>
      <c r="U89" s="109">
        <f t="shared" ca="1" si="43"/>
        <v>90375.800643908718</v>
      </c>
      <c r="V89" s="109">
        <f t="shared" ca="1" si="43"/>
        <v>90355.546094235033</v>
      </c>
      <c r="W89" s="110">
        <f t="shared" ca="1" si="43"/>
        <v>45187.900321954359</v>
      </c>
      <c r="X89" s="107">
        <f t="shared" ca="1" si="3"/>
        <v>2025454.9673668472</v>
      </c>
    </row>
    <row r="90" spans="1:24" ht="15" customHeight="1" x14ac:dyDescent="0.2">
      <c r="A90" s="75">
        <f>IF('Cash Flow Analysis'!C106="","",'Cash Flow Analysis'!C106)</f>
        <v>39</v>
      </c>
      <c r="B90" s="1069">
        <f ca="1">IF(A90="","",IF(A90&lt;1,0,IF(A90=1,$B$44-'Cash Flow Analysis'!I106,-'Cash Flow Analysis'!I106)))</f>
        <v>2063938.6117468174</v>
      </c>
      <c r="C90" s="108">
        <f t="shared" ref="C90:W90" ca="1" si="44">IF($B$90="","",IF(AND($B$42="Straight Line",C48&lt;=depr_length),$B$90/depr_length,IF(AND($B$42="MACRS",C48&lt;=depr_length+1),$B$90*INDEX(MACRS_Table,MATCH(C48,recovery_year,0),MATCH($B$43,recovery_period,0)),"")))</f>
        <v>77397.697940505648</v>
      </c>
      <c r="D90" s="109">
        <f t="shared" ca="1" si="44"/>
        <v>148995.72838200277</v>
      </c>
      <c r="E90" s="109">
        <f t="shared" ca="1" si="44"/>
        <v>137809.18110633499</v>
      </c>
      <c r="F90" s="109">
        <f t="shared" ca="1" si="44"/>
        <v>127489.4880476009</v>
      </c>
      <c r="G90" s="109">
        <f t="shared" ca="1" si="44"/>
        <v>117912.81288909567</v>
      </c>
      <c r="H90" s="109">
        <f t="shared" ca="1" si="44"/>
        <v>109079.1556308193</v>
      </c>
      <c r="I90" s="109">
        <f t="shared" ca="1" si="44"/>
        <v>100885.31934218443</v>
      </c>
      <c r="J90" s="109">
        <f t="shared" ca="1" si="44"/>
        <v>93331.304023191085</v>
      </c>
      <c r="K90" s="109">
        <f t="shared" ca="1" si="44"/>
        <v>92092.940856142988</v>
      </c>
      <c r="L90" s="109">
        <f t="shared" ca="1" si="44"/>
        <v>92072.301470025515</v>
      </c>
      <c r="M90" s="109">
        <f t="shared" ca="1" si="44"/>
        <v>92092.940856142988</v>
      </c>
      <c r="N90" s="109">
        <f t="shared" ca="1" si="44"/>
        <v>92072.301470025515</v>
      </c>
      <c r="O90" s="109">
        <f t="shared" ca="1" si="44"/>
        <v>92092.940856142988</v>
      </c>
      <c r="P90" s="109">
        <f t="shared" ca="1" si="44"/>
        <v>92072.301470025515</v>
      </c>
      <c r="Q90" s="109">
        <f t="shared" ca="1" si="44"/>
        <v>92092.940856142988</v>
      </c>
      <c r="R90" s="109">
        <f t="shared" ca="1" si="44"/>
        <v>92072.301470025515</v>
      </c>
      <c r="S90" s="109">
        <f t="shared" ca="1" si="44"/>
        <v>92092.940856142988</v>
      </c>
      <c r="T90" s="109">
        <f t="shared" ca="1" si="44"/>
        <v>92072.301470025515</v>
      </c>
      <c r="U90" s="109">
        <f t="shared" ca="1" si="44"/>
        <v>92092.940856142988</v>
      </c>
      <c r="V90" s="109">
        <f t="shared" ca="1" si="44"/>
        <v>92072.301470025515</v>
      </c>
      <c r="W90" s="110">
        <f t="shared" ca="1" si="44"/>
        <v>46046.470428071494</v>
      </c>
      <c r="X90" s="107">
        <f t="shared" ca="1" si="3"/>
        <v>2063938.6117468164</v>
      </c>
    </row>
    <row r="91" spans="1:24" ht="15" customHeight="1" x14ac:dyDescent="0.2">
      <c r="A91" s="75">
        <f>IF('Cash Flow Analysis'!C107="","",'Cash Flow Analysis'!C107)</f>
        <v>40</v>
      </c>
      <c r="B91" s="1069">
        <f ca="1">IF(A91="","",IF(A91&lt;1,0,IF(A91=1,$B$44-'Cash Flow Analysis'!I107,-'Cash Flow Analysis'!I107)))</f>
        <v>2103153.4453700068</v>
      </c>
      <c r="C91" s="108">
        <f t="shared" ref="C91:W91" ca="1" si="45">IF($B$91="","",IF(AND($B$42="Straight Line",C48&lt;=depr_length),$B$91/depr_length,IF(AND($B$42="MACRS",C48&lt;=depr_length+1),$B$91*INDEX(MACRS_Table,MATCH(C48,recovery_year,0),MATCH($B$43,recovery_period,0)),"")))</f>
        <v>78868.254201375254</v>
      </c>
      <c r="D91" s="109">
        <f t="shared" ca="1" si="45"/>
        <v>151826.64722126079</v>
      </c>
      <c r="E91" s="109">
        <f t="shared" ca="1" si="45"/>
        <v>140427.55554735535</v>
      </c>
      <c r="F91" s="109">
        <f t="shared" ca="1" si="45"/>
        <v>129911.78832050532</v>
      </c>
      <c r="G91" s="109">
        <f t="shared" ca="1" si="45"/>
        <v>120153.15633398849</v>
      </c>
      <c r="H91" s="109">
        <f t="shared" ca="1" si="45"/>
        <v>111151.65958780487</v>
      </c>
      <c r="I91" s="109">
        <f t="shared" ca="1" si="45"/>
        <v>102802.14040968593</v>
      </c>
      <c r="J91" s="109">
        <f t="shared" ca="1" si="45"/>
        <v>95104.598799631713</v>
      </c>
      <c r="K91" s="109">
        <f t="shared" ca="1" si="45"/>
        <v>93842.706732409701</v>
      </c>
      <c r="L91" s="109">
        <f t="shared" ca="1" si="45"/>
        <v>93821.675197955992</v>
      </c>
      <c r="M91" s="109">
        <f t="shared" ca="1" si="45"/>
        <v>93842.706732409701</v>
      </c>
      <c r="N91" s="109">
        <f t="shared" ca="1" si="45"/>
        <v>93821.675197955992</v>
      </c>
      <c r="O91" s="109">
        <f t="shared" ca="1" si="45"/>
        <v>93842.706732409701</v>
      </c>
      <c r="P91" s="109">
        <f t="shared" ca="1" si="45"/>
        <v>93821.675197955992</v>
      </c>
      <c r="Q91" s="109">
        <f t="shared" ca="1" si="45"/>
        <v>93842.706732409701</v>
      </c>
      <c r="R91" s="109">
        <f t="shared" ca="1" si="45"/>
        <v>93821.675197955992</v>
      </c>
      <c r="S91" s="109">
        <f t="shared" ca="1" si="45"/>
        <v>93842.706732409701</v>
      </c>
      <c r="T91" s="109">
        <f t="shared" ca="1" si="45"/>
        <v>93821.675197955992</v>
      </c>
      <c r="U91" s="109">
        <f t="shared" ca="1" si="45"/>
        <v>93842.706732409701</v>
      </c>
      <c r="V91" s="109">
        <f t="shared" ca="1" si="45"/>
        <v>93821.675197955992</v>
      </c>
      <c r="W91" s="110">
        <f t="shared" ca="1" si="45"/>
        <v>46921.35336620485</v>
      </c>
      <c r="X91" s="107">
        <f t="shared" ca="1" si="3"/>
        <v>2103153.4453700068</v>
      </c>
    </row>
    <row r="92" spans="1:24" ht="15" customHeight="1" thickBot="1" x14ac:dyDescent="0.25">
      <c r="A92" s="79" t="str">
        <f>IF('Cash Flow Analysis'!C108="","",'Cash Flow Analysis'!C108)</f>
        <v/>
      </c>
      <c r="B92" s="1069" t="str">
        <f>IF(A92="","",IF(A92&lt;1,0,IF(A92=1,$B$44-'Cash Flow Analysis'!I108,-'Cash Flow Analysis'!I108)))</f>
        <v/>
      </c>
      <c r="C92" s="111" t="str">
        <f t="shared" ref="C92:W92" si="46">IF($B$92="","",IF(AND($B$42="Straight Line",C48&lt;=depr_length),$B$92/depr_length,IF(AND($B$42="MACRS",C48&lt;=depr_length+1),$B$92*INDEX(MACRS_Table,MATCH(C48,recovery_year,0),MATCH($B$43,recovery_period,0)),"")))</f>
        <v/>
      </c>
      <c r="D92" s="112" t="str">
        <f t="shared" si="46"/>
        <v/>
      </c>
      <c r="E92" s="112" t="str">
        <f t="shared" si="46"/>
        <v/>
      </c>
      <c r="F92" s="112" t="str">
        <f t="shared" si="46"/>
        <v/>
      </c>
      <c r="G92" s="112" t="str">
        <f t="shared" si="46"/>
        <v/>
      </c>
      <c r="H92" s="112" t="str">
        <f t="shared" si="46"/>
        <v/>
      </c>
      <c r="I92" s="112" t="str">
        <f t="shared" si="46"/>
        <v/>
      </c>
      <c r="J92" s="112" t="str">
        <f t="shared" si="46"/>
        <v/>
      </c>
      <c r="K92" s="112" t="str">
        <f t="shared" si="46"/>
        <v/>
      </c>
      <c r="L92" s="112" t="str">
        <f t="shared" si="46"/>
        <v/>
      </c>
      <c r="M92" s="112" t="str">
        <f t="shared" si="46"/>
        <v/>
      </c>
      <c r="N92" s="112" t="str">
        <f t="shared" si="46"/>
        <v/>
      </c>
      <c r="O92" s="112" t="str">
        <f t="shared" si="46"/>
        <v/>
      </c>
      <c r="P92" s="112" t="str">
        <f t="shared" si="46"/>
        <v/>
      </c>
      <c r="Q92" s="112" t="str">
        <f t="shared" si="46"/>
        <v/>
      </c>
      <c r="R92" s="112" t="str">
        <f t="shared" si="46"/>
        <v/>
      </c>
      <c r="S92" s="112" t="str">
        <f t="shared" si="46"/>
        <v/>
      </c>
      <c r="T92" s="112" t="str">
        <f t="shared" si="46"/>
        <v/>
      </c>
      <c r="U92" s="112" t="str">
        <f t="shared" si="46"/>
        <v/>
      </c>
      <c r="V92" s="112" t="str">
        <f t="shared" si="46"/>
        <v/>
      </c>
      <c r="W92" s="97" t="str">
        <f t="shared" si="46"/>
        <v/>
      </c>
      <c r="X92" s="113">
        <f t="shared" si="3"/>
        <v>0</v>
      </c>
    </row>
    <row r="93" spans="1:24" s="39" customFormat="1" ht="15" customHeight="1" thickTop="1" x14ac:dyDescent="0.2">
      <c r="A93" s="45"/>
      <c r="B93" s="114"/>
      <c r="C93" s="114"/>
      <c r="D93" s="114"/>
      <c r="E93" s="114"/>
      <c r="F93" s="114"/>
      <c r="G93" s="114"/>
      <c r="H93" s="114"/>
      <c r="I93" s="114"/>
      <c r="J93" s="114"/>
      <c r="K93" s="114"/>
      <c r="L93" s="114"/>
      <c r="M93" s="114"/>
      <c r="N93" s="114"/>
      <c r="O93" s="114"/>
      <c r="P93" s="114"/>
      <c r="Q93" s="114"/>
      <c r="R93" s="114"/>
      <c r="S93" s="114"/>
      <c r="T93" s="114"/>
      <c r="U93" s="114"/>
      <c r="V93" s="114"/>
      <c r="W93" s="114"/>
      <c r="X93" s="114"/>
    </row>
    <row r="94" spans="1:24" ht="15" customHeight="1" thickBot="1" x14ac:dyDescent="0.25">
      <c r="B94" s="115"/>
      <c r="C94" s="115"/>
      <c r="D94" s="115"/>
      <c r="E94" s="115"/>
      <c r="F94" s="115"/>
      <c r="G94" s="115"/>
      <c r="H94" s="115"/>
      <c r="I94" s="115"/>
      <c r="J94" s="115"/>
      <c r="K94" s="115"/>
      <c r="L94" s="115"/>
      <c r="M94" s="115"/>
      <c r="N94" s="115"/>
      <c r="O94" s="115"/>
      <c r="P94" s="115"/>
      <c r="Q94" s="115"/>
      <c r="R94" s="115"/>
      <c r="S94" s="115"/>
      <c r="T94" s="115"/>
      <c r="U94" s="115"/>
      <c r="V94" s="115"/>
      <c r="W94" s="115"/>
      <c r="X94" s="115"/>
    </row>
    <row r="95" spans="1:24" ht="30.75" customHeight="1" thickTop="1" thickBot="1" x14ac:dyDescent="0.25">
      <c r="A95" s="98" t="s">
        <v>59</v>
      </c>
      <c r="B95" s="64"/>
      <c r="C95" s="65"/>
    </row>
    <row r="96" spans="1:24" ht="31.15" customHeight="1" thickTop="1" x14ac:dyDescent="0.2">
      <c r="A96" s="116" t="s">
        <v>56</v>
      </c>
      <c r="B96" s="117" t="s">
        <v>60</v>
      </c>
      <c r="C96" s="118" t="s">
        <v>61</v>
      </c>
    </row>
    <row r="97" spans="1:3" ht="15" customHeight="1" x14ac:dyDescent="0.2">
      <c r="A97" s="94">
        <f>IF('Cash Flow Analysis'!C65="","",'Cash Flow Analysis'!C65)</f>
        <v>-3</v>
      </c>
      <c r="B97" s="109">
        <f>C49</f>
        <v>0</v>
      </c>
      <c r="C97" s="119">
        <f t="shared" ref="C97:C140" si="47">IF(A97="",B97,0)</f>
        <v>0</v>
      </c>
    </row>
    <row r="98" spans="1:3" ht="15" customHeight="1" x14ac:dyDescent="0.2">
      <c r="A98" s="94">
        <f>IF('Cash Flow Analysis'!C66="","",'Cash Flow Analysis'!C66)</f>
        <v>-2</v>
      </c>
      <c r="B98" s="109">
        <f>SUM(D49,C50)</f>
        <v>0</v>
      </c>
      <c r="C98" s="119">
        <f t="shared" si="47"/>
        <v>0</v>
      </c>
    </row>
    <row r="99" spans="1:3" ht="15" customHeight="1" x14ac:dyDescent="0.2">
      <c r="A99" s="94">
        <f>IF('Cash Flow Analysis'!C67="","",'Cash Flow Analysis'!C67)</f>
        <v>-1</v>
      </c>
      <c r="B99" s="109">
        <f>SUM(E49,D50,C51)</f>
        <v>0</v>
      </c>
      <c r="C99" s="119">
        <f t="shared" si="47"/>
        <v>0</v>
      </c>
    </row>
    <row r="100" spans="1:3" ht="15" customHeight="1" x14ac:dyDescent="0.2">
      <c r="A100" s="94">
        <f>IF('Cash Flow Analysis'!C68="","",'Cash Flow Analysis'!C68)</f>
        <v>1</v>
      </c>
      <c r="B100" s="109">
        <f ca="1">SUM(F49,E50,D51,C52)</f>
        <v>7260727.1378571372</v>
      </c>
      <c r="C100" s="119">
        <f t="shared" si="47"/>
        <v>0</v>
      </c>
    </row>
    <row r="101" spans="1:3" ht="15" customHeight="1" x14ac:dyDescent="0.2">
      <c r="A101" s="94">
        <f>IF('Cash Flow Analysis'!C69="","",'Cash Flow Analysis'!C69)</f>
        <v>2</v>
      </c>
      <c r="B101" s="109">
        <f ca="1">SUM(G49,F50,E51,D52,C53)</f>
        <v>14015956.772689804</v>
      </c>
      <c r="C101" s="119">
        <f t="shared" si="47"/>
        <v>0</v>
      </c>
    </row>
    <row r="102" spans="1:3" ht="15" customHeight="1" x14ac:dyDescent="0.2">
      <c r="A102" s="94">
        <f>IF('Cash Flow Analysis'!C70="","",'Cash Flow Analysis'!C70)</f>
        <v>3</v>
      </c>
      <c r="B102" s="109">
        <f ca="1">SUM(H49,G50,F51,E52,D53,C54)</f>
        <v>13041528.129146706</v>
      </c>
      <c r="C102" s="119">
        <f t="shared" si="47"/>
        <v>0</v>
      </c>
    </row>
    <row r="103" spans="1:3" ht="15" customHeight="1" x14ac:dyDescent="0.2">
      <c r="A103" s="94">
        <f>IF('Cash Flow Analysis'!C71="","",'Cash Flow Analysis'!C71)</f>
        <v>4</v>
      </c>
      <c r="B103" s="109">
        <f ca="1">SUM(I49,H50,G51,F52,E53,D54,C55)</f>
        <v>12144269.328206941</v>
      </c>
      <c r="C103" s="119">
        <f t="shared" si="47"/>
        <v>0</v>
      </c>
    </row>
    <row r="104" spans="1:3" ht="15" customHeight="1" x14ac:dyDescent="0.2">
      <c r="A104" s="94">
        <f>IF('Cash Flow Analysis'!C72="","",'Cash Flow Analysis'!C72)</f>
        <v>5</v>
      </c>
      <c r="B104" s="109">
        <f ca="1">SUM(J49,I50,H51,G52,F53,E54,D55,C56)</f>
        <v>11312916.36814346</v>
      </c>
      <c r="C104" s="119">
        <f t="shared" si="47"/>
        <v>0</v>
      </c>
    </row>
    <row r="105" spans="1:3" ht="15" customHeight="1" x14ac:dyDescent="0.2">
      <c r="A105" s="94">
        <f>IF('Cash Flow Analysis'!C73="","",'Cash Flow Analysis'!C73)</f>
        <v>6</v>
      </c>
      <c r="B105" s="109">
        <f ca="1">SUM(K49,J50,I51,H52,G53,F54,E55,D56,C57)</f>
        <v>10547767.403947821</v>
      </c>
      <c r="C105" s="119">
        <f t="shared" si="47"/>
        <v>0</v>
      </c>
    </row>
    <row r="106" spans="1:3" ht="15" customHeight="1" x14ac:dyDescent="0.2">
      <c r="A106" s="94">
        <f>IF('Cash Flow Analysis'!C74="","",'Cash Flow Analysis'!C74)</f>
        <v>7</v>
      </c>
      <c r="B106" s="109">
        <f ca="1">SUM(L49,K50,J51,I52,H53,G54,F55,E56,D57,C58)</f>
        <v>9839445.286039276</v>
      </c>
      <c r="C106" s="119">
        <f t="shared" si="47"/>
        <v>0</v>
      </c>
    </row>
    <row r="107" spans="1:3" ht="15" customHeight="1" x14ac:dyDescent="0.2">
      <c r="A107" s="94">
        <f>IF('Cash Flow Analysis'!C75="","",'Cash Flow Analysis'!C75)</f>
        <v>8</v>
      </c>
      <c r="B107" s="109">
        <f ca="1">SUM(M49,L50,K51,J52,I53,H54,G55,F56,E57,D58,C59)</f>
        <v>9188208.1762878988</v>
      </c>
      <c r="C107" s="119">
        <f t="shared" si="47"/>
        <v>0</v>
      </c>
    </row>
    <row r="108" spans="1:3" ht="15" customHeight="1" x14ac:dyDescent="0.2">
      <c r="A108" s="94">
        <f>IF('Cash Flow Analysis'!C76="","",'Cash Flow Analysis'!C76)</f>
        <v>9</v>
      </c>
      <c r="B108" s="109">
        <f ca="1">SUM(N49,M50,L51,K52,J53,I54,H55,G56,F57,E58,D59,C60)</f>
        <v>9126772.4650821481</v>
      </c>
      <c r="C108" s="119">
        <f t="shared" si="47"/>
        <v>0</v>
      </c>
    </row>
    <row r="109" spans="1:3" ht="15" customHeight="1" x14ac:dyDescent="0.2">
      <c r="A109" s="94">
        <f>IF('Cash Flow Analysis'!C77="","",'Cash Flow Analysis'!C77)</f>
        <v>10</v>
      </c>
      <c r="B109" s="109">
        <f ca="1">SUM(O49,N50,M51,L52,K53,J54,I55,H56,G57,F58,E59,D60,C61)</f>
        <v>9179995.0089742634</v>
      </c>
      <c r="C109" s="119">
        <f t="shared" si="47"/>
        <v>0</v>
      </c>
    </row>
    <row r="110" spans="1:3" ht="15" customHeight="1" x14ac:dyDescent="0.2">
      <c r="A110" s="94">
        <f>IF('Cash Flow Analysis'!C78="","",'Cash Flow Analysis'!C78)</f>
        <v>11</v>
      </c>
      <c r="B110" s="109">
        <f ca="1">SUM(P49,O50,N51,M52,L53,K54,J55,I56,H57,G58,F59,E60,D61,C62)</f>
        <v>9238127.670562325</v>
      </c>
      <c r="C110" s="119">
        <f t="shared" si="47"/>
        <v>0</v>
      </c>
    </row>
    <row r="111" spans="1:3" ht="15" customHeight="1" x14ac:dyDescent="0.2">
      <c r="A111" s="94">
        <f>IF('Cash Flow Analysis'!C79="","",'Cash Flow Analysis'!C79)</f>
        <v>12</v>
      </c>
      <c r="B111" s="109">
        <f ca="1">SUM(Q49,P50,O51,N52,M53,L54,K55,J56,I57,H58,G59,F60,E61,D62,C63)</f>
        <v>9293465.9633585531</v>
      </c>
      <c r="C111" s="119">
        <f t="shared" si="47"/>
        <v>0</v>
      </c>
    </row>
    <row r="112" spans="1:3" ht="15" customHeight="1" x14ac:dyDescent="0.2">
      <c r="A112" s="94">
        <f>IF('Cash Flow Analysis'!C80="","",'Cash Flow Analysis'!C80)</f>
        <v>13</v>
      </c>
      <c r="B112" s="109">
        <f ca="1">SUM(R49,Q50,P51,O52,N53,M54,L55,K56,J57,I58,H59,G60,F61,E62,D63,C64)</f>
        <v>9353754.5730799157</v>
      </c>
      <c r="C112" s="119">
        <f t="shared" si="47"/>
        <v>0</v>
      </c>
    </row>
    <row r="113" spans="1:3" ht="15" customHeight="1" x14ac:dyDescent="0.2">
      <c r="A113" s="94">
        <f>IF('Cash Flow Analysis'!C81="","",'Cash Flow Analysis'!C81)</f>
        <v>14</v>
      </c>
      <c r="B113" s="109">
        <f ca="1">SUM(S49,R50,Q51,P52,O53,N54,M55,L56,K57,J58,I59,H60,G61,F62,E63,D64,C65)</f>
        <v>9411289.7770239878</v>
      </c>
      <c r="C113" s="119">
        <f t="shared" si="47"/>
        <v>0</v>
      </c>
    </row>
    <row r="114" spans="1:3" ht="15" customHeight="1" x14ac:dyDescent="0.2">
      <c r="A114" s="94">
        <f>IF('Cash Flow Analysis'!C82="","",'Cash Flow Analysis'!C82)</f>
        <v>15</v>
      </c>
      <c r="B114" s="109">
        <f ca="1">SUM(T49,S50,R51,Q52,P53,O54,N55,M56,L57,K58,J59,I60,H61,G62,F63,E64,D65,C66)</f>
        <v>9473817.0392049924</v>
      </c>
      <c r="C114" s="119">
        <f t="shared" si="47"/>
        <v>0</v>
      </c>
    </row>
    <row r="115" spans="1:3" ht="15" customHeight="1" x14ac:dyDescent="0.2">
      <c r="A115" s="94">
        <f>IF('Cash Flow Analysis'!C83="","",'Cash Flow Analysis'!C83)</f>
        <v>16</v>
      </c>
      <c r="B115" s="109">
        <f ca="1">SUM(U49,T50,S51,R52,Q53,P54,O55,N56,M57,L58,K59,J60,I61,H62,G63,F64,E65,D66,C67)</f>
        <v>9533633.4300054349</v>
      </c>
      <c r="C115" s="119">
        <f t="shared" si="47"/>
        <v>0</v>
      </c>
    </row>
    <row r="116" spans="1:3" ht="15" customHeight="1" x14ac:dyDescent="0.2">
      <c r="A116" s="94">
        <f>IF('Cash Flow Analysis'!C84="","",'Cash Flow Analysis'!C84)</f>
        <v>17</v>
      </c>
      <c r="B116" s="109">
        <f ca="1">SUM(V49,U50,T51,S52,R53,Q54,P55,O56,N57,M58,L59,K60,J61,I62,H63,G64,F65,E66,D67,C68)</f>
        <v>9598485.2215930894</v>
      </c>
      <c r="C116" s="119">
        <f t="shared" si="47"/>
        <v>0</v>
      </c>
    </row>
    <row r="117" spans="1:3" ht="15" customHeight="1" x14ac:dyDescent="0.2">
      <c r="A117" s="94">
        <f>IF('Cash Flow Analysis'!C85="","",'Cash Flow Analysis'!C85)</f>
        <v>18</v>
      </c>
      <c r="B117" s="109">
        <f t="shared" ref="B117:B140" ca="1" si="48">SUM(W49,V50,U51,T52,S53,R54,Q55,P56,O57,N58,M59,L60,K61,J62,I63,H64,G65,F66,E67,D68,C69)</f>
        <v>9660670.3078589085</v>
      </c>
      <c r="C117" s="119">
        <f t="shared" si="47"/>
        <v>0</v>
      </c>
    </row>
    <row r="118" spans="1:3" ht="15" customHeight="1" x14ac:dyDescent="0.2">
      <c r="A118" s="94">
        <f>IF('Cash Flow Analysis'!C86="","",'Cash Flow Analysis'!C86)</f>
        <v>19</v>
      </c>
      <c r="B118" s="109">
        <f t="shared" ca="1" si="48"/>
        <v>9727935.800125774</v>
      </c>
      <c r="C118" s="119">
        <f t="shared" si="47"/>
        <v>0</v>
      </c>
    </row>
    <row r="119" spans="1:3" ht="15" customHeight="1" x14ac:dyDescent="0.2">
      <c r="A119" s="94">
        <f>IF('Cash Flow Analysis'!C87="","",'Cash Flow Analysis'!C87)</f>
        <v>20</v>
      </c>
      <c r="B119" s="109">
        <f t="shared" ca="1" si="48"/>
        <v>9792580.4473837186</v>
      </c>
      <c r="C119" s="119">
        <f t="shared" si="47"/>
        <v>0</v>
      </c>
    </row>
    <row r="120" spans="1:3" ht="15" customHeight="1" x14ac:dyDescent="0.2">
      <c r="A120" s="94">
        <f>IF('Cash Flow Analysis'!C88="","",'Cash Flow Analysis'!C88)</f>
        <v>21</v>
      </c>
      <c r="B120" s="109">
        <f t="shared" ca="1" si="48"/>
        <v>5542703.6337524196</v>
      </c>
      <c r="C120" s="119">
        <f t="shared" si="47"/>
        <v>0</v>
      </c>
    </row>
    <row r="121" spans="1:3" ht="15" customHeight="1" x14ac:dyDescent="0.2">
      <c r="A121" s="94">
        <f>IF('Cash Flow Analysis'!C89="","",'Cash Flow Analysis'!C89)</f>
        <v>22</v>
      </c>
      <c r="B121" s="109">
        <f t="shared" ca="1" si="48"/>
        <v>1269241.4347240662</v>
      </c>
      <c r="C121" s="119">
        <f t="shared" si="47"/>
        <v>0</v>
      </c>
    </row>
    <row r="122" spans="1:3" ht="15" customHeight="1" x14ac:dyDescent="0.2">
      <c r="A122" s="94">
        <f>IF('Cash Flow Analysis'!C90="","",'Cash Flow Analysis'!C90)</f>
        <v>23</v>
      </c>
      <c r="B122" s="109">
        <f t="shared" ca="1" si="48"/>
        <v>1293357.0219838233</v>
      </c>
      <c r="C122" s="119">
        <f t="shared" si="47"/>
        <v>0</v>
      </c>
    </row>
    <row r="123" spans="1:3" ht="15" customHeight="1" x14ac:dyDescent="0.2">
      <c r="A123" s="94">
        <f>IF('Cash Flow Analysis'!C91="","",'Cash Flow Analysis'!C91)</f>
        <v>24</v>
      </c>
      <c r="B123" s="109">
        <f t="shared" ca="1" si="48"/>
        <v>1317930.8054015161</v>
      </c>
      <c r="C123" s="119">
        <f t="shared" si="47"/>
        <v>0</v>
      </c>
    </row>
    <row r="124" spans="1:3" ht="15" customHeight="1" x14ac:dyDescent="0.2">
      <c r="A124" s="94">
        <f>IF('Cash Flow Analysis'!C92="","",'Cash Flow Analysis'!C92)</f>
        <v>25</v>
      </c>
      <c r="B124" s="109">
        <f t="shared" ca="1" si="48"/>
        <v>1342971.4907041448</v>
      </c>
      <c r="C124" s="119">
        <f t="shared" si="47"/>
        <v>0</v>
      </c>
    </row>
    <row r="125" spans="1:3" ht="15" customHeight="1" x14ac:dyDescent="0.2">
      <c r="A125" s="94">
        <f>IF('Cash Flow Analysis'!C93="","",'Cash Flow Analysis'!C93)</f>
        <v>26</v>
      </c>
      <c r="B125" s="109">
        <f t="shared" ca="1" si="48"/>
        <v>1368487.9490275234</v>
      </c>
      <c r="C125" s="119">
        <f t="shared" si="47"/>
        <v>0</v>
      </c>
    </row>
    <row r="126" spans="1:3" ht="15" customHeight="1" x14ac:dyDescent="0.2">
      <c r="A126" s="94">
        <f>IF('Cash Flow Analysis'!C94="","",'Cash Flow Analysis'!C94)</f>
        <v>27</v>
      </c>
      <c r="B126" s="109">
        <f t="shared" ca="1" si="48"/>
        <v>1394489.2200590461</v>
      </c>
      <c r="C126" s="119">
        <f t="shared" si="47"/>
        <v>0</v>
      </c>
    </row>
    <row r="127" spans="1:3" ht="15" customHeight="1" x14ac:dyDescent="0.2">
      <c r="A127" s="94">
        <f>IF('Cash Flow Analysis'!C95="","",'Cash Flow Analysis'!C95)</f>
        <v>28</v>
      </c>
      <c r="B127" s="109">
        <f t="shared" ca="1" si="48"/>
        <v>1420984.5152401682</v>
      </c>
      <c r="C127" s="119">
        <f t="shared" si="47"/>
        <v>0</v>
      </c>
    </row>
    <row r="128" spans="1:3" ht="15" customHeight="1" x14ac:dyDescent="0.2">
      <c r="A128" s="94">
        <f>IF('Cash Flow Analysis'!C96="","",'Cash Flow Analysis'!C96)</f>
        <v>29</v>
      </c>
      <c r="B128" s="109">
        <f t="shared" ca="1" si="48"/>
        <v>1447983.221029731</v>
      </c>
      <c r="C128" s="119">
        <f t="shared" si="47"/>
        <v>0</v>
      </c>
    </row>
    <row r="129" spans="1:3" ht="15" customHeight="1" x14ac:dyDescent="0.2">
      <c r="A129" s="94">
        <f>IF('Cash Flow Analysis'!C97="","",'Cash Flow Analysis'!C97)</f>
        <v>30</v>
      </c>
      <c r="B129" s="109">
        <f t="shared" ca="1" si="48"/>
        <v>1475494.9022292958</v>
      </c>
      <c r="C129" s="119">
        <f t="shared" si="47"/>
        <v>0</v>
      </c>
    </row>
    <row r="130" spans="1:3" ht="15" customHeight="1" x14ac:dyDescent="0.2">
      <c r="A130" s="94">
        <f>IF('Cash Flow Analysis'!C98="","",'Cash Flow Analysis'!C98)</f>
        <v>31</v>
      </c>
      <c r="B130" s="109">
        <f t="shared" ca="1" si="48"/>
        <v>1503529.3053716526</v>
      </c>
      <c r="C130" s="119">
        <f t="shared" si="47"/>
        <v>0</v>
      </c>
    </row>
    <row r="131" spans="1:3" ht="15" customHeight="1" x14ac:dyDescent="0.2">
      <c r="A131" s="94">
        <f>IF('Cash Flow Analysis'!C99="","",'Cash Flow Analysis'!C99)</f>
        <v>32</v>
      </c>
      <c r="B131" s="109">
        <f t="shared" ca="1" si="48"/>
        <v>1532096.362173714</v>
      </c>
      <c r="C131" s="119">
        <f t="shared" si="47"/>
        <v>0</v>
      </c>
    </row>
    <row r="132" spans="1:3" ht="15" customHeight="1" x14ac:dyDescent="0.2">
      <c r="A132" s="94">
        <f>IF('Cash Flow Analysis'!C100="","",'Cash Flow Analysis'!C100)</f>
        <v>33</v>
      </c>
      <c r="B132" s="109">
        <f t="shared" ca="1" si="48"/>
        <v>1561206.1930550144</v>
      </c>
      <c r="C132" s="119">
        <f t="shared" si="47"/>
        <v>0</v>
      </c>
    </row>
    <row r="133" spans="1:3" ht="15" customHeight="1" x14ac:dyDescent="0.2">
      <c r="A133" s="94">
        <f>IF('Cash Flow Analysis'!C101="","",'Cash Flow Analysis'!C101)</f>
        <v>34</v>
      </c>
      <c r="B133" s="109">
        <f t="shared" ca="1" si="48"/>
        <v>1590869.1107230596</v>
      </c>
      <c r="C133" s="119">
        <f t="shared" si="47"/>
        <v>0</v>
      </c>
    </row>
    <row r="134" spans="1:3" ht="15" customHeight="1" x14ac:dyDescent="0.2">
      <c r="A134" s="94">
        <f>IF('Cash Flow Analysis'!C102="","",'Cash Flow Analysis'!C102)</f>
        <v>35</v>
      </c>
      <c r="B134" s="109">
        <f t="shared" ca="1" si="48"/>
        <v>1621095.6238267976</v>
      </c>
      <c r="C134" s="119">
        <f t="shared" si="47"/>
        <v>0</v>
      </c>
    </row>
    <row r="135" spans="1:3" ht="15" customHeight="1" x14ac:dyDescent="0.2">
      <c r="A135" s="94">
        <f>IF('Cash Flow Analysis'!C103="","",'Cash Flow Analysis'!C103)</f>
        <v>36</v>
      </c>
      <c r="B135" s="109">
        <f t="shared" ca="1" si="48"/>
        <v>1651896.4406795066</v>
      </c>
      <c r="C135" s="119">
        <f t="shared" si="47"/>
        <v>0</v>
      </c>
    </row>
    <row r="136" spans="1:3" ht="15" customHeight="1" x14ac:dyDescent="0.2">
      <c r="A136" s="94">
        <f>IF('Cash Flow Analysis'!C104="","",'Cash Flow Analysis'!C104)</f>
        <v>37</v>
      </c>
      <c r="B136" s="109">
        <f t="shared" ca="1" si="48"/>
        <v>1683282.4730524176</v>
      </c>
      <c r="C136" s="119">
        <f t="shared" si="47"/>
        <v>0</v>
      </c>
    </row>
    <row r="137" spans="1:3" ht="15" customHeight="1" x14ac:dyDescent="0.2">
      <c r="A137" s="94">
        <f>IF('Cash Flow Analysis'!C105="","",'Cash Flow Analysis'!C105)</f>
        <v>38</v>
      </c>
      <c r="B137" s="109">
        <f t="shared" ca="1" si="48"/>
        <v>1715264.8400404134</v>
      </c>
      <c r="C137" s="119">
        <f t="shared" si="47"/>
        <v>0</v>
      </c>
    </row>
    <row r="138" spans="1:3" ht="15" customHeight="1" x14ac:dyDescent="0.2">
      <c r="A138" s="94">
        <f>IF('Cash Flow Analysis'!C106="","",'Cash Flow Analysis'!C106)</f>
        <v>39</v>
      </c>
      <c r="B138" s="109">
        <f t="shared" ca="1" si="48"/>
        <v>1747854.8720011807</v>
      </c>
      <c r="C138" s="119">
        <f t="shared" si="47"/>
        <v>0</v>
      </c>
    </row>
    <row r="139" spans="1:3" ht="15" customHeight="1" x14ac:dyDescent="0.2">
      <c r="A139" s="94">
        <f>IF('Cash Flow Analysis'!C107="","",'Cash Flow Analysis'!C107)</f>
        <v>40</v>
      </c>
      <c r="B139" s="109">
        <f t="shared" ca="1" si="48"/>
        <v>1781064.1145692035</v>
      </c>
      <c r="C139" s="119">
        <f t="shared" si="47"/>
        <v>0</v>
      </c>
    </row>
    <row r="140" spans="1:3" ht="15" customHeight="1" thickBot="1" x14ac:dyDescent="0.25">
      <c r="A140" s="120" t="str">
        <f>IF('Cash Flow Analysis'!C108="","",'Cash Flow Analysis'!C108)</f>
        <v/>
      </c>
      <c r="B140" s="121">
        <f t="shared" ca="1" si="48"/>
        <v>1734537.5817148166</v>
      </c>
      <c r="C140" s="122">
        <f t="shared" ca="1" si="47"/>
        <v>1734537.5817148166</v>
      </c>
    </row>
    <row r="141" spans="1:3" ht="15" customHeight="1" thickTop="1" thickBot="1" x14ac:dyDescent="0.25">
      <c r="A141" s="123" t="s">
        <v>62</v>
      </c>
      <c r="B141" s="124">
        <f ca="1">SUM(B97:B140)</f>
        <v>236737687.41793165</v>
      </c>
      <c r="C141" s="125">
        <f ca="1">SUM(C97:C140)</f>
        <v>1734537.5817148166</v>
      </c>
    </row>
    <row r="142" spans="1:3" ht="15" customHeight="1" thickTop="1" x14ac:dyDescent="0.2">
      <c r="A142" s="126"/>
      <c r="B142" s="127"/>
      <c r="C142" s="128"/>
    </row>
    <row r="143" spans="1:3" ht="15" customHeight="1" thickBot="1" x14ac:dyDescent="0.25">
      <c r="A143" s="38" t="str">
        <f>IF('Cash Flow Analysis'!C109="","",'Cash Flow Analysis'!C109)</f>
        <v/>
      </c>
      <c r="B143" s="115"/>
    </row>
    <row r="144" spans="1:3" ht="31.5" customHeight="1" thickTop="1" x14ac:dyDescent="0.2">
      <c r="A144" s="1678" t="s">
        <v>63</v>
      </c>
      <c r="B144" s="1679"/>
    </row>
    <row r="145" spans="1:2" ht="16.5" customHeight="1" thickBot="1" x14ac:dyDescent="0.25">
      <c r="A145" s="129" t="s">
        <v>64</v>
      </c>
      <c r="B145" s="130" t="s">
        <v>60</v>
      </c>
    </row>
    <row r="146" spans="1:2" ht="15" customHeight="1" thickTop="1" x14ac:dyDescent="0.2">
      <c r="A146" s="131">
        <v>1</v>
      </c>
      <c r="B146" s="105">
        <f ca="1">SUM(D92,E91,F90,G89,H88,I87,J86,K85,L84,M83,N82,O81,P80,Q79,R78,S77,T76,U75,V74,W73)</f>
        <v>1612782.4422489335</v>
      </c>
    </row>
    <row r="147" spans="1:2" ht="15" customHeight="1" x14ac:dyDescent="0.2">
      <c r="A147" s="94">
        <v>2</v>
      </c>
      <c r="B147" s="110">
        <f ca="1">SUM(E92,F91,G90,H89,I88,J87,K86,L85,M84,N83,O82,P81,Q80,R79,S78,T77,U76,V75,W74)</f>
        <v>1500329.629548908</v>
      </c>
    </row>
    <row r="148" spans="1:2" ht="15" customHeight="1" x14ac:dyDescent="0.2">
      <c r="A148" s="94">
        <v>3</v>
      </c>
      <c r="B148" s="110">
        <f ca="1">SUM(F92,G91,H90,I89,J88,K87,L86,M85,N84,O83,P82,Q81,R80,S79,T78,U77,V76,W75)</f>
        <v>1396455.7802117423</v>
      </c>
    </row>
    <row r="149" spans="1:2" ht="15" customHeight="1" x14ac:dyDescent="0.2">
      <c r="A149" s="94">
        <v>4</v>
      </c>
      <c r="B149" s="110">
        <f ca="1">SUM(G92,H91,I90,J89,K88,L87,M86,N85,O84,P83,Q82,R81,S80,T79,U78,V77,W76)</f>
        <v>1300552.3737314311</v>
      </c>
    </row>
    <row r="150" spans="1:2" ht="15" customHeight="1" x14ac:dyDescent="0.2">
      <c r="A150" s="94">
        <v>5</v>
      </c>
      <c r="B150" s="110">
        <f ca="1">SUM(H92,I91,J90,K89,L88,M87,N86,O85,P84,Q83,R82,S81,T80,U79,V78,W77)</f>
        <v>1211999.3277123552</v>
      </c>
    </row>
    <row r="151" spans="1:2" ht="15" customHeight="1" x14ac:dyDescent="0.2">
      <c r="A151" s="94">
        <v>6</v>
      </c>
      <c r="B151" s="110">
        <f ca="1">SUM(I92,J91,K90,L89,M88,N87,O86,P85,Q84,R83,S82,T81,U80,V79,W78)</f>
        <v>1130271.9338614198</v>
      </c>
    </row>
    <row r="152" spans="1:2" ht="15" customHeight="1" x14ac:dyDescent="0.2">
      <c r="A152" s="94">
        <v>7</v>
      </c>
      <c r="B152" s="110">
        <f ca="1">SUM(J92,K91,L90,M89,N88,O87,P86,Q85,R84,S83,T82,U81,V80,W79)</f>
        <v>1054835.514427962</v>
      </c>
    </row>
    <row r="153" spans="1:2" ht="15" customHeight="1" x14ac:dyDescent="0.2">
      <c r="A153" s="94">
        <v>8</v>
      </c>
      <c r="B153" s="110">
        <f ca="1">SUM(K92,L91,M90,N89,O88,P87,Q86,R85,S84,T83,U82,V81,W80)</f>
        <v>979251.67104176793</v>
      </c>
    </row>
    <row r="154" spans="1:2" ht="15" customHeight="1" x14ac:dyDescent="0.2">
      <c r="A154" s="94">
        <v>9</v>
      </c>
      <c r="B154" s="110">
        <f ca="1">SUM(L92,M91,N90,O89,P88,Q87,R86,S85,T84,U83,V82,W81)</f>
        <v>902253.16576484416</v>
      </c>
    </row>
    <row r="155" spans="1:2" ht="15" customHeight="1" x14ac:dyDescent="0.2">
      <c r="A155" s="94">
        <v>10</v>
      </c>
      <c r="B155" s="110">
        <f ca="1">SUM(M92,N91,O90,P89,Q88,R87,S86,T85,U84,V83,W82)</f>
        <v>823770.25775405089</v>
      </c>
    </row>
    <row r="156" spans="1:2" ht="15" customHeight="1" x14ac:dyDescent="0.2">
      <c r="A156" s="94">
        <v>11</v>
      </c>
      <c r="B156" s="110">
        <f ca="1">SUM(N92,O91,P90,Q89,R88,S87,T86,U85,V84,W83)</f>
        <v>743817.6056246605</v>
      </c>
    </row>
    <row r="157" spans="1:2" ht="15" customHeight="1" x14ac:dyDescent="0.2">
      <c r="A157" s="94">
        <v>12</v>
      </c>
      <c r="B157" s="110">
        <f ca="1">SUM(O92,P91,Q90,R89,S88,T87,U86,V85,W84)</f>
        <v>662324.42197120364</v>
      </c>
    </row>
    <row r="158" spans="1:2" ht="15" customHeight="1" x14ac:dyDescent="0.2">
      <c r="A158" s="94">
        <v>13</v>
      </c>
      <c r="B158" s="110">
        <f ca="1">SUM(P92,Q91,R90,S89,T88,U87,V86,W85)</f>
        <v>579304.29896193929</v>
      </c>
    </row>
    <row r="159" spans="1:2" ht="15" customHeight="1" x14ac:dyDescent="0.2">
      <c r="A159" s="94">
        <v>14</v>
      </c>
      <c r="B159" s="110">
        <f ca="1">SUM(Q92,R91,S90,T89,U88,V87,W86)</f>
        <v>494685.3624818906</v>
      </c>
    </row>
    <row r="160" spans="1:2" ht="15" customHeight="1" x14ac:dyDescent="0.2">
      <c r="A160" s="94">
        <v>15</v>
      </c>
      <c r="B160" s="110">
        <f ca="1">SUM(R92,S91,T90,U89,V88,W87)</f>
        <v>408480.09734232933</v>
      </c>
    </row>
    <row r="161" spans="1:2" ht="15" customHeight="1" x14ac:dyDescent="0.2">
      <c r="A161" s="94">
        <v>16</v>
      </c>
      <c r="B161" s="110">
        <f ca="1">SUM(S92,T91,U90,V89,W88)</f>
        <v>320615.50103150809</v>
      </c>
    </row>
    <row r="162" spans="1:2" ht="15" customHeight="1" x14ac:dyDescent="0.2">
      <c r="A162" s="94">
        <v>17</v>
      </c>
      <c r="B162" s="110">
        <f ca="1">SUM(T92,U91,V90,W89)</f>
        <v>231102.90852438958</v>
      </c>
    </row>
    <row r="163" spans="1:2" ht="15" customHeight="1" x14ac:dyDescent="0.2">
      <c r="A163" s="94">
        <v>18</v>
      </c>
      <c r="B163" s="110">
        <f ca="1">SUM(U92,V91,W90)</f>
        <v>139868.14562602749</v>
      </c>
    </row>
    <row r="164" spans="1:2" ht="15" customHeight="1" x14ac:dyDescent="0.2">
      <c r="A164" s="94">
        <v>19</v>
      </c>
      <c r="B164" s="110">
        <f ca="1">SUM(V92,W91)</f>
        <v>46921.35336620485</v>
      </c>
    </row>
    <row r="165" spans="1:2" ht="15" customHeight="1" thickBot="1" x14ac:dyDescent="0.25">
      <c r="A165" s="96">
        <v>20</v>
      </c>
      <c r="B165" s="97">
        <f>SUM(W92)</f>
        <v>0</v>
      </c>
    </row>
    <row r="166" spans="1:2" ht="14.25" thickTop="1" thickBot="1" x14ac:dyDescent="0.25">
      <c r="A166" s="123" t="s">
        <v>62</v>
      </c>
      <c r="B166" s="132">
        <f ca="1">SUM(B146:B165)</f>
        <v>15539621.791233568</v>
      </c>
    </row>
    <row r="167" spans="1:2" ht="13.5" thickTop="1" x14ac:dyDescent="0.2"/>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75" x14ac:dyDescent="0.2"/>
  <cols>
    <col min="1" max="1" width="33" customWidth="1"/>
    <col min="2" max="2" width="10" customWidth="1"/>
    <col min="3" max="3" width="14" customWidth="1"/>
    <col min="4" max="4" width="11.140625" customWidth="1"/>
    <col min="5" max="5" width="60.85546875" customWidth="1"/>
    <col min="7" max="8" width="14" customWidth="1"/>
    <col min="11" max="11" width="14.140625" customWidth="1"/>
    <col min="12" max="12" width="18.28515625" customWidth="1"/>
    <col min="15" max="15" width="12.42578125" bestFit="1" customWidth="1"/>
    <col min="16" max="16" width="14.28515625" customWidth="1"/>
  </cols>
  <sheetData>
    <row r="1" spans="1:5" s="2" customFormat="1" ht="15" x14ac:dyDescent="0.25">
      <c r="A1" s="2" t="s">
        <v>284</v>
      </c>
      <c r="B1" s="2" t="s">
        <v>285</v>
      </c>
      <c r="C1" s="2" t="s">
        <v>286</v>
      </c>
    </row>
    <row r="2" spans="1:5" ht="15" x14ac:dyDescent="0.25">
      <c r="A2" s="2" t="s">
        <v>287</v>
      </c>
    </row>
    <row r="3" spans="1:5" x14ac:dyDescent="0.2">
      <c r="A3" t="s">
        <v>288</v>
      </c>
      <c r="B3" t="s">
        <v>289</v>
      </c>
      <c r="C3">
        <v>1.6093</v>
      </c>
      <c r="D3" t="s">
        <v>642</v>
      </c>
    </row>
    <row r="4" spans="1:5" x14ac:dyDescent="0.2">
      <c r="A4" t="s">
        <v>290</v>
      </c>
      <c r="B4" t="s">
        <v>291</v>
      </c>
      <c r="C4">
        <v>3.7850000000000001</v>
      </c>
      <c r="D4" t="s">
        <v>643</v>
      </c>
    </row>
    <row r="5" spans="1:5" x14ac:dyDescent="0.2">
      <c r="A5" t="s">
        <v>292</v>
      </c>
      <c r="B5" t="s">
        <v>293</v>
      </c>
      <c r="C5">
        <v>1.8263969224024776E-2</v>
      </c>
      <c r="D5" t="s">
        <v>644</v>
      </c>
    </row>
    <row r="6" spans="1:5" x14ac:dyDescent="0.2">
      <c r="A6" t="s">
        <v>851</v>
      </c>
      <c r="B6" t="s">
        <v>1009</v>
      </c>
      <c r="C6">
        <v>2.6852999999999998E-2</v>
      </c>
      <c r="D6" t="s">
        <v>645</v>
      </c>
      <c r="E6" t="s">
        <v>709</v>
      </c>
    </row>
    <row r="7" spans="1:5" x14ac:dyDescent="0.2">
      <c r="A7" t="s">
        <v>859</v>
      </c>
      <c r="B7" t="s">
        <v>268</v>
      </c>
      <c r="C7">
        <f>1/2.205</f>
        <v>0.45351473922902491</v>
      </c>
      <c r="D7" t="s">
        <v>646</v>
      </c>
    </row>
    <row r="8" spans="1:5" x14ac:dyDescent="0.2">
      <c r="A8" t="s">
        <v>916</v>
      </c>
      <c r="B8" t="s">
        <v>1009</v>
      </c>
      <c r="C8">
        <v>2.8316999999999998E-2</v>
      </c>
      <c r="D8" t="s">
        <v>647</v>
      </c>
      <c r="E8" t="s">
        <v>710</v>
      </c>
    </row>
    <row r="9" spans="1:5" x14ac:dyDescent="0.2">
      <c r="A9" t="s">
        <v>377</v>
      </c>
      <c r="B9" t="s">
        <v>415</v>
      </c>
      <c r="C9">
        <v>145.03800000000001</v>
      </c>
      <c r="D9" t="s">
        <v>551</v>
      </c>
    </row>
    <row r="11" spans="1:5" ht="15" x14ac:dyDescent="0.25">
      <c r="A11" s="2" t="s">
        <v>294</v>
      </c>
    </row>
    <row r="12" spans="1:5" x14ac:dyDescent="0.2">
      <c r="A12" t="s">
        <v>295</v>
      </c>
      <c r="B12" t="s">
        <v>296</v>
      </c>
      <c r="C12">
        <v>0.27777777777777779</v>
      </c>
    </row>
    <row r="13" spans="1:5" x14ac:dyDescent="0.2">
      <c r="A13" t="s">
        <v>297</v>
      </c>
      <c r="B13" t="s">
        <v>296</v>
      </c>
      <c r="C13">
        <v>34.022625288888882</v>
      </c>
    </row>
    <row r="14" spans="1:5" x14ac:dyDescent="0.2">
      <c r="A14" t="s">
        <v>298</v>
      </c>
      <c r="B14" t="s">
        <v>299</v>
      </c>
      <c r="C14">
        <v>0.97933196399532141</v>
      </c>
    </row>
    <row r="15" spans="1:5" x14ac:dyDescent="0.2">
      <c r="A15" t="s">
        <v>298</v>
      </c>
      <c r="B15" t="s">
        <v>296</v>
      </c>
      <c r="C15">
        <f>kgH2_to_GJ*MJ_to_kWh*1000</f>
        <v>33.392121748655818</v>
      </c>
    </row>
    <row r="16" spans="1:5" x14ac:dyDescent="0.2">
      <c r="A16" t="s">
        <v>298</v>
      </c>
      <c r="B16" t="s">
        <v>1075</v>
      </c>
      <c r="C16">
        <f>H2_LHV_MJ_p_kg/1000</f>
        <v>0.12021163829516093</v>
      </c>
    </row>
    <row r="17" spans="1:3" x14ac:dyDescent="0.2">
      <c r="A17" t="s">
        <v>300</v>
      </c>
      <c r="B17" t="s">
        <v>296</v>
      </c>
      <c r="C17">
        <v>2.9308323563892143E-4</v>
      </c>
    </row>
    <row r="18" spans="1:3" x14ac:dyDescent="0.2">
      <c r="A18" t="s">
        <v>1074</v>
      </c>
      <c r="B18" t="s">
        <v>1075</v>
      </c>
      <c r="C18">
        <v>1.0549999999999999</v>
      </c>
    </row>
    <row r="21" spans="1:3" ht="15" x14ac:dyDescent="0.25">
      <c r="A21" s="2" t="s">
        <v>537</v>
      </c>
      <c r="C21" s="463" t="s">
        <v>841</v>
      </c>
    </row>
    <row r="22" spans="1:3" x14ac:dyDescent="0.2">
      <c r="A22" t="s">
        <v>403</v>
      </c>
      <c r="B22">
        <v>1</v>
      </c>
    </row>
    <row r="23" spans="1:3" x14ac:dyDescent="0.2">
      <c r="A23" t="s">
        <v>404</v>
      </c>
      <c r="B23">
        <v>25</v>
      </c>
    </row>
    <row r="24" spans="1:3" x14ac:dyDescent="0.2">
      <c r="A24" t="s">
        <v>405</v>
      </c>
      <c r="B24">
        <v>298</v>
      </c>
    </row>
    <row r="27" spans="1:3" ht="15" x14ac:dyDescent="0.25">
      <c r="A27" s="2" t="s">
        <v>704</v>
      </c>
    </row>
    <row r="28" spans="1:3" x14ac:dyDescent="0.2">
      <c r="A28" t="s">
        <v>705</v>
      </c>
      <c r="B28" t="s">
        <v>706</v>
      </c>
    </row>
    <row r="29" spans="1:3" x14ac:dyDescent="0.2">
      <c r="A29" t="s">
        <v>865</v>
      </c>
      <c r="B29">
        <f>mmBTU_to_GJ</f>
        <v>1.0549999999999999</v>
      </c>
    </row>
    <row r="30" spans="1:3" x14ac:dyDescent="0.2">
      <c r="A30" t="s">
        <v>296</v>
      </c>
      <c r="B30">
        <f>1/MJ_to_kWh/1000</f>
        <v>3.5999999999999995E-3</v>
      </c>
    </row>
    <row r="31" spans="1:3" x14ac:dyDescent="0.2">
      <c r="A31" t="s">
        <v>1075</v>
      </c>
      <c r="B31">
        <v>1</v>
      </c>
    </row>
  </sheetData>
  <phoneticPr fontId="2"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zoomScaleNormal="100" workbookViewId="0"/>
  </sheetViews>
  <sheetFormatPr defaultRowHeight="12.75" x14ac:dyDescent="0.2"/>
  <cols>
    <col min="1" max="1" width="17" customWidth="1"/>
    <col min="3" max="3" width="13.7109375" customWidth="1"/>
    <col min="5" max="5" width="16" customWidth="1"/>
    <col min="7" max="7" width="56.42578125" customWidth="1"/>
    <col min="8" max="8" width="18.85546875" customWidth="1"/>
    <col min="10" max="10" width="22.28515625" customWidth="1"/>
    <col min="11" max="11" width="33.85546875" customWidth="1"/>
    <col min="13" max="13" width="21" customWidth="1"/>
    <col min="15" max="15" width="20.7109375" customWidth="1"/>
    <col min="16" max="16" width="17.140625" customWidth="1"/>
    <col min="17" max="17" width="16.140625" customWidth="1"/>
    <col min="18" max="18" width="21" customWidth="1"/>
    <col min="20" max="20" width="14.5703125" customWidth="1"/>
    <col min="22" max="22" width="18.5703125" customWidth="1"/>
    <col min="25" max="25" width="22.5703125" customWidth="1"/>
    <col min="26" max="26" width="15.140625" customWidth="1"/>
    <col min="27" max="27" width="12.5703125" bestFit="1" customWidth="1"/>
    <col min="28" max="28" width="18.7109375" customWidth="1"/>
    <col min="29" max="29" width="18.5703125" customWidth="1"/>
  </cols>
  <sheetData>
    <row r="1" spans="1:29" x14ac:dyDescent="0.2">
      <c r="A1" s="1" t="s">
        <v>1092</v>
      </c>
    </row>
    <row r="2" spans="1:29" x14ac:dyDescent="0.2">
      <c r="J2" s="1" t="s">
        <v>814</v>
      </c>
    </row>
    <row r="3" spans="1:29" x14ac:dyDescent="0.2">
      <c r="A3" s="1" t="s">
        <v>1006</v>
      </c>
      <c r="C3" s="1" t="s">
        <v>22</v>
      </c>
      <c r="E3" s="1" t="s">
        <v>166</v>
      </c>
      <c r="G3" s="1" t="s">
        <v>11</v>
      </c>
      <c r="J3" s="958" t="s">
        <v>1118</v>
      </c>
      <c r="M3" s="1" t="s">
        <v>75</v>
      </c>
      <c r="O3" s="1" t="s">
        <v>439</v>
      </c>
      <c r="Q3" s="305" t="s">
        <v>1404</v>
      </c>
      <c r="R3" s="1" t="s">
        <v>666</v>
      </c>
      <c r="T3" s="1" t="s">
        <v>434</v>
      </c>
      <c r="V3" s="1" t="s">
        <v>436</v>
      </c>
      <c r="Y3" s="1" t="s">
        <v>346</v>
      </c>
      <c r="AA3" s="305" t="s">
        <v>1404</v>
      </c>
      <c r="AB3" s="1" t="s">
        <v>1067</v>
      </c>
    </row>
    <row r="4" spans="1:29" x14ac:dyDescent="0.2">
      <c r="A4" t="s">
        <v>1007</v>
      </c>
      <c r="C4" t="s">
        <v>23</v>
      </c>
      <c r="E4" s="1">
        <v>100000</v>
      </c>
      <c r="G4" t="s">
        <v>324</v>
      </c>
      <c r="H4" t="s">
        <v>8</v>
      </c>
      <c r="J4" s="958" t="s">
        <v>1106</v>
      </c>
      <c r="M4" t="s">
        <v>1043</v>
      </c>
      <c r="O4" t="str">
        <f>M7</f>
        <v>ref_year</v>
      </c>
      <c r="P4">
        <v>2016</v>
      </c>
      <c r="Q4" t="b">
        <v>1</v>
      </c>
      <c r="R4" s="463" t="s">
        <v>1043</v>
      </c>
      <c r="T4">
        <v>1</v>
      </c>
      <c r="U4" t="s">
        <v>435</v>
      </c>
      <c r="V4" t="s">
        <v>417</v>
      </c>
      <c r="W4">
        <v>1.1000000000000001</v>
      </c>
      <c r="Y4" t="s">
        <v>339</v>
      </c>
      <c r="Z4">
        <v>0.9</v>
      </c>
      <c r="AA4" t="b">
        <v>0</v>
      </c>
      <c r="AB4" t="s">
        <v>27</v>
      </c>
      <c r="AC4" s="463" t="s">
        <v>825</v>
      </c>
    </row>
    <row r="5" spans="1:29" x14ac:dyDescent="0.2">
      <c r="A5" t="s">
        <v>1008</v>
      </c>
      <c r="C5" t="s">
        <v>282</v>
      </c>
      <c r="G5" t="s">
        <v>335</v>
      </c>
      <c r="H5" t="s">
        <v>26</v>
      </c>
      <c r="J5" s="958" t="s">
        <v>1107</v>
      </c>
      <c r="M5" t="s">
        <v>8</v>
      </c>
      <c r="O5" t="str">
        <f>M18</f>
        <v>depr_type</v>
      </c>
      <c r="P5" t="s">
        <v>438</v>
      </c>
      <c r="Q5" t="b">
        <v>1</v>
      </c>
      <c r="R5" s="463" t="s">
        <v>937</v>
      </c>
      <c r="T5">
        <v>1.2</v>
      </c>
      <c r="U5" t="s">
        <v>424</v>
      </c>
      <c r="V5" t="s">
        <v>418</v>
      </c>
      <c r="W5">
        <v>1</v>
      </c>
      <c r="Y5" t="s">
        <v>340</v>
      </c>
      <c r="Z5">
        <v>0.04</v>
      </c>
      <c r="AA5" t="b">
        <v>1</v>
      </c>
      <c r="AB5" t="s">
        <v>179</v>
      </c>
      <c r="AC5" s="463" t="s">
        <v>825</v>
      </c>
    </row>
    <row r="6" spans="1:29" x14ac:dyDescent="0.2">
      <c r="G6" t="s">
        <v>373</v>
      </c>
      <c r="H6" t="s">
        <v>182</v>
      </c>
      <c r="J6" s="958" t="s">
        <v>1108</v>
      </c>
      <c r="M6" t="s">
        <v>26</v>
      </c>
      <c r="O6" t="str">
        <f>M19</f>
        <v>equity</v>
      </c>
      <c r="P6" s="1477">
        <v>0.4</v>
      </c>
      <c r="Q6" t="b">
        <v>1</v>
      </c>
      <c r="R6" s="463" t="s">
        <v>938</v>
      </c>
      <c r="V6" t="s">
        <v>419</v>
      </c>
      <c r="W6">
        <v>1.05</v>
      </c>
      <c r="Y6" t="s">
        <v>550</v>
      </c>
      <c r="Z6">
        <v>14.7</v>
      </c>
      <c r="AA6" t="b">
        <v>1</v>
      </c>
      <c r="AB6" t="s">
        <v>171</v>
      </c>
      <c r="AC6" s="463" t="s">
        <v>825</v>
      </c>
    </row>
    <row r="7" spans="1:29" x14ac:dyDescent="0.2">
      <c r="A7" s="1" t="s">
        <v>270</v>
      </c>
      <c r="C7" s="1" t="s">
        <v>1058</v>
      </c>
      <c r="G7" t="s">
        <v>374</v>
      </c>
      <c r="H7" t="s">
        <v>10</v>
      </c>
      <c r="J7" s="1383" t="s">
        <v>1291</v>
      </c>
      <c r="M7" t="s">
        <v>1026</v>
      </c>
      <c r="O7" t="str">
        <f t="shared" ref="O7:O13" si="0">M25</f>
        <v>decom_percent</v>
      </c>
      <c r="P7">
        <v>0.1</v>
      </c>
      <c r="Q7" t="b">
        <v>1</v>
      </c>
      <c r="R7" s="463" t="s">
        <v>939</v>
      </c>
      <c r="V7" t="s">
        <v>420</v>
      </c>
      <c r="W7">
        <v>1.1000000000000001</v>
      </c>
      <c r="Y7" t="s">
        <v>963</v>
      </c>
      <c r="Z7">
        <v>0</v>
      </c>
      <c r="AA7" t="b">
        <v>1</v>
      </c>
      <c r="AB7" t="s">
        <v>173</v>
      </c>
      <c r="AC7" s="463" t="s">
        <v>825</v>
      </c>
    </row>
    <row r="8" spans="1:29" x14ac:dyDescent="0.2">
      <c r="A8" t="s">
        <v>248</v>
      </c>
      <c r="C8" t="s">
        <v>1053</v>
      </c>
      <c r="G8" t="s">
        <v>378</v>
      </c>
      <c r="H8" t="s">
        <v>181</v>
      </c>
      <c r="M8" t="s">
        <v>182</v>
      </c>
      <c r="O8" t="str">
        <f t="shared" si="0"/>
        <v>salvage_perct</v>
      </c>
      <c r="P8">
        <v>0.1</v>
      </c>
      <c r="Q8" t="b">
        <v>1</v>
      </c>
      <c r="R8" s="463" t="s">
        <v>940</v>
      </c>
      <c r="V8" t="s">
        <v>422</v>
      </c>
      <c r="W8">
        <v>1.1000000000000001</v>
      </c>
      <c r="Y8" s="305" t="s">
        <v>1271</v>
      </c>
      <c r="Z8" s="305">
        <v>1</v>
      </c>
      <c r="AA8" t="b">
        <v>1</v>
      </c>
      <c r="AB8" t="s">
        <v>29</v>
      </c>
      <c r="AC8" s="463" t="s">
        <v>825</v>
      </c>
    </row>
    <row r="9" spans="1:29" x14ac:dyDescent="0.2">
      <c r="A9" t="s">
        <v>271</v>
      </c>
      <c r="C9" t="s">
        <v>271</v>
      </c>
      <c r="G9" t="s">
        <v>379</v>
      </c>
      <c r="H9" t="s">
        <v>170</v>
      </c>
      <c r="M9" t="s">
        <v>10</v>
      </c>
      <c r="O9" t="str">
        <f t="shared" si="0"/>
        <v>inflation_rate</v>
      </c>
      <c r="P9">
        <v>1.9E-2</v>
      </c>
      <c r="Q9" t="b">
        <v>1</v>
      </c>
      <c r="R9" s="463" t="s">
        <v>941</v>
      </c>
      <c r="V9" t="s">
        <v>421</v>
      </c>
      <c r="W9">
        <v>1.3</v>
      </c>
      <c r="Y9" s="305" t="s">
        <v>345</v>
      </c>
      <c r="Z9" s="305">
        <v>100</v>
      </c>
      <c r="AA9" t="b">
        <v>1</v>
      </c>
      <c r="AB9" t="s">
        <v>159</v>
      </c>
      <c r="AC9" s="463" t="s">
        <v>825</v>
      </c>
    </row>
    <row r="10" spans="1:29" x14ac:dyDescent="0.2">
      <c r="A10" t="s">
        <v>272</v>
      </c>
      <c r="C10" t="s">
        <v>1059</v>
      </c>
      <c r="G10" t="s">
        <v>325</v>
      </c>
      <c r="H10" t="s">
        <v>18</v>
      </c>
      <c r="M10" t="s">
        <v>161</v>
      </c>
      <c r="O10" t="str">
        <f t="shared" si="0"/>
        <v>real_irr</v>
      </c>
      <c r="P10" s="1477">
        <v>0.08</v>
      </c>
      <c r="Q10" t="b">
        <v>1</v>
      </c>
      <c r="R10" s="463" t="s">
        <v>942</v>
      </c>
      <c r="V10" t="s">
        <v>423</v>
      </c>
      <c r="W10">
        <v>1.5</v>
      </c>
      <c r="Y10" s="305" t="s">
        <v>1253</v>
      </c>
      <c r="Z10" s="305">
        <v>0.75</v>
      </c>
      <c r="AA10" t="b">
        <v>1</v>
      </c>
      <c r="AB10" t="s">
        <v>169</v>
      </c>
      <c r="AC10" s="463" t="s">
        <v>825</v>
      </c>
    </row>
    <row r="11" spans="1:29" x14ac:dyDescent="0.2">
      <c r="C11" t="s">
        <v>1072</v>
      </c>
      <c r="G11" t="s">
        <v>326</v>
      </c>
      <c r="H11" t="s">
        <v>178</v>
      </c>
      <c r="J11" s="1" t="s">
        <v>693</v>
      </c>
      <c r="K11" s="1" t="s">
        <v>694</v>
      </c>
      <c r="M11" t="s">
        <v>162</v>
      </c>
      <c r="O11" t="str">
        <f t="shared" si="0"/>
        <v>state_tax_rate</v>
      </c>
      <c r="P11">
        <v>0.06</v>
      </c>
      <c r="Q11" t="b">
        <v>1</v>
      </c>
      <c r="R11" s="463" t="s">
        <v>943</v>
      </c>
      <c r="Y11" s="305" t="s">
        <v>1254</v>
      </c>
      <c r="Z11" s="1318" t="s">
        <v>23</v>
      </c>
      <c r="AA11" t="b">
        <v>1</v>
      </c>
      <c r="AB11" t="s">
        <v>1094</v>
      </c>
      <c r="AC11" t="s">
        <v>840</v>
      </c>
    </row>
    <row r="12" spans="1:29" x14ac:dyDescent="0.2">
      <c r="C12" t="s">
        <v>272</v>
      </c>
      <c r="G12" t="s">
        <v>327</v>
      </c>
      <c r="H12" t="s">
        <v>30</v>
      </c>
      <c r="J12" s="872" t="str">
        <f>TMP_PriceTable</f>
        <v>AEO_2017_Reference_Case</v>
      </c>
      <c r="K12" t="str">
        <f>J12&amp;"_Feeds"</f>
        <v>AEO_2017_Reference_Case_Feeds</v>
      </c>
      <c r="M12" t="s">
        <v>163</v>
      </c>
      <c r="O12" t="str">
        <f t="shared" si="0"/>
        <v>fed_tax_rate</v>
      </c>
      <c r="P12" s="1477">
        <v>0.21</v>
      </c>
      <c r="Q12" t="b">
        <v>1</v>
      </c>
      <c r="R12" s="463" t="s">
        <v>944</v>
      </c>
      <c r="Y12" s="305" t="s">
        <v>1255</v>
      </c>
      <c r="Z12" s="1318" t="s">
        <v>23</v>
      </c>
      <c r="AA12" t="b">
        <v>1</v>
      </c>
      <c r="AB12" t="s">
        <v>1095</v>
      </c>
      <c r="AC12" t="s">
        <v>1063</v>
      </c>
    </row>
    <row r="13" spans="1:29" x14ac:dyDescent="0.2">
      <c r="G13" t="s">
        <v>328</v>
      </c>
      <c r="H13" t="s">
        <v>174</v>
      </c>
      <c r="K13" s="1" t="s">
        <v>695</v>
      </c>
      <c r="M13" t="s">
        <v>164</v>
      </c>
      <c r="O13" t="str">
        <f t="shared" si="0"/>
        <v>WorkingCap</v>
      </c>
      <c r="P13">
        <v>0.15</v>
      </c>
      <c r="Q13" t="b">
        <v>1</v>
      </c>
      <c r="R13" s="463" t="s">
        <v>945</v>
      </c>
      <c r="Y13" s="305" t="s">
        <v>1256</v>
      </c>
      <c r="Z13" s="305">
        <v>0</v>
      </c>
      <c r="AA13" t="b">
        <v>1</v>
      </c>
      <c r="AB13" t="s">
        <v>1023</v>
      </c>
      <c r="AC13">
        <v>0.25</v>
      </c>
    </row>
    <row r="14" spans="1:29" x14ac:dyDescent="0.2">
      <c r="A14" s="1" t="s">
        <v>16</v>
      </c>
      <c r="C14" s="1" t="s">
        <v>199</v>
      </c>
      <c r="G14" t="s">
        <v>329</v>
      </c>
      <c r="H14" t="s">
        <v>184</v>
      </c>
      <c r="K14" t="str">
        <f>J12&amp;"_Years"</f>
        <v>AEO_2017_Reference_Case_Years</v>
      </c>
      <c r="M14" t="s">
        <v>181</v>
      </c>
      <c r="O14" t="s">
        <v>160</v>
      </c>
      <c r="P14">
        <v>0.2</v>
      </c>
      <c r="Q14" t="b">
        <v>1</v>
      </c>
      <c r="R14" t="s">
        <v>8</v>
      </c>
      <c r="Y14" s="305" t="s">
        <v>1257</v>
      </c>
      <c r="Z14" s="305">
        <v>53</v>
      </c>
      <c r="AA14" t="b">
        <v>1</v>
      </c>
      <c r="AB14" t="s">
        <v>1024</v>
      </c>
      <c r="AC14" t="s">
        <v>840</v>
      </c>
    </row>
    <row r="15" spans="1:29" x14ac:dyDescent="0.2">
      <c r="A15" t="s">
        <v>191</v>
      </c>
      <c r="C15" s="779" t="s">
        <v>200</v>
      </c>
      <c r="G15" t="s">
        <v>330</v>
      </c>
      <c r="H15" t="s">
        <v>28</v>
      </c>
      <c r="M15" t="s">
        <v>170</v>
      </c>
      <c r="O15" t="s">
        <v>186</v>
      </c>
      <c r="P15">
        <v>0.02</v>
      </c>
      <c r="Q15" t="b">
        <v>1</v>
      </c>
      <c r="R15" t="s">
        <v>26</v>
      </c>
      <c r="Y15" s="1314"/>
      <c r="Z15" s="1314"/>
      <c r="AB15" t="s">
        <v>31</v>
      </c>
      <c r="AC15" t="s">
        <v>1063</v>
      </c>
    </row>
    <row r="16" spans="1:29" ht="14.25" x14ac:dyDescent="0.2">
      <c r="A16" t="s">
        <v>192</v>
      </c>
      <c r="C16" s="780" t="s">
        <v>201</v>
      </c>
      <c r="G16" t="s">
        <v>331</v>
      </c>
      <c r="H16" t="s">
        <v>189</v>
      </c>
      <c r="M16" t="s">
        <v>7</v>
      </c>
      <c r="O16" t="s">
        <v>177</v>
      </c>
      <c r="P16">
        <v>0</v>
      </c>
      <c r="R16" t="s">
        <v>1026</v>
      </c>
      <c r="Y16" s="1314"/>
      <c r="Z16" s="1315"/>
      <c r="AB16" t="s">
        <v>175</v>
      </c>
      <c r="AC16" t="s">
        <v>1063</v>
      </c>
    </row>
    <row r="17" spans="1:29" x14ac:dyDescent="0.2">
      <c r="A17" t="s">
        <v>243</v>
      </c>
      <c r="C17" s="817" t="s">
        <v>501</v>
      </c>
      <c r="G17" t="s">
        <v>12</v>
      </c>
      <c r="H17" t="s">
        <v>246</v>
      </c>
      <c r="M17" t="s">
        <v>24</v>
      </c>
      <c r="O17" t="s">
        <v>156</v>
      </c>
      <c r="P17">
        <v>0</v>
      </c>
      <c r="R17" t="s">
        <v>182</v>
      </c>
      <c r="AB17" t="s">
        <v>1025</v>
      </c>
      <c r="AC17" t="s">
        <v>1063</v>
      </c>
    </row>
    <row r="18" spans="1:29" x14ac:dyDescent="0.2">
      <c r="A18" t="s">
        <v>244</v>
      </c>
      <c r="C18" s="781" t="s">
        <v>1033</v>
      </c>
      <c r="G18" t="s">
        <v>117</v>
      </c>
      <c r="H18" t="s">
        <v>975</v>
      </c>
      <c r="M18" t="s">
        <v>25</v>
      </c>
      <c r="O18" t="s">
        <v>185</v>
      </c>
      <c r="P18">
        <v>0</v>
      </c>
      <c r="R18" t="s">
        <v>10</v>
      </c>
      <c r="Y18" s="1314"/>
      <c r="Z18" s="1314"/>
      <c r="AB18" t="s">
        <v>172</v>
      </c>
      <c r="AC18" t="s">
        <v>1063</v>
      </c>
    </row>
    <row r="19" spans="1:29" x14ac:dyDescent="0.2">
      <c r="A19" t="s">
        <v>245</v>
      </c>
      <c r="C19" s="480" t="s">
        <v>202</v>
      </c>
      <c r="G19" t="s">
        <v>634</v>
      </c>
      <c r="H19" t="s">
        <v>635</v>
      </c>
      <c r="M19" t="s">
        <v>247</v>
      </c>
      <c r="O19" t="s">
        <v>965</v>
      </c>
      <c r="P19">
        <v>0</v>
      </c>
      <c r="R19" t="s">
        <v>161</v>
      </c>
      <c r="Y19" s="1314"/>
      <c r="Z19" s="1314"/>
      <c r="AB19" t="s">
        <v>157</v>
      </c>
      <c r="AC19" t="s">
        <v>1062</v>
      </c>
    </row>
    <row r="20" spans="1:29" x14ac:dyDescent="0.2">
      <c r="A20" t="s">
        <v>17</v>
      </c>
      <c r="G20" t="s">
        <v>352</v>
      </c>
      <c r="H20" t="s">
        <v>1094</v>
      </c>
      <c r="M20" t="s">
        <v>13</v>
      </c>
      <c r="O20" t="s">
        <v>966</v>
      </c>
      <c r="P20">
        <v>0</v>
      </c>
      <c r="R20" t="s">
        <v>162</v>
      </c>
      <c r="Y20" s="1314"/>
      <c r="Z20" s="1314"/>
      <c r="AB20" t="s">
        <v>158</v>
      </c>
      <c r="AC20" t="s">
        <v>1063</v>
      </c>
    </row>
    <row r="21" spans="1:29" x14ac:dyDescent="0.2">
      <c r="G21" t="s">
        <v>662</v>
      </c>
      <c r="H21" t="s">
        <v>1023</v>
      </c>
      <c r="M21" t="s">
        <v>14</v>
      </c>
      <c r="R21" t="s">
        <v>163</v>
      </c>
      <c r="AB21" t="s">
        <v>187</v>
      </c>
      <c r="AC21" t="s">
        <v>1062</v>
      </c>
    </row>
    <row r="22" spans="1:29" x14ac:dyDescent="0.2">
      <c r="G22" t="s">
        <v>332</v>
      </c>
      <c r="H22" t="s">
        <v>160</v>
      </c>
      <c r="M22" t="s">
        <v>165</v>
      </c>
      <c r="R22" t="s">
        <v>164</v>
      </c>
      <c r="AB22" t="s">
        <v>280</v>
      </c>
      <c r="AC22" t="s">
        <v>1062</v>
      </c>
    </row>
    <row r="23" spans="1:29" x14ac:dyDescent="0.2">
      <c r="A23" s="1" t="s">
        <v>839</v>
      </c>
      <c r="G23" t="s">
        <v>333</v>
      </c>
      <c r="H23" t="s">
        <v>186</v>
      </c>
      <c r="M23" t="s">
        <v>167</v>
      </c>
      <c r="R23" t="s">
        <v>181</v>
      </c>
      <c r="AB23" t="s">
        <v>188</v>
      </c>
      <c r="AC23" t="s">
        <v>1062</v>
      </c>
    </row>
    <row r="24" spans="1:29" x14ac:dyDescent="0.2">
      <c r="A24" s="463" t="s">
        <v>1062</v>
      </c>
      <c r="G24" t="s">
        <v>359</v>
      </c>
      <c r="H24" t="s">
        <v>175</v>
      </c>
      <c r="M24" t="s">
        <v>168</v>
      </c>
      <c r="R24" t="s">
        <v>170</v>
      </c>
      <c r="AB24" t="s">
        <v>180</v>
      </c>
      <c r="AC24" t="s">
        <v>1062</v>
      </c>
    </row>
    <row r="25" spans="1:29" x14ac:dyDescent="0.2">
      <c r="A25" s="463" t="s">
        <v>1063</v>
      </c>
      <c r="G25" t="s">
        <v>360</v>
      </c>
      <c r="H25" t="s">
        <v>1025</v>
      </c>
      <c r="M25" t="s">
        <v>18</v>
      </c>
      <c r="R25" t="s">
        <v>7</v>
      </c>
      <c r="AB25" t="s">
        <v>177</v>
      </c>
      <c r="AC25" t="s">
        <v>1062</v>
      </c>
    </row>
    <row r="26" spans="1:29" x14ac:dyDescent="0.2">
      <c r="A26" s="463" t="s">
        <v>840</v>
      </c>
      <c r="G26" t="s">
        <v>361</v>
      </c>
      <c r="H26" t="s">
        <v>172</v>
      </c>
      <c r="M26" t="s">
        <v>178</v>
      </c>
      <c r="R26" t="s">
        <v>24</v>
      </c>
      <c r="AB26" t="s">
        <v>156</v>
      </c>
      <c r="AC26" t="s">
        <v>1062</v>
      </c>
    </row>
    <row r="27" spans="1:29" x14ac:dyDescent="0.2">
      <c r="A27" s="463" t="s">
        <v>825</v>
      </c>
      <c r="G27" t="s">
        <v>365</v>
      </c>
      <c r="H27" t="s">
        <v>188</v>
      </c>
      <c r="M27" t="s">
        <v>30</v>
      </c>
      <c r="R27" t="s">
        <v>25</v>
      </c>
      <c r="AB27" t="s">
        <v>185</v>
      </c>
      <c r="AC27" t="s">
        <v>1062</v>
      </c>
    </row>
    <row r="28" spans="1:29" x14ac:dyDescent="0.2">
      <c r="A28">
        <v>0.1</v>
      </c>
      <c r="G28" t="s">
        <v>366</v>
      </c>
      <c r="H28" t="s">
        <v>180</v>
      </c>
      <c r="M28" t="s">
        <v>174</v>
      </c>
      <c r="R28" t="s">
        <v>247</v>
      </c>
      <c r="AB28" t="s">
        <v>1066</v>
      </c>
      <c r="AC28" t="s">
        <v>825</v>
      </c>
    </row>
    <row r="29" spans="1:29" x14ac:dyDescent="0.2">
      <c r="A29">
        <v>0.2</v>
      </c>
      <c r="G29" t="s">
        <v>1001</v>
      </c>
      <c r="H29" t="s">
        <v>9</v>
      </c>
      <c r="M29" t="s">
        <v>184</v>
      </c>
      <c r="R29" t="s">
        <v>13</v>
      </c>
    </row>
    <row r="30" spans="1:29" x14ac:dyDescent="0.2">
      <c r="A30">
        <v>0.25</v>
      </c>
      <c r="G30" t="s">
        <v>836</v>
      </c>
      <c r="H30" t="s">
        <v>837</v>
      </c>
      <c r="M30" t="s">
        <v>28</v>
      </c>
      <c r="R30" t="s">
        <v>14</v>
      </c>
    </row>
    <row r="31" spans="1:29" x14ac:dyDescent="0.2">
      <c r="A31">
        <v>0.3</v>
      </c>
      <c r="G31" t="s">
        <v>1382</v>
      </c>
      <c r="H31" t="s">
        <v>1383</v>
      </c>
      <c r="M31" t="s">
        <v>189</v>
      </c>
      <c r="R31" t="s">
        <v>165</v>
      </c>
    </row>
    <row r="32" spans="1:29" x14ac:dyDescent="0.2">
      <c r="A32">
        <v>0.4</v>
      </c>
      <c r="G32" t="s">
        <v>1388</v>
      </c>
      <c r="H32" t="s">
        <v>1389</v>
      </c>
      <c r="M32" t="s">
        <v>1094</v>
      </c>
      <c r="R32" t="s">
        <v>167</v>
      </c>
    </row>
    <row r="33" spans="1:18" x14ac:dyDescent="0.2">
      <c r="A33">
        <v>0.5</v>
      </c>
      <c r="G33" t="s">
        <v>1391</v>
      </c>
      <c r="H33" t="s">
        <v>1392</v>
      </c>
      <c r="M33" t="s">
        <v>1095</v>
      </c>
      <c r="R33" t="s">
        <v>168</v>
      </c>
    </row>
    <row r="34" spans="1:18" x14ac:dyDescent="0.2">
      <c r="A34">
        <v>0.6</v>
      </c>
      <c r="M34" t="s">
        <v>1023</v>
      </c>
      <c r="R34" t="s">
        <v>18</v>
      </c>
    </row>
    <row r="35" spans="1:18" x14ac:dyDescent="0.2">
      <c r="A35">
        <v>0.7</v>
      </c>
      <c r="M35" t="s">
        <v>1024</v>
      </c>
      <c r="R35" t="s">
        <v>178</v>
      </c>
    </row>
    <row r="36" spans="1:18" x14ac:dyDescent="0.2">
      <c r="A36">
        <v>0.8</v>
      </c>
      <c r="M36" t="s">
        <v>160</v>
      </c>
      <c r="R36" t="s">
        <v>30</v>
      </c>
    </row>
    <row r="37" spans="1:18" x14ac:dyDescent="0.2">
      <c r="A37">
        <v>0.9</v>
      </c>
      <c r="M37" t="s">
        <v>186</v>
      </c>
      <c r="R37" t="s">
        <v>174</v>
      </c>
    </row>
    <row r="38" spans="1:18" x14ac:dyDescent="0.2">
      <c r="M38" t="s">
        <v>175</v>
      </c>
      <c r="R38" t="s">
        <v>184</v>
      </c>
    </row>
    <row r="39" spans="1:18" x14ac:dyDescent="0.2">
      <c r="M39" t="s">
        <v>1025</v>
      </c>
      <c r="R39" t="s">
        <v>28</v>
      </c>
    </row>
    <row r="40" spans="1:18" x14ac:dyDescent="0.2">
      <c r="M40" t="s">
        <v>172</v>
      </c>
      <c r="R40" t="s">
        <v>189</v>
      </c>
    </row>
    <row r="41" spans="1:18" x14ac:dyDescent="0.2">
      <c r="M41" t="s">
        <v>157</v>
      </c>
      <c r="R41" t="s">
        <v>246</v>
      </c>
    </row>
    <row r="42" spans="1:18" x14ac:dyDescent="0.2">
      <c r="M42" t="s">
        <v>158</v>
      </c>
      <c r="R42" t="s">
        <v>27</v>
      </c>
    </row>
    <row r="43" spans="1:18" x14ac:dyDescent="0.2">
      <c r="M43" t="s">
        <v>280</v>
      </c>
      <c r="R43" t="s">
        <v>179</v>
      </c>
    </row>
    <row r="44" spans="1:18" x14ac:dyDescent="0.2">
      <c r="M44" t="s">
        <v>187</v>
      </c>
      <c r="R44" t="s">
        <v>171</v>
      </c>
    </row>
    <row r="45" spans="1:18" x14ac:dyDescent="0.2">
      <c r="M45" t="s">
        <v>188</v>
      </c>
      <c r="R45" t="s">
        <v>173</v>
      </c>
    </row>
    <row r="46" spans="1:18" x14ac:dyDescent="0.2">
      <c r="M46" t="s">
        <v>180</v>
      </c>
      <c r="R46" t="s">
        <v>29</v>
      </c>
    </row>
    <row r="47" spans="1:18" x14ac:dyDescent="0.2">
      <c r="M47" t="s">
        <v>176</v>
      </c>
      <c r="R47" t="s">
        <v>159</v>
      </c>
    </row>
    <row r="48" spans="1:18" x14ac:dyDescent="0.2">
      <c r="M48" t="s">
        <v>177</v>
      </c>
      <c r="R48" t="s">
        <v>169</v>
      </c>
    </row>
    <row r="49" spans="13:18" x14ac:dyDescent="0.2">
      <c r="M49" t="s">
        <v>156</v>
      </c>
      <c r="R49" t="s">
        <v>1094</v>
      </c>
    </row>
    <row r="50" spans="13:18" x14ac:dyDescent="0.2">
      <c r="M50" t="s">
        <v>185</v>
      </c>
      <c r="R50" t="s">
        <v>1095</v>
      </c>
    </row>
    <row r="51" spans="13:18" x14ac:dyDescent="0.2">
      <c r="M51" t="s">
        <v>9</v>
      </c>
      <c r="R51" t="s">
        <v>1023</v>
      </c>
    </row>
    <row r="52" spans="13:18" x14ac:dyDescent="0.2">
      <c r="M52" t="s">
        <v>1066</v>
      </c>
      <c r="R52" t="s">
        <v>1024</v>
      </c>
    </row>
    <row r="53" spans="13:18" x14ac:dyDescent="0.2">
      <c r="M53" t="s">
        <v>587</v>
      </c>
      <c r="R53" t="s">
        <v>160</v>
      </c>
    </row>
    <row r="54" spans="13:18" x14ac:dyDescent="0.2">
      <c r="M54" t="s">
        <v>340</v>
      </c>
      <c r="R54" t="s">
        <v>186</v>
      </c>
    </row>
    <row r="55" spans="13:18" x14ac:dyDescent="0.2">
      <c r="M55" t="s">
        <v>341</v>
      </c>
      <c r="R55" t="s">
        <v>175</v>
      </c>
    </row>
    <row r="56" spans="13:18" x14ac:dyDescent="0.2">
      <c r="M56" t="s">
        <v>342</v>
      </c>
      <c r="R56" t="s">
        <v>1025</v>
      </c>
    </row>
    <row r="57" spans="13:18" x14ac:dyDescent="0.2">
      <c r="M57" t="s">
        <v>588</v>
      </c>
      <c r="R57" t="s">
        <v>172</v>
      </c>
    </row>
    <row r="58" spans="13:18" x14ac:dyDescent="0.2">
      <c r="M58" t="s">
        <v>343</v>
      </c>
      <c r="R58" t="s">
        <v>157</v>
      </c>
    </row>
    <row r="59" spans="13:18" x14ac:dyDescent="0.2">
      <c r="M59" t="s">
        <v>589</v>
      </c>
      <c r="R59" t="s">
        <v>158</v>
      </c>
    </row>
    <row r="60" spans="13:18" x14ac:dyDescent="0.2">
      <c r="M60" t="s">
        <v>344</v>
      </c>
      <c r="R60" t="s">
        <v>280</v>
      </c>
    </row>
    <row r="61" spans="13:18" x14ac:dyDescent="0.2">
      <c r="M61" t="s">
        <v>345</v>
      </c>
      <c r="R61" t="s">
        <v>281</v>
      </c>
    </row>
    <row r="62" spans="13:18" x14ac:dyDescent="0.2">
      <c r="R62" t="s">
        <v>259</v>
      </c>
    </row>
    <row r="63" spans="13:18" x14ac:dyDescent="0.2">
      <c r="R63" t="s">
        <v>187</v>
      </c>
    </row>
    <row r="64" spans="13:18" x14ac:dyDescent="0.2">
      <c r="R64" t="s">
        <v>188</v>
      </c>
    </row>
    <row r="65" spans="18:18" x14ac:dyDescent="0.2">
      <c r="R65" t="s">
        <v>180</v>
      </c>
    </row>
    <row r="66" spans="18:18" x14ac:dyDescent="0.2">
      <c r="R66" t="s">
        <v>176</v>
      </c>
    </row>
    <row r="67" spans="18:18" x14ac:dyDescent="0.2">
      <c r="R67" t="s">
        <v>177</v>
      </c>
    </row>
    <row r="68" spans="18:18" x14ac:dyDescent="0.2">
      <c r="R68" t="s">
        <v>156</v>
      </c>
    </row>
    <row r="69" spans="18:18" x14ac:dyDescent="0.2">
      <c r="R69" t="s">
        <v>185</v>
      </c>
    </row>
    <row r="70" spans="18:18" x14ac:dyDescent="0.2">
      <c r="R70" t="s">
        <v>9</v>
      </c>
    </row>
    <row r="71" spans="18:18" x14ac:dyDescent="0.2">
      <c r="R71" t="s">
        <v>1066</v>
      </c>
    </row>
    <row r="72" spans="18:18" x14ac:dyDescent="0.2">
      <c r="R72" t="s">
        <v>587</v>
      </c>
    </row>
    <row r="73" spans="18:18" x14ac:dyDescent="0.2">
      <c r="R73" t="s">
        <v>340</v>
      </c>
    </row>
    <row r="74" spans="18:18" x14ac:dyDescent="0.2">
      <c r="R74" t="s">
        <v>341</v>
      </c>
    </row>
    <row r="75" spans="18:18" x14ac:dyDescent="0.2">
      <c r="R75" t="s">
        <v>342</v>
      </c>
    </row>
    <row r="76" spans="18:18" x14ac:dyDescent="0.2">
      <c r="R76" t="s">
        <v>588</v>
      </c>
    </row>
    <row r="77" spans="18:18" x14ac:dyDescent="0.2">
      <c r="R77" t="s">
        <v>343</v>
      </c>
    </row>
    <row r="78" spans="18:18" x14ac:dyDescent="0.2">
      <c r="R78" t="s">
        <v>589</v>
      </c>
    </row>
    <row r="79" spans="18:18" x14ac:dyDescent="0.2">
      <c r="R79" t="s">
        <v>344</v>
      </c>
    </row>
    <row r="80" spans="18:18" x14ac:dyDescent="0.2">
      <c r="R80" t="s">
        <v>345</v>
      </c>
    </row>
  </sheetData>
  <phoneticPr fontId="2"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2.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3.xml><?xml version="1.0" encoding="utf-8"?>
<ds:datastoreItem xmlns:ds="http://schemas.openxmlformats.org/officeDocument/2006/customXml" ds:itemID="{8EF8E5CF-3FBC-4639-B789-46FCAB06DA57}">
  <ds:schemaRefs>
    <ds:schemaRef ds:uri="http://purl.org/dc/terms/"/>
    <ds:schemaRef ds:uri="http://schemas.microsoft.com/office/2006/documentManagement/types"/>
    <ds:schemaRef ds:uri="http://purl.org/dc/elements/1.1/"/>
    <ds:schemaRef ds:uri="http://schemas.openxmlformats.org/package/2006/metadata/core-properties"/>
    <ds:schemaRef ds:uri="d82b9494-d8c4-46c3-8d38-25b9e100fe6d"/>
    <ds:schemaRef ds:uri="http://schemas.microsoft.com/office/2006/metadata/properties"/>
    <ds:schemaRef ds:uri="http://www.w3.org/XML/1998/namespace"/>
    <ds:schemaRef ds:uri="http://purl.org/dc/dcmitype/"/>
    <ds:schemaRef ds:uri="http://schemas.microsoft.com/office/infopath/2007/PartnerControls"/>
  </ds:schemaRefs>
</ds:datastoreItem>
</file>

<file path=customXml/itemProps4.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316</vt:i4>
      </vt:variant>
    </vt:vector>
  </HeadingPairs>
  <TitlesOfParts>
    <vt:vector size="335"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feedstockWoody_Biomass_Price</vt:lpstr>
      <vt:lpstr>feedstockWoody_Biomass_Usage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utilityCommercial_Electricity_Price</vt:lpstr>
      <vt:lpstr>utilityCommercial_Electricity_Usage</vt:lpstr>
      <vt:lpstr>utilityCommercial_Natural_Gas_Price</vt:lpstr>
      <vt:lpstr>utilityCommercial_Natural_Gas_Usage</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via Biomass Gasification version 3.2018</dc:title>
  <dc:subject>DOE H2A production case study for current central hydrogen production from biomass gasification.</dc:subject>
  <dc:creator>dsteward</dc:creator>
  <cp:lastModifiedBy>Windows User</cp:lastModifiedBy>
  <cp:lastPrinted>2008-09-22T17:50:40Z</cp:lastPrinted>
  <dcterms:created xsi:type="dcterms:W3CDTF">2007-03-27T19:45:13Z</dcterms:created>
  <dcterms:modified xsi:type="dcterms:W3CDTF">2020-10-30T16:15:34Z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